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Chart" sheetId="2" r:id="rId4"/>
    <sheet state="visible" name="Trans" sheetId="3" r:id="rId5"/>
    <sheet state="visible" name="Journals" sheetId="4" r:id="rId6"/>
    <sheet state="visible" name="FinPerf" sheetId="5" r:id="rId7"/>
    <sheet state="visible" name="FinPos" sheetId="6" r:id="rId8"/>
    <sheet state="visible" name="BankRec" sheetId="7" r:id="rId9"/>
    <sheet state="visible" name="Meetings" sheetId="8" r:id="rId10"/>
    <sheet state="visible" name="MtgItems" sheetId="9" r:id="rId11"/>
    <sheet state="visible" name="Appendix" sheetId="10" r:id="rId12"/>
    <sheet state="hidden" name="DV-IDENTITY-0" sheetId="11" r:id="rId13"/>
  </sheets>
  <definedNames>
    <definedName name="finyearenddate">Readme!$B$8</definedName>
    <definedName name="rptdate">Readme!$B$2</definedName>
    <definedName name="finyear">Readme!$B$6</definedName>
    <definedName name="finyearstartdate">Readme!$B$7</definedName>
  </definedNames>
  <calcPr/>
</workbook>
</file>

<file path=xl/sharedStrings.xml><?xml version="1.0" encoding="utf-8"?>
<sst xmlns="http://schemas.openxmlformats.org/spreadsheetml/2006/main" count="4335" uniqueCount="1461">
  <si>
    <t>Setup Items (can edit)</t>
  </si>
  <si>
    <t>Reporting Date</t>
  </si>
  <si>
    <t>Use AU financial year</t>
  </si>
  <si>
    <t>Yes</t>
  </si>
  <si>
    <t>Setup Data (don't edit)</t>
  </si>
  <si>
    <t>Financial year</t>
  </si>
  <si>
    <t>Fin year start date</t>
  </si>
  <si>
    <t>Fin year end date</t>
  </si>
  <si>
    <t>code</t>
  </si>
  <si>
    <t>name</t>
  </si>
  <si>
    <t>type</t>
  </si>
  <si>
    <t>thisyear</t>
  </si>
  <si>
    <t>yearopening</t>
  </si>
  <si>
    <t>allyears</t>
  </si>
  <si>
    <t>thisyrtrcount</t>
  </si>
  <si>
    <t>allyrtrcount</t>
  </si>
  <si>
    <t>Cash</t>
  </si>
  <si>
    <t>Asset</t>
  </si>
  <si>
    <t>Bank Account (MECU)</t>
  </si>
  <si>
    <t>Bank Account (S2)</t>
  </si>
  <si>
    <t>Personal debt to collect</t>
  </si>
  <si>
    <t>Trade debtors</t>
  </si>
  <si>
    <t>Sponsorship outstanding</t>
  </si>
  <si>
    <t>Text books</t>
  </si>
  <si>
    <t>ALSA fee prepaid</t>
  </si>
  <si>
    <t>Banners and flags</t>
  </si>
  <si>
    <t>Apparel and uniforms</t>
  </si>
  <si>
    <t>Long-term investments</t>
  </si>
  <si>
    <t>BBQ</t>
  </si>
  <si>
    <t>Accumulated depreciation</t>
  </si>
  <si>
    <t>Personal debt to pay</t>
  </si>
  <si>
    <t>Liability</t>
  </si>
  <si>
    <t>Trade creditors</t>
  </si>
  <si>
    <t>TDLA debt to pay</t>
  </si>
  <si>
    <t>ALSA fee outstanding</t>
  </si>
  <si>
    <t>Ball tickets prepaid</t>
  </si>
  <si>
    <t>Event provision</t>
  </si>
  <si>
    <t>Long-term loan</t>
  </si>
  <si>
    <t>ALSA grants</t>
  </si>
  <si>
    <t>Revenue</t>
  </si>
  <si>
    <t>Interest earned</t>
  </si>
  <si>
    <t>Membership</t>
  </si>
  <si>
    <t>Donations</t>
  </si>
  <si>
    <t>Sponsorship</t>
  </si>
  <si>
    <t>Workshops</t>
  </si>
  <si>
    <t>Conference contributions</t>
  </si>
  <si>
    <t>Sporting contributions</t>
  </si>
  <si>
    <t>Book sales</t>
  </si>
  <si>
    <t>Ball ticket sales</t>
  </si>
  <si>
    <t>Advertisement sales</t>
  </si>
  <si>
    <t>Trivia night sales</t>
  </si>
  <si>
    <t>Lawyers on the lawn sales</t>
  </si>
  <si>
    <t>Apparel sales</t>
  </si>
  <si>
    <t>Legal libations sales</t>
  </si>
  <si>
    <t>BBQ sales</t>
  </si>
  <si>
    <t>Pub crawl sales</t>
  </si>
  <si>
    <t>Publication sales</t>
  </si>
  <si>
    <t>Mooting revenue</t>
  </si>
  <si>
    <t>Abandoned Books</t>
  </si>
  <si>
    <t>Debt forgiven</t>
  </si>
  <si>
    <t>Purchases</t>
  </si>
  <si>
    <t>Expense</t>
  </si>
  <si>
    <t>Interest paid</t>
  </si>
  <si>
    <t>Bank fees</t>
  </si>
  <si>
    <t>Theft, loss, breakage</t>
  </si>
  <si>
    <t>Transport</t>
  </si>
  <si>
    <t>ALSA fee</t>
  </si>
  <si>
    <t>Stationery</t>
  </si>
  <si>
    <t>Conference expenses</t>
  </si>
  <si>
    <t>Compliance fees</t>
  </si>
  <si>
    <t>Meeting expenses</t>
  </si>
  <si>
    <t>Depreciation</t>
  </si>
  <si>
    <t>Sporting expenses</t>
  </si>
  <si>
    <t>Book purchases</t>
  </si>
  <si>
    <t>Ball catering</t>
  </si>
  <si>
    <t>Ball venue hire</t>
  </si>
  <si>
    <t>Ball entertainment</t>
  </si>
  <si>
    <t>Ball ticket refunds</t>
  </si>
  <si>
    <t>Ball general expenses</t>
  </si>
  <si>
    <t>Trivia night expenses</t>
  </si>
  <si>
    <t>Lawyers on the lawn expenses</t>
  </si>
  <si>
    <t>Apparel expenses</t>
  </si>
  <si>
    <t>Legal libations expenses</t>
  </si>
  <si>
    <t>BBQ expenses</t>
  </si>
  <si>
    <t>Pub crawl expenses</t>
  </si>
  <si>
    <t>Publication expenses</t>
  </si>
  <si>
    <t>Mayo lecture expenses</t>
  </si>
  <si>
    <t>Presentation expenses</t>
  </si>
  <si>
    <t>Mooting expenses</t>
  </si>
  <si>
    <t>Members' Equity</t>
  </si>
  <si>
    <t>Equity</t>
  </si>
  <si>
    <t>Asset - Liability</t>
  </si>
  <si>
    <t>Revenue - Expense</t>
  </si>
  <si>
    <t>Asset - (Liability + Equity)</t>
  </si>
  <si>
    <t>Entered Date</t>
  </si>
  <si>
    <t>Transaction Description</t>
  </si>
  <si>
    <t>Amount</t>
  </si>
  <si>
    <t>Code</t>
  </si>
  <si>
    <t>Source</t>
  </si>
  <si>
    <t>Lookup</t>
  </si>
  <si>
    <t>Authority</t>
  </si>
  <si>
    <t>Note</t>
  </si>
  <si>
    <t>4167 SHARES</t>
  </si>
  <si>
    <t>4167 CASH DEPOSIT</t>
  </si>
  <si>
    <t>52166 CHQ BOOK FEE</t>
  </si>
  <si>
    <t>4167 CASH &amp; CHEQUE DEPOSIT</t>
  </si>
  <si>
    <t>52 5 INTEREST CREDIT</t>
  </si>
  <si>
    <t>4167 CHEQUE DEPOSIT</t>
  </si>
  <si>
    <t>52 80 YOUR CHQ #115651</t>
  </si>
  <si>
    <t>52 80 YOUR CHQ #115652</t>
  </si>
  <si>
    <t>52 80 YOUR CHQ #115653</t>
  </si>
  <si>
    <t>52 86 STATE GOVT TAX</t>
  </si>
  <si>
    <t>52 80 YOUR CHQ #115655</t>
  </si>
  <si>
    <t>52 80 YOUR CHQ #115656</t>
  </si>
  <si>
    <t>4168 CASH DEPOSIT</t>
  </si>
  <si>
    <t>4168 CHEQUE DEPOSIT</t>
  </si>
  <si>
    <t>4121 CHEQUE DEPOSIT</t>
  </si>
  <si>
    <t>52 80 YOUR CHQ #115658</t>
  </si>
  <si>
    <t>52 80 YOUR CHQ #115657</t>
  </si>
  <si>
    <t>52 80 YOUR CHQ #115659</t>
  </si>
  <si>
    <t>52 80 DIS FEE #115654 $72.00</t>
  </si>
  <si>
    <t>52 5 INTEREST DEBIT</t>
  </si>
  <si>
    <t>4168 CASH &amp; CHEQUE DEPOSIT</t>
  </si>
  <si>
    <t>52 80 YOUR CHQ #115662</t>
  </si>
  <si>
    <t>52 80 YOUR CHQ #115664</t>
  </si>
  <si>
    <t>52 80 YOUR CHQ #115663</t>
  </si>
  <si>
    <t>52 80 YOUR CHQ #115665</t>
  </si>
  <si>
    <t>52 80 YOUR CHQ #115666</t>
  </si>
  <si>
    <t>52 21 YOUR CHQ #115667</t>
  </si>
  <si>
    <t>52149 YOUR CHQ #115668</t>
  </si>
  <si>
    <t>52007 STATE GOVT TAX</t>
  </si>
  <si>
    <t>52149 YOUR CHQ #115669</t>
  </si>
  <si>
    <t>4167 M'SHIP &amp; PUB CRAWL</t>
  </si>
  <si>
    <t>4168 REIMB STATIONERY J MOORE</t>
  </si>
  <si>
    <t>4167 STATEMENT PRINTOUT FEE</t>
  </si>
  <si>
    <t>4167 PUB CRAWL</t>
  </si>
  <si>
    <t>52149 YOUR CHQ #115670</t>
  </si>
  <si>
    <t>52149 YOUR CHQ #115672</t>
  </si>
  <si>
    <t>4168 STATEMENT FEE</t>
  </si>
  <si>
    <t>52149 YOUR CHQ #115674</t>
  </si>
  <si>
    <t>52149 YOUR CHQ #115673</t>
  </si>
  <si>
    <t>4168 COCKTAIL PARTY</t>
  </si>
  <si>
    <t>4168 COCKTAIL PARTY 1 CHQ</t>
  </si>
  <si>
    <t>4168 MEMBERSHIP</t>
  </si>
  <si>
    <t>4168 RAFFLE 10.5.01</t>
  </si>
  <si>
    <t>52149 YOUR CHQ #115675</t>
  </si>
  <si>
    <t>52149 YOUR CHQ #115678</t>
  </si>
  <si>
    <t>52149 YOUR CHQ #115676</t>
  </si>
  <si>
    <t>52149 YOUR CHQ #115677</t>
  </si>
  <si>
    <t>52149 YOUR CHQ #115679</t>
  </si>
  <si>
    <t>52149 YOUR CHQ #115680</t>
  </si>
  <si>
    <t>4167 LAW BALL</t>
  </si>
  <si>
    <t>4167 LAW BALL 9 CHQS</t>
  </si>
  <si>
    <t>52149 YOUR CHQ #115681</t>
  </si>
  <si>
    <t>4167 BBQ &amp; MAD AVE RAFFLE</t>
  </si>
  <si>
    <t>4168 LAW BALL RAFFLE</t>
  </si>
  <si>
    <t>52149 YOUR CHQ #115684</t>
  </si>
  <si>
    <t>52149 YOUR CHQ #115682</t>
  </si>
  <si>
    <t>4167 LAW BALL TICKETS</t>
  </si>
  <si>
    <t>4167 REINE J MOORE/BALL FLOWE</t>
  </si>
  <si>
    <t>4167 BALL TICKET X I &amp; T-SHIR</t>
  </si>
  <si>
    <t>4168 T-SHIRTS</t>
  </si>
  <si>
    <t>52186 YOUR CHQ #115685</t>
  </si>
  <si>
    <t>4167 PETTY CASH BBQ</t>
  </si>
  <si>
    <t>4168 CHEQUE DEPOSIT I CHQ</t>
  </si>
  <si>
    <t>4168 BBQ &amp; RAFFLE</t>
  </si>
  <si>
    <t>52186 INTERIM STATEMENT FEE</t>
  </si>
  <si>
    <t>52149 YOUR CHQ #115688</t>
  </si>
  <si>
    <t>52186 YOUR CHQ #115687</t>
  </si>
  <si>
    <t>4167 P/CASH BBQ</t>
  </si>
  <si>
    <t>52149 YOUR CHQ #115690</t>
  </si>
  <si>
    <t>4167 T-SHIRTS,ENDEAVOUR,ALSA</t>
  </si>
  <si>
    <t>4167 CHEQUE DEPOSIT 3 CHQS</t>
  </si>
  <si>
    <t>4168 TO S2</t>
  </si>
  <si>
    <t>4168 BBQ &amp; REFUND</t>
  </si>
  <si>
    <t>4168 BBQ &amp; REFUND I CHQ</t>
  </si>
  <si>
    <t>4167 CHEQUE DEPOSIT 2 CHQS</t>
  </si>
  <si>
    <t>4167 P/CASH TAXI</t>
  </si>
  <si>
    <t>52149 YOUR CHQ #115692</t>
  </si>
  <si>
    <t>52149 YOUR CHQ #115691</t>
  </si>
  <si>
    <t>4168 JCU SA GRANT 1 CHQ</t>
  </si>
  <si>
    <t>4167 CASH WITHDRAWAL</t>
  </si>
  <si>
    <t>52149 YOUR CHQ #115694</t>
  </si>
  <si>
    <t>52186 YOUR CHQ #115689</t>
  </si>
  <si>
    <t>52149 YOUR CHQ #115695</t>
  </si>
  <si>
    <t>4168 10 BOOKS SOLD/BOOKSHOP</t>
  </si>
  <si>
    <t>4167 $10 M'SHIP,$525 COCKTAIL</t>
  </si>
  <si>
    <t>4168 REV DEPOSIT 9.4.02 TO S2</t>
  </si>
  <si>
    <t>4167 C'TAIL PTY,T-SHIRTS,MSHI</t>
  </si>
  <si>
    <t>4167 C'TAIL PTY,T-SHIRTS,MSHI 2</t>
  </si>
  <si>
    <t>52186 YOUR CHQ #115696</t>
  </si>
  <si>
    <t>52149 YOUR CHQ #115699</t>
  </si>
  <si>
    <t>4167 PETTY CASH BBQ 18/4</t>
  </si>
  <si>
    <t>52149 YOUR CHQ #115697</t>
  </si>
  <si>
    <t>52149 YOUR CHQ #115700</t>
  </si>
  <si>
    <t>52149 YOUR CHQ #115698</t>
  </si>
  <si>
    <t>4168 ALSA S'SHIP I CHQ</t>
  </si>
  <si>
    <t>4168 FROM S2</t>
  </si>
  <si>
    <t>52149 YOUR CHQ #417080</t>
  </si>
  <si>
    <t>4168 CASH WITHDRAWAL</t>
  </si>
  <si>
    <t>52 76 YOUR CHQ #417077</t>
  </si>
  <si>
    <t>52149 YOUR CHQ #417079</t>
  </si>
  <si>
    <t>4168 ALSA ACCOM EXP</t>
  </si>
  <si>
    <t>52149 YOUR CHQ #417076</t>
  </si>
  <si>
    <t>4167 LAW BALL TICKETS 3 CHQS</t>
  </si>
  <si>
    <t>4167 CREDIT CORRECTION</t>
  </si>
  <si>
    <t>52186 YOUR CHQ #417082</t>
  </si>
  <si>
    <t>4167 BALL TICKETS 2</t>
  </si>
  <si>
    <t>52186 YOUR CHQ #417084</t>
  </si>
  <si>
    <t>52149 YOUR CHQ #417085</t>
  </si>
  <si>
    <t>52166 YOUR CHQ #417086</t>
  </si>
  <si>
    <t>4167 40 COPIES LEGAL ENDEAVOU 1</t>
  </si>
  <si>
    <t>52149 YOUR CHQ #417083</t>
  </si>
  <si>
    <t>52 86 INTERIM STATEMENT FEE</t>
  </si>
  <si>
    <t>4168 Chq3l8549-ALSA CONFERENCE</t>
  </si>
  <si>
    <t>52 86 CHEQUE WITHDRAW FEE</t>
  </si>
  <si>
    <t>4167 FROM S2</t>
  </si>
  <si>
    <t>52187 YOUR CHQ #662851</t>
  </si>
  <si>
    <t>52222 YOUR CHQ #662852</t>
  </si>
  <si>
    <t>52222 YOUR CHQ #662853</t>
  </si>
  <si>
    <t>4168 YOUR CHQ #662854</t>
  </si>
  <si>
    <t>4168 YOUR CHQ #662855</t>
  </si>
  <si>
    <t>52222 YOUR CHQ #662856</t>
  </si>
  <si>
    <t>52187 YOUR CHQ #662857</t>
  </si>
  <si>
    <t>4168 BBQ/MEMBERSHIPS</t>
  </si>
  <si>
    <t>52222 YOUR CHQ #662858</t>
  </si>
  <si>
    <t>4167 C'TAIL PARTY MONEY</t>
  </si>
  <si>
    <t>4167 COCKTAIL PARTY</t>
  </si>
  <si>
    <t>52220 YOUR CHQ #662859</t>
  </si>
  <si>
    <t>52187 YOUR CHQ #662860</t>
  </si>
  <si>
    <t>52187 YOUR CHQ #662862</t>
  </si>
  <si>
    <t>4167 RAFFLE</t>
  </si>
  <si>
    <t>4167 BBQ 9!9/04</t>
  </si>
  <si>
    <t>4167 RAFFLE 9/9/04</t>
  </si>
  <si>
    <t>4168 CHEQUE DEPOSIT 4 CHQS</t>
  </si>
  <si>
    <t>4168 CREDIT CORRECTION</t>
  </si>
  <si>
    <t>4168 LAW BALL 4 CHQS</t>
  </si>
  <si>
    <t>4168 LAW BALL</t>
  </si>
  <si>
    <t>52187 YOUR CHQ #662863</t>
  </si>
  <si>
    <t>52187 YOUR CHQ #662864</t>
  </si>
  <si>
    <t>52187 YOUR CHQ #662866</t>
  </si>
  <si>
    <t>52187 YOUR CHQ #662865</t>
  </si>
  <si>
    <t>52187 YOUR CHQ #662867</t>
  </si>
  <si>
    <t>52187 YOUR CHQ #662870</t>
  </si>
  <si>
    <t>52187 YOUR CHQ #662869</t>
  </si>
  <si>
    <t>4168 ROSS BROTHERS I CHQ</t>
  </si>
  <si>
    <t>52187 YOUR CHQ #662871</t>
  </si>
  <si>
    <t>52007 MER CHQ TRANS FEE</t>
  </si>
  <si>
    <t>52242 YOUR CHQ #662868</t>
  </si>
  <si>
    <t>4167 1 ST YR BBQ</t>
  </si>
  <si>
    <t>52187 YOUR CHQ #662873</t>
  </si>
  <si>
    <t>INTEREST CREDIT</t>
  </si>
  <si>
    <t>Your chq #662875</t>
  </si>
  <si>
    <t>CASH Withdrawal</t>
  </si>
  <si>
    <t>CHEQUE DEPOSIT 1 CHG</t>
  </si>
  <si>
    <t>CHEQUE DEPOSIT Hold 2 days 1 CHG</t>
  </si>
  <si>
    <t>CASH &amp; CHEQUE DEPOSIT Csh = 3600.00 Chq = 175.00 2 CHQS</t>
  </si>
  <si>
    <t>CASH &amp; CHEQUE DEPOSIT Csh = 1620.00 Chq = 445.00 2 CHQS</t>
  </si>
  <si>
    <t>CHG- SOUTHBANK CONVENTIO 340853</t>
  </si>
  <si>
    <t>CHG BOOK FEE</t>
  </si>
  <si>
    <t>TFR FR S2 COVER CHG</t>
  </si>
  <si>
    <t>CHG- BIND! AND THE SNEEK 340858</t>
  </si>
  <si>
    <t>Ball speaker expenses</t>
  </si>
  <si>
    <t>CHEQUE WITHDRAW FEE</t>
  </si>
  <si>
    <t>REVERSE COUNTER CHQ #0.0</t>
  </si>
  <si>
    <t>STOP COUNTER CHG FEE</t>
  </si>
  <si>
    <t>INTEREST DEBIT</t>
  </si>
  <si>
    <t>Your Cheque #00925976</t>
  </si>
  <si>
    <t>Interest Credit</t>
  </si>
  <si>
    <t>Direct Credit COLLEGE OF LAW P -- COLLEGE OF LAW</t>
  </si>
  <si>
    <t>Cash Deposit</t>
  </si>
  <si>
    <t>interest Credit</t>
  </si>
  <si>
    <t>Tfr from 52</t>
  </si>
  <si>
    <t>Legal Libations</t>
  </si>
  <si>
    <t>Your Cheque #00925977</t>
  </si>
  <si>
    <t>Your Cheque #00925978</t>
  </si>
  <si>
    <t>Cheque Deposit</t>
  </si>
  <si>
    <t>Your Cheque #00925979</t>
  </si>
  <si>
    <t>Direct Credit NETBANK - Deanna Musumeci - 22801</t>
  </si>
  <si>
    <t>Direct Credit Joanne Mclnnes - Legal Libations - 22801</t>
  </si>
  <si>
    <t>Cash Withdrawal</t>
  </si>
  <si>
    <t>Reimbursement to Miranda</t>
  </si>
  <si>
    <t>Direct Credit Samantha Cohen - Law Ball - 22801</t>
  </si>
  <si>
    <t>Direct Credit Belinda Bray - Law Ball - 22801</t>
  </si>
  <si>
    <t>Direct Credit BANK OF OLD - MARK KRUNE5 - 22801</t>
  </si>
  <si>
    <t>Direct Credit NETBANK - Natalie Borg - 22801</t>
  </si>
  <si>
    <t>Direct Credit NETBANK - Emilia Butera - 22801</t>
  </si>
  <si>
    <t>Dallis Vickers Ball Ticket</t>
  </si>
  <si>
    <t>Peter O'Connor Ball Ticket</t>
  </si>
  <si>
    <t>Direct Credit FRANCE. VALERY M - L Ball - V France - 22801</t>
  </si>
  <si>
    <t>Direct Credit Delys Dunbar - Law Ball - 22801</t>
  </si>
  <si>
    <t>Direct Credit Peter Butler - Law Ball - 22801</t>
  </si>
  <si>
    <t>Direct Credit MATHEWSON RAYMON - Fiona Pinfold - 22801</t>
  </si>
  <si>
    <t>Direct Credit MISS CARA DOOLAN - CARA 90.00 1,942.09</t>
  </si>
  <si>
    <t>J. Onus Ball Tickets x 2 170.00 2,112.09</t>
  </si>
  <si>
    <t>T. Higham Ball Tickets x 2 180.00 2,292.09</t>
  </si>
  <si>
    <t>Leaha 5chell 90.00 2,382.09</t>
  </si>
  <si>
    <t>Meagan Hutchison 90.00 2,472.09</t>
  </si>
  <si>
    <t>Matthew Keating 90.00 2,562.09</t>
  </si>
  <si>
    <t>Ashlee King 90.00 2.652.09</t>
  </si>
  <si>
    <t>Direct Credit MISS JANETTE DUD .- JANETTE 85.00 2,737.09</t>
  </si>
  <si>
    <t>C &amp; G Rennie Ball Tickets x 2 180.00 2,917.09</t>
  </si>
  <si>
    <t>Direct Credit NETBANK - Douglas Cecil -' 22801 90.00 3,007.09</t>
  </si>
  <si>
    <t>Direct Credit NETBANK - Sandra Lindsay - 22801 180.00 3,187.09</t>
  </si>
  <si>
    <t>Direct Credit NETBANK - Cathy Fon - 22801 180.00 3,367.09</t>
  </si>
  <si>
    <t>L. Gunnis Ball Tickets x 2 180.00 3,547.09</t>
  </si>
  <si>
    <t>Sarah McKenzie 90.00 3,637.09</t>
  </si>
  <si>
    <t>Direct Credit NETBANK - A Mayhew Law Ball .- 85.00 3,722.09</t>
  </si>
  <si>
    <t>Direct Credit NETBANK - A Mayhew Ball 2 - 22801 90.00 3.812.09</t>
  </si>
  <si>
    <t>Direct Credit MRS KAREN CALLIG - ELICIA 265.00 4,077.09</t>
  </si>
  <si>
    <t>Direct Credit TEEGAN WHITE - TEEGAN WHITE - 90.00 4,167.09</t>
  </si>
  <si>
    <t>Direct Credit BLYTH MIRANDA KY - BLYTH 175.00 4,342.09</t>
  </si>
  <si>
    <t>Direct Credit Sir George Kneip - Law Ball Tickets - 1,170.00 5,512.09</t>
  </si>
  <si>
    <t>Cody Rowe x 4 ball tickets 360.00 5,872.09</t>
  </si>
  <si>
    <t>Anna 5trimaitis 90.00 5,962.09</t>
  </si>
  <si>
    <t>Kay/ene Gregory 85.00 6.047.09</t>
  </si>
  <si>
    <t>Lindy Howard 85.00 6.132.09</t>
  </si>
  <si>
    <t>Interest Credit 0.07 6,132.16</t>
  </si>
  <si>
    <t>S. Kinchin 1 x Ball Ticket 85.00 6,217.16</t>
  </si>
  <si>
    <t>Direct Credit BANK OF OLD - GERARD MEADE - 90.00 6,307.16</t>
  </si>
  <si>
    <t>Direct Credit NETBANK - Alec McConnell - 22801 90.00 6,397.16</t>
  </si>
  <si>
    <t>Direct Credit NETBANK .- N5mithGOD - 22801 90.00 6,487.16</t>
  </si>
  <si>
    <t>Amanda Warry 90.00 6,577.16</t>
  </si>
  <si>
    <t>Laurie Irvine 85.00 6,662.16</t>
  </si>
  <si>
    <t>Your Cheque #00925982 3,000.00 3,662.16</t>
  </si>
  <si>
    <t>Cash Deposit 430.00 4,092.16</t>
  </si>
  <si>
    <t>Your Cheque #00925984 3,516.00 576.16</t>
  </si>
  <si>
    <t>Your Cheque #00925983 312.00 264.16</t>
  </si>
  <si>
    <t>Interest Credit 0.05 264.21</t>
  </si>
  <si>
    <t>Your Cheque #00925986 90.00 174.21</t>
  </si>
  <si>
    <t>Interest Credit 0.01 174.22</t>
  </si>
  <si>
    <t>College of Law - Sponsorship</t>
  </si>
  <si>
    <t>Lucy McLure - Legal Libations</t>
  </si>
  <si>
    <t>Cash Deposit - Memberships</t>
  </si>
  <si>
    <t>Reimbursement - Elicia Calligaris</t>
  </si>
  <si>
    <t>Boyd Johnson - Legal Libations</t>
  </si>
  <si>
    <t>Lara Bacon - Membership</t>
  </si>
  <si>
    <t>John Tabulo - Legal Libations</t>
  </si>
  <si>
    <t>Gavin Hampson - Legal Libations</t>
  </si>
  <si>
    <t>Ann Mayhew - Legal Libations</t>
  </si>
  <si>
    <t>Legal Libations </t>
  </si>
  <si>
    <t>Cash Deposit (to cover Cheque Fees)</t>
  </si>
  <si>
    <t>ALSA Fees 2008</t>
  </si>
  <si>
    <t>Cheque Book </t>
  </si>
  <si>
    <t>Cheque Withdrawal Fee (ALSA)</t>
  </si>
  <si>
    <t>Cash Deposit (Cash tin)</t>
  </si>
  <si>
    <t>Transfer</t>
  </si>
  <si>
    <t>Pub Crawl Deposit</t>
  </si>
  <si>
    <t>Adam Davis</t>
  </si>
  <si>
    <t>Boyd Johnstone Pub Crawl</t>
  </si>
  <si>
    <t>Michael Owens Membership</t>
  </si>
  <si>
    <t>Emma Piper Membership</t>
  </si>
  <si>
    <t>Tim Logal Membership</t>
  </si>
  <si>
    <t>Michael Owens Pub Crawl</t>
  </si>
  <si>
    <t>Emma Piper  Pub Crawl</t>
  </si>
  <si>
    <t>Tim Logal  Pub Crawl</t>
  </si>
  <si>
    <t>Ann Mayhew - Pub crawl</t>
  </si>
  <si>
    <t>Kirsty Passfield - Pub Crawl</t>
  </si>
  <si>
    <t>Deanna &amp; Alice Pub Crawl</t>
  </si>
  <si>
    <t>Adam Davis Pub Crawl</t>
  </si>
  <si>
    <t>Rem McCamley Pub Crawl</t>
  </si>
  <si>
    <t>Brit Witherspoon Pub crawl</t>
  </si>
  <si>
    <t>Daniela Tama Pub Crawl</t>
  </si>
  <si>
    <t>Morgan Mackney Pub Crawl</t>
  </si>
  <si>
    <t>Joseph Fabbro Pub Crawl</t>
  </si>
  <si>
    <t>Sophie Brown Pub Crawl</t>
  </si>
  <si>
    <t>Kieran Larcombe Pub Crawl</t>
  </si>
  <si>
    <t>Tristan Hingham Membership</t>
  </si>
  <si>
    <t>Adrian O'Rourke Pub Crawl</t>
  </si>
  <si>
    <t>Pub Crawl </t>
  </si>
  <si>
    <t>Neil Whittle Law Ball x2</t>
  </si>
  <si>
    <t>Humphries Ball x2</t>
  </si>
  <si>
    <t>Kelvin Boyd Law Ball x2</t>
  </si>
  <si>
    <t>Tristan Hingham Law Ball x2</t>
  </si>
  <si>
    <t>Leaha Schell Mship</t>
  </si>
  <si>
    <t>Matthew Keating Mship</t>
  </si>
  <si>
    <t>Sarah McKenzie Mship</t>
  </si>
  <si>
    <t>Leaha Schell Law Ball</t>
  </si>
  <si>
    <t>Matthew Keating Law Ball</t>
  </si>
  <si>
    <t>Sarah McKenzie Law Ball</t>
  </si>
  <si>
    <t>ALSA Equity Grant</t>
  </si>
  <si>
    <t>Lorelei Billing Law Ball</t>
  </si>
  <si>
    <t>Emma Stockwell Law Ball</t>
  </si>
  <si>
    <t>Kirsty Passfield Law Ball</t>
  </si>
  <si>
    <t>Chris Broom Law MShip</t>
  </si>
  <si>
    <t>Louisa Di Bella Mship</t>
  </si>
  <si>
    <t>Melissa LakeMShip</t>
  </si>
  <si>
    <t>Amalie Grima Mship</t>
  </si>
  <si>
    <t>Chris Broom Law Ball</t>
  </si>
  <si>
    <t>Louisa Di Bella Law Ball</t>
  </si>
  <si>
    <t>Melissa Lake Law Ball</t>
  </si>
  <si>
    <t>Amalie Grima Ball</t>
  </si>
  <si>
    <t>Nerida Whelan Law Ball</t>
  </si>
  <si>
    <t>Tara Latter Mship</t>
  </si>
  <si>
    <t>Tara Latter Law Ball</t>
  </si>
  <si>
    <t>Boyd Johnstone Law Ball</t>
  </si>
  <si>
    <t>Daniela Tama Mship</t>
  </si>
  <si>
    <t>Daniela Tama Law Ball</t>
  </si>
  <si>
    <t>Perian Cardiff Mship</t>
  </si>
  <si>
    <t>Perian Cardiff Law Ball</t>
  </si>
  <si>
    <t>Brit Witherspoon Mship</t>
  </si>
  <si>
    <t>Brit Witherspoon Law Ball</t>
  </si>
  <si>
    <t>Victoria Meechan Law ball</t>
  </si>
  <si>
    <t>Emma Piper Law Ball</t>
  </si>
  <si>
    <t>Michael Crowther Law Ball x2</t>
  </si>
  <si>
    <t>Jessica Lee Law Ball</t>
  </si>
  <si>
    <t>Chiara Lennox Mship</t>
  </si>
  <si>
    <t>Chiara Lennox Ball</t>
  </si>
  <si>
    <t>Mathew Purser Ball</t>
  </si>
  <si>
    <t>Cheryn Aspinall Ball</t>
  </si>
  <si>
    <t>Shirley Jones Ball</t>
  </si>
  <si>
    <t>Marianne Dunkerley Ball</t>
  </si>
  <si>
    <t>Tom Middleton Ball</t>
  </si>
  <si>
    <t>Sean Johnson Ball</t>
  </si>
  <si>
    <t>Rachel Bradshaw Ball</t>
  </si>
  <si>
    <t>Dominque Thiriet Ball</t>
  </si>
  <si>
    <t>Leticia McMullen Mship</t>
  </si>
  <si>
    <t>Leticia McMullen Ball</t>
  </si>
  <si>
    <t>Megan Hutchinson Mship</t>
  </si>
  <si>
    <t>Megan Hutchinson Ball</t>
  </si>
  <si>
    <t>Stephanie Naunton Ball</t>
  </si>
  <si>
    <t>Codie Rowe Ball x4</t>
  </si>
  <si>
    <t>Emma Corica Ball</t>
  </si>
  <si>
    <t>Sabrina Nicholls Ball</t>
  </si>
  <si>
    <t>Michael Owens Ball</t>
  </si>
  <si>
    <t>Remy McCamley Law Ball</t>
  </si>
  <si>
    <t>Tim Logan &amp; Joe Fabbro Law Ball</t>
  </si>
  <si>
    <t>Mship - DPP Staff</t>
  </si>
  <si>
    <t>Ball Tickets - DPP Staff</t>
  </si>
  <si>
    <t>Mitchell McAulay Powell Mship</t>
  </si>
  <si>
    <t>Mitchell McAulay Powell Ball</t>
  </si>
  <si>
    <t>Steven Erickson Mship</t>
  </si>
  <si>
    <t>Steven Erickson Ball</t>
  </si>
  <si>
    <t>Tim Fedorowytsch Ball x2</t>
  </si>
  <si>
    <t>Dianne Grace Ball x2</t>
  </si>
  <si>
    <t>Daniel Fitzgerald Ball</t>
  </si>
  <si>
    <t>Sergey Kinchin Ball</t>
  </si>
  <si>
    <t>Jacinta Johnson  Mship</t>
  </si>
  <si>
    <t>Jacinta Johnson Ball</t>
  </si>
  <si>
    <t>Georga Wootton Ball</t>
  </si>
  <si>
    <t>Greg McCabe Ball</t>
  </si>
  <si>
    <t>Lisa Westcott Ball</t>
  </si>
  <si>
    <t>Deanna Musumeci Ball</t>
  </si>
  <si>
    <t>Sam Cohen Law Ball </t>
  </si>
  <si>
    <t>Stephen Graw Ball x2</t>
  </si>
  <si>
    <t>Prof Robin Woellner</t>
  </si>
  <si>
    <t>Cash Withdrawal - Sergey ALSA</t>
  </si>
  <si>
    <t>Honchin Ball x2</t>
  </si>
  <si>
    <t>Judge Pack Law Ball x2</t>
  </si>
  <si>
    <t>Ann Mayhew Law Ball</t>
  </si>
  <si>
    <t>Holiday Inn Final Payment</t>
  </si>
  <si>
    <t>Cheque Fee (Holiday Inn)</t>
  </si>
  <si>
    <t>Lynham Law Ball x 2</t>
  </si>
  <si>
    <t>Micheal Hibble Ball x2</t>
  </si>
  <si>
    <t>Roger Griffith Law Ball x2</t>
  </si>
  <si>
    <t>Elicia Calligaris Ball x 2</t>
  </si>
  <si>
    <t>DJ Payment</t>
  </si>
  <si>
    <t>Transaction Fee</t>
  </si>
  <si>
    <t>Polina Kinchina Mship</t>
  </si>
  <si>
    <t>Refund Law Ball to Amelia &amp; Nerida</t>
  </si>
  <si>
    <t>Interest</t>
  </si>
  <si>
    <t>Refund Law Ball to Elicia</t>
  </si>
  <si>
    <t>Membership - Bryn Smith</t>
  </si>
  <si>
    <t>Membership - Peter Motti</t>
  </si>
  <si>
    <t>Membership - Emma Duffy</t>
  </si>
  <si>
    <t>cash withdrawal</t>
  </si>
  <si>
    <t>corporate cheque fee</t>
  </si>
  <si>
    <t>transaction fee</t>
  </si>
  <si>
    <t>College of Law sponsorship money</t>
  </si>
  <si>
    <t>ANU sponsorship money</t>
  </si>
  <si>
    <t>QLSA goldcoast sponsorship</t>
  </si>
  <si>
    <t>LawSkool sponsorship money</t>
  </si>
  <si>
    <t>Membership - M Heelan</t>
  </si>
  <si>
    <t>Membership - N Turner</t>
  </si>
  <si>
    <t>Membership - Kara Tait</t>
  </si>
  <si>
    <t>Membership - Ashleigh Archer</t>
  </si>
  <si>
    <t>Membership - Melanie Breuer</t>
  </si>
  <si>
    <t>Membership - Nicole Casey</t>
  </si>
  <si>
    <t>Membership - H Barbagello</t>
  </si>
  <si>
    <t>Membership - Brendan Ferris</t>
  </si>
  <si>
    <t>Ball ticket - Nicole Casey</t>
  </si>
  <si>
    <t>Ball ticket - Melissa Lake</t>
  </si>
  <si>
    <t>Membership - Sarah Nolan</t>
  </si>
  <si>
    <t>Membership - K Defrancisis</t>
  </si>
  <si>
    <t>Membership - Hayley Atkinson</t>
  </si>
  <si>
    <t>Membership - J Turner</t>
  </si>
  <si>
    <t>Membership - Chiara Lennox</t>
  </si>
  <si>
    <t>Membership - M Peters</t>
  </si>
  <si>
    <t>Membership - Shelley Cerqui</t>
  </si>
  <si>
    <t>Ball ticket - Emma Callin</t>
  </si>
  <si>
    <t>Membership - Emma Callin</t>
  </si>
  <si>
    <t>Membership - Kellie Scott</t>
  </si>
  <si>
    <t>Membership - D Hall &amp; L Perkins</t>
  </si>
  <si>
    <t>Membership - LSS</t>
  </si>
  <si>
    <t>Membership - Callum Arguent</t>
  </si>
  <si>
    <t>Membership - Van Nguyen</t>
  </si>
  <si>
    <t>Membership - Monica Tilbrook</t>
  </si>
  <si>
    <t>Ball ticket - Brendan Ferris</t>
  </si>
  <si>
    <t>Ball ticket - Ashlea King</t>
  </si>
  <si>
    <t>Ball ticket - Liticha McMullen</t>
  </si>
  <si>
    <t>Ball ticket - Daniela Tama</t>
  </si>
  <si>
    <t>Ball ticket - Chiara Lennox</t>
  </si>
  <si>
    <t>Ball ticket - Kristin Collins</t>
  </si>
  <si>
    <t>Ball ticket - K Defrancisis</t>
  </si>
  <si>
    <t>Ball ticket - Cara Doolan</t>
  </si>
  <si>
    <t>Ball ticket - Ben Ralph</t>
  </si>
  <si>
    <t>Ball ticket - Natalie Borg</t>
  </si>
  <si>
    <t>Ball ticket - Callum Arguent</t>
  </si>
  <si>
    <t>Ball ticket - Emma Corica</t>
  </si>
  <si>
    <t>Ball ticket - Monica Tilbrook</t>
  </si>
  <si>
    <t>Ball ticket - H Barbagallo</t>
  </si>
  <si>
    <t>Ball ticket - Tori Meechan</t>
  </si>
  <si>
    <t>Ball ticket - Tegan Morris</t>
  </si>
  <si>
    <t>Ball ticket - Ashleigh Archer</t>
  </si>
  <si>
    <t>Ball ticket - Melanie Breuer</t>
  </si>
  <si>
    <t>Ball ticket - Lisa Lee</t>
  </si>
  <si>
    <t>Ball ticket - Matthew Heelan</t>
  </si>
  <si>
    <t>Ball ticket - Georga Wooton</t>
  </si>
  <si>
    <t>Ball ticket - Karina Andrew</t>
  </si>
  <si>
    <t>Ball ticket - Emma Piper</t>
  </si>
  <si>
    <t>Ball ticket - Madeline Owens</t>
  </si>
  <si>
    <t>Ball ticket - Anneliese Voss</t>
  </si>
  <si>
    <t>Ball ticket - Kirsty Passfield</t>
  </si>
  <si>
    <t>Ball ticket - Lorelei Billing</t>
  </si>
  <si>
    <t>Ball ticket - Gaven Chan</t>
  </si>
  <si>
    <t>Ball ticket - Emma Stockwell</t>
  </si>
  <si>
    <t>Ball ticket - K Chapman</t>
  </si>
  <si>
    <t>Ball ticket - Emma Duffy</t>
  </si>
  <si>
    <t>Ball ticket - Britany Witherspoon</t>
  </si>
  <si>
    <t>Ball ticket - Sergey Kinchin</t>
  </si>
  <si>
    <t>Ball ticket - Kelvin Boyd</t>
  </si>
  <si>
    <t>Ball ticket - Rhianna Batt</t>
  </si>
  <si>
    <t>Ball ticket - Michael Pang</t>
  </si>
  <si>
    <t>Ball ticket - Louisa Dibe</t>
  </si>
  <si>
    <t>Ball ticket - Zoe Navarro</t>
  </si>
  <si>
    <t>Ball ticket - Blair</t>
  </si>
  <si>
    <t>Ball ticket - Shelley Cerqui</t>
  </si>
  <si>
    <t>Ball ticket - Kieran Larcombe</t>
  </si>
  <si>
    <t>Ball ticket - Mark Fenlon</t>
  </si>
  <si>
    <t>Ball ticket - Danella Lane</t>
  </si>
  <si>
    <t>Ball ticket - Codie Rowe</t>
  </si>
  <si>
    <t>Ball ticket - Hayley Atkinson</t>
  </si>
  <si>
    <t>Ball ticket - Renee Joyce</t>
  </si>
  <si>
    <t>Ball ticket - M Peters</t>
  </si>
  <si>
    <t>Ball ticket - Liz Fraser</t>
  </si>
  <si>
    <t>Ball ticket - Amy Herbert</t>
  </si>
  <si>
    <t>Ball ticket - Renee Trenaman</t>
  </si>
  <si>
    <t>Ball ticket - Andrew Lowrie</t>
  </si>
  <si>
    <t>Ball ticket - Maxwell Milla</t>
  </si>
  <si>
    <t>Ball ticket - Matthew Monkhouse</t>
  </si>
  <si>
    <t>Ball ticket - Owen George</t>
  </si>
  <si>
    <t>Ball ticket - Matthew Dunlop</t>
  </si>
  <si>
    <t>Ball ticket - Cash</t>
  </si>
  <si>
    <t>cheque withdrawal - law ball</t>
  </si>
  <si>
    <t>Ball ticket - Terry Gordon</t>
  </si>
  <si>
    <t>QLSA refund - Nabeel Naqvi</t>
  </si>
  <si>
    <t>Ball ticket - E Feldt</t>
  </si>
  <si>
    <t>Ball ticket - Julia Nielsen</t>
  </si>
  <si>
    <t>Ball ticket - Venue Rydges Southbank</t>
  </si>
  <si>
    <t>QLSA refund - M. Aswani</t>
  </si>
  <si>
    <t>QLSA refund - P. Tharmaseelan</t>
  </si>
  <si>
    <t>QLSA refund - P Kichina</t>
  </si>
  <si>
    <t>QLSA refund - R. McCamley</t>
  </si>
  <si>
    <t>QLSA refund - B. Witherspoon</t>
  </si>
  <si>
    <t>QLSA refund - A Voss</t>
  </si>
  <si>
    <t>law ball refund - E Callinan</t>
  </si>
  <si>
    <t>Bank Interest</t>
  </si>
  <si>
    <t>Interest Income</t>
  </si>
  <si>
    <t>Membership 11/03/2010</t>
  </si>
  <si>
    <t>Journal - Opening balance of the MECU account 11/03/2010 was $2986.71  Calculated balance (based on KB/BW opening figures) is $706.70  From the endpoint, the opening figure should be 2768.23</t>
  </si>
  <si>
    <t>Direct Credit MISS NICOLE CASE - NICOLE CASEY </t>
  </si>
  <si>
    <t>Direct Credit QPCU - Victoria Meechan </t>
  </si>
  <si>
    <t>Direct Credit CAMPBELL COLIN L - Anna Campbell </t>
  </si>
  <si>
    <t>Direct Credit CAMPBELL COLIN L - Joshua Argent </t>
  </si>
  <si>
    <t>Ext TFR - NET# 342953694 to 587330032 James Watson ANZ - Mackay North</t>
  </si>
  <si>
    <t>Ext TFR - NET# 342953696 to 502176955 Abigail Brook MET - Suncorp Operations Services</t>
  </si>
  <si>
    <t>Ext TFR - NET# 342953700 to 10101119 Erin Craig CBA - Alexandra</t>
  </si>
  <si>
    <t>Ext TFR - NET# 342953708 to 403711 Helen Byrnes CUS - Qld Country Credit Union Ltd</t>
  </si>
  <si>
    <t>Ext TFR - NET# 342953716 to 030253600 Geoffrey Judge MET - Suncorp Operations Services</t>
  </si>
  <si>
    <t>DR Rate Change: 12.7400% To 12.9900% </t>
  </si>
  <si>
    <t>DR Rate Change: 12.9900% To 13.2400% </t>
  </si>
  <si>
    <t>CR Rate Change: 0.5000% To 1.0000% </t>
  </si>
  <si>
    <t>CR Rate Change: 1.0000% To 0.7500% </t>
  </si>
  <si>
    <t>Ext TFR - NET# 359431781 to 249558 ALSA WBC - Sydney Office  341 George Street</t>
  </si>
  <si>
    <t>DR Rate Change: 13.2400% To 13.4900% </t>
  </si>
  <si>
    <t>Was "From Petty Cash" for 806.15</t>
  </si>
  <si>
    <t>Was "From Petty Cash" 806.15</t>
  </si>
  <si>
    <t>Direct Credit Law Ball Ticket - Emma Chandler </t>
  </si>
  <si>
    <t>Direct Credit MISS NICOLE CASE - CAR PAYMENT </t>
  </si>
  <si>
    <t>Direct Credit NETBANK - Melanie Appleby </t>
  </si>
  <si>
    <t>Direct Credit BANK OF QLD - MELANIE COLE </t>
  </si>
  <si>
    <t>Direct Credit MR STEPHEN MILLE - RIANA MILLETT </t>
  </si>
  <si>
    <t>Direct Credit B Wilde - Law Ball </t>
  </si>
  <si>
    <t>Direct Credit MS DEBRA SCHUCK - MELANIE SCHUCK </t>
  </si>
  <si>
    <t>Direct Credit Danni Flynn - 2 Law Ball Tickets </t>
  </si>
  <si>
    <t>Direct Credit NETBANK - CatherineCollins </t>
  </si>
  <si>
    <t>Direct Credit FONEDAT SOLUTION - KelvinBoyd lawball </t>
  </si>
  <si>
    <t>Direct Credit Joseph Burns - Joseph James Burns </t>
  </si>
  <si>
    <t>Direct Credit NETBANK - Chloe Baldock </t>
  </si>
  <si>
    <t>Direct Credit NETBANK - Scheryn Aspinall </t>
  </si>
  <si>
    <t>CR Rate Change: 0.7500% To 1.0000% </t>
  </si>
  <si>
    <t>Direct Credit BAILEY  CATO-HEM - Cato-hemi Bailey </t>
  </si>
  <si>
    <t>Direct Credit MR LIAM MOONEY - LAW BALL PAYMENT </t>
  </si>
  <si>
    <t>Direct Credit BL Witherspoon - Law Ball Ticket </t>
  </si>
  <si>
    <t>Damien Gillespie </t>
  </si>
  <si>
    <t>Polina Kinchina </t>
  </si>
  <si>
    <t>From Alix Harrigan </t>
  </si>
  <si>
    <t>Direct Credit KIRSTY PASSFIELD - JCULSS LAW BALL </t>
  </si>
  <si>
    <t>Direct Credit NETBANK - S Bannan 12361737 </t>
  </si>
  <si>
    <t>Direct Credit NETBANK - Boyd Johnstone </t>
  </si>
  <si>
    <t>Direct Credit NETBANK - Tim McCheane </t>
  </si>
  <si>
    <t>Direct Credit BANK OF QLD - LAURA HILLHOUSE </t>
  </si>
  <si>
    <t>Direct Credit FITZGERALD DANIE - D. Fitzgerald </t>
  </si>
  <si>
    <t>Rogan Hunter </t>
  </si>
  <si>
    <t>Direct Credit Melissa Baker - Melissa Baker </t>
  </si>
  <si>
    <t>Direct Credit NETBANK - Kristie Barrett </t>
  </si>
  <si>
    <t>Direct Credit NETBANK - Tara Latter </t>
  </si>
  <si>
    <t>Direct Credit NETBANK - Laura Carey </t>
  </si>
  <si>
    <t>Direct Credit NETBANK - Melissa Baker </t>
  </si>
  <si>
    <t>Direct Credit NETBANK - JacintaWight ball </t>
  </si>
  <si>
    <t>Direct Credit RICHARDS BEN MAX - Richards  B B </t>
  </si>
  <si>
    <t>Callan Peach </t>
  </si>
  <si>
    <t>Patrick Day </t>
  </si>
  <si>
    <t>Deposit </t>
  </si>
  <si>
    <t>Jodie Woodward </t>
  </si>
  <si>
    <t>Withdrawal - Cash </t>
  </si>
  <si>
    <t>Direct Credit Hayley Schafer - Law Ball Ticket </t>
  </si>
  <si>
    <t>Direct Credit NETBANK - Nathan Smith Ticke </t>
  </si>
  <si>
    <t>Direct Credit BIG SKY CU - Law ball </t>
  </si>
  <si>
    <t>Direct Credit NETBANK - Lauren Prictor </t>
  </si>
  <si>
    <t>Direct Credit NETBANK - Christopher Kadel </t>
  </si>
  <si>
    <t>Direct Credit Joanna Slater - Joanna Slater </t>
  </si>
  <si>
    <t>Direct Credit JJ Ryter - JJ Ryter </t>
  </si>
  <si>
    <t>Direct Credit NETBANK - Sean Bromham Lball </t>
  </si>
  <si>
    <t>CR Rate Change: 0.7500% To 0.5000% </t>
  </si>
  <si>
    <t>D Parry </t>
  </si>
  <si>
    <t>C Aitken </t>
  </si>
  <si>
    <t>Direct Credit LISA RICHARDS &amp; - Kayla Richards </t>
  </si>
  <si>
    <t>D Musumeci </t>
  </si>
  <si>
    <t>Direct Credit Amanda Warry - Amanda Warry </t>
  </si>
  <si>
    <t>Direct Credit Lauren Howell - Law Ball Ticket </t>
  </si>
  <si>
    <t>Direct Credit NETBANK - Imraj Singh </t>
  </si>
  <si>
    <t>Direct Credit BENDIGO BANK - JC199196 A.SEAMAN </t>
  </si>
  <si>
    <t>Alexandra Zollner </t>
  </si>
  <si>
    <t>Cash W/D Ball </t>
  </si>
  <si>
    <t>S Baker/B Dickson/V Vishnoi </t>
  </si>
  <si>
    <t>G Byrne </t>
  </si>
  <si>
    <t>Transaction Fee </t>
  </si>
  <si>
    <t>Ext TFR - NET# 406055093 to 77133321 Martina Aswani CBA - Townsville</t>
  </si>
  <si>
    <t>Ext TFR - NET# 406054655 to 684785 Nicole Amanda Casey WBC - Aitkenvale</t>
  </si>
  <si>
    <t>Ext TFR - NET# 406054650 to 10707647 Polina Kinchina CBA - Aitkenvale</t>
  </si>
  <si>
    <t>EFT Return (Incorrect Account Details) </t>
  </si>
  <si>
    <t>Ext TFR - NET# 409781773 to 684785 Nicole Amanda Casey WBC - Aitkenvale</t>
  </si>
  <si>
    <t>Ext TFR - NET# 409781638 to 77133321 Martina Aswani CBA - Townsville</t>
  </si>
  <si>
    <t>Ext TFR - NET# 409781084 to 684785 Nicole Amanda Casey WBC - Aitkenvale</t>
  </si>
  <si>
    <t>Ext TFR - NET# 409780867 to 116158791 Damien Gillespie BBL - Bendigo-Payroll Services</t>
  </si>
  <si>
    <t>Ext TFR - NET# 409780662 to 20134309 SM &amp; MJ Cole BQL - 255 Queen Street</t>
  </si>
  <si>
    <t>Ext TFR - NET# 409780427 to 760222423 Joseph J Burns ANZ - Global Cards</t>
  </si>
  <si>
    <t>Ext TFR - NET# 409780174 to 10617777 Martina Aswani CBA - Townsville</t>
  </si>
  <si>
    <t>Ext TFR - NET# 409779976 to 795498059 Brittany Witherspoon NAB - Moranbah</t>
  </si>
  <si>
    <t>Ext TFR - NET# 409779729 to 53697 Daniel A Quast CRU - WAW Credit Union Co-Op Ltd</t>
  </si>
  <si>
    <t>Ext TFR - NET# 409779501 to 317320 Liam Mooney WBC - Aitkenvale</t>
  </si>
  <si>
    <t>Ext TFR - NET# 409779305 to 30265562 Kelvin Boyd CUA - Credit Union Aust Ltd-Payment Srvcs</t>
  </si>
  <si>
    <t>Ext TFR - NET# 409779116 to 30265562 Kelvin Boyd CUA - Credit Union Aust Ltd-Payment Srvcs</t>
  </si>
  <si>
    <t>Ext TFR - NET# 409778917 to 10707647 Polina Kinchina CBA - Aitkenvale</t>
  </si>
  <si>
    <t>EFT RETURN (INCORRECT ACCT DETAILS) </t>
  </si>
  <si>
    <t>Ext TFR - NET# 411705033 to 102241600 Scheryn Elizabeth Aspinall ROK - The Rock Building Society Limited</t>
  </si>
  <si>
    <t>Ext TFR - NET# 411705020 to 10171700 Chloe E Baldock CBA - Caneland Shoppingtown Mackay</t>
  </si>
  <si>
    <t>Ext TFR - NET# 411705009 to 10000751 Catherine Collins CBA - Charters Towers QLD</t>
  </si>
  <si>
    <t>Ext TFR - NET# 411705006 to 218501 Cato-hemi Bailey CUS - Qld Country Credit Union Ltd</t>
  </si>
  <si>
    <t>Ext TFR - NET# 411705000 to 174354431 Emma Chandler NAB - Thuringowa Central</t>
  </si>
  <si>
    <t>Ext TFR - NET# 411704994 to 557766564 Brad Wilde NAB - Aitkenvale</t>
  </si>
  <si>
    <t>Ext TFR - NET# 411704986 to 10707647 Polina Kinchina CBA - Aitkenvale</t>
  </si>
  <si>
    <t>Corporate Cheque Fee </t>
  </si>
  <si>
    <t>Cheque Withdrawal - DEEDI  #189194</t>
  </si>
  <si>
    <t>DR Rate Change: 13.4900% To 13.7400% </t>
  </si>
  <si>
    <t>Scheryn Aspinall </t>
  </si>
  <si>
    <t>Melanie Cole </t>
  </si>
  <si>
    <t>Kristene Brown </t>
  </si>
  <si>
    <t>Catherine Collins </t>
  </si>
  <si>
    <t>Molly Mahlouzandes </t>
  </si>
  <si>
    <t>Monica Stout-Milkins </t>
  </si>
  <si>
    <t>Darryn Casson </t>
  </si>
  <si>
    <t>M Stafford </t>
  </si>
  <si>
    <t>C Ferguson </t>
  </si>
  <si>
    <t>BOOK SALES </t>
  </si>
  <si>
    <t>MAX MENZEL MEMBERSHIP </t>
  </si>
  <si>
    <t>P MCCARTHY JCULES MEMBERSHIP </t>
  </si>
  <si>
    <t>P MMCARTHY JCULES TRIVA NIGHT </t>
  </si>
  <si>
    <t>GRUMBERG MEMBERSHIPt </t>
  </si>
  <si>
    <t>GRUMBERG TRIVIA NIGHT </t>
  </si>
  <si>
    <t>Direct Credit SIMON WALKER - TRIVIA NIGHT </t>
  </si>
  <si>
    <t>Direct Credit Simon Walker - MEMBERSHIP2011 </t>
  </si>
  <si>
    <t>Book Fair - Books </t>
  </si>
  <si>
    <t>deposit after the book fair of $110.  Of this, $25 was membership</t>
  </si>
  <si>
    <t>joanna sslater </t>
  </si>
  <si>
    <t>merran matheson </t>
  </si>
  <si>
    <t>claire ziegler </t>
  </si>
  <si>
    <t>Book - Kristene Brown </t>
  </si>
  <si>
    <t>grace nicholls </t>
  </si>
  <si>
    <t>jade barker </t>
  </si>
  <si>
    <t>trivia polina </t>
  </si>
  <si>
    <t>Direct Credit ANU EFT 976193 - 0000044418 </t>
  </si>
  <si>
    <t>Ext TFR - NET# 457681057 to 178357 Tegan Morris CUS - Qld Country Credit Union Ltd</t>
  </si>
  <si>
    <t>Ext TFR - NET# 457681051 to 525929269 Prashant Chaturvedi ANZ - Kirwan</t>
  </si>
  <si>
    <t>Transfer to SAV 08312979 to JCU Student Association - NicolePerkinsBooks</t>
  </si>
  <si>
    <t>Ext TFR - NET# 457681032 to 10049306 Molly Mahlouzarides CBA - Airlie Beach Cannonvale</t>
  </si>
  <si>
    <t>Ext TFR - NET# 457681028 to 10566925 Karina Andrew CBA - Salisbury</t>
  </si>
  <si>
    <t>Ext TFR - NET# 457681006 to 10488042 Yang Ou CBA - Aitkenvale</t>
  </si>
  <si>
    <t>Direct Credit BENDIGO BANK - TRIVIA - GILLESPIE </t>
  </si>
  <si>
    <t>Direct Credit BANK OF QLD - MEL C TRIVIA </t>
  </si>
  <si>
    <t>Direct Credit BAILEY  CATO-HEM - catos trivia ticke </t>
  </si>
  <si>
    <t>Ext TFR - NET# 458321635 to 20985691 TDLA Inc. BQL - Townsville</t>
  </si>
  <si>
    <t>Ext TFR - NET# 458321631 to 403711 Helen Byrnes CUS - Qld Country Credit Union Ltd</t>
  </si>
  <si>
    <t>Sterling Wedel Deposit </t>
  </si>
  <si>
    <t>Molly Mahlouzarides Deposit </t>
  </si>
  <si>
    <t>From Margaret Crowther </t>
  </si>
  <si>
    <t>From Nick Potter </t>
  </si>
  <si>
    <t>Direct Credit Prashant - TRIVIA</t>
  </si>
  <si>
    <t>Direct Credit Prashant - Membership Fees</t>
  </si>
  <si>
    <t>Direct Credit ELAAM FLETT - MaggieIsland Elaam</t>
  </si>
  <si>
    <t>Nick Potter Deposit</t>
  </si>
  <si>
    <t>Maggie Island</t>
  </si>
  <si>
    <t>Direct Credit TCOL LIMITED - COLLEGE OF LAW</t>
  </si>
  <si>
    <t>Direct Credit AUSTRALIAN LAW S - ALSA Equity Grant</t>
  </si>
  <si>
    <t>ALSA Grants</t>
  </si>
  <si>
    <t>For memberships</t>
  </si>
  <si>
    <t>Staff - Trivia</t>
  </si>
  <si>
    <t>Direct Credit BOYD K - Kboyd-Trivia</t>
  </si>
  <si>
    <t>Julie Sorensen</t>
  </si>
  <si>
    <t>Lea Bethune Deposit</t>
  </si>
  <si>
    <t>Ext TFR - NET# 469870277 to 503352606 UONLSA NEW - Newcastle Permanent Building Soc</t>
  </si>
  <si>
    <t>Ext TFR - NET# 470175776 to 482324787 Kristene Brown ANZ - Hermit Park</t>
  </si>
  <si>
    <t>Ext TFR - NET# 490161751 to 483338662 Peita McCarthy NAB - Springwood</t>
  </si>
  <si>
    <t>Statement Copies(Current Stmt)</t>
  </si>
  <si>
    <t>Ext TFR - NET# 497469099 to 627827 Richard and Samara Grumberg WBC - Castletown</t>
  </si>
  <si>
    <t>Direct Credit AUSTRALIAN LAW S - ALSA Equity Fund</t>
  </si>
  <si>
    <t>Direct Credit AUST NATIONAL UN - 0000044418</t>
  </si>
  <si>
    <t>M Mahlouzarides 0413855908 Pub Crawl 201</t>
  </si>
  <si>
    <t>A Baldwin/P/Crawl/M'ship</t>
  </si>
  <si>
    <t>H Wilkinson</t>
  </si>
  <si>
    <t>Max Menzel</t>
  </si>
  <si>
    <t>Direct Credit Monica Tilbrook - PUB CRAWL 2011</t>
  </si>
  <si>
    <t>Direct Credit CATHERINE COLLIN - PCCatherineCollins</t>
  </si>
  <si>
    <t>From N Botter</t>
  </si>
  <si>
    <t>Direct Credit BAILEY, CATO-HEM - PC &amp; membership</t>
  </si>
  <si>
    <t>Direct Credit M Murray - Pubcrawl M Murray</t>
  </si>
  <si>
    <t>Direct Credit POLINA KINCHINA - Kinchina Gillespie</t>
  </si>
  <si>
    <t>Ext TFR - NET# 718926575 to 12138341 Hermit Park Bus Service CBA - 240 Queen St Brisbane</t>
  </si>
  <si>
    <t>Direct Credit BENJAMIN RALPH - PubCrawl Ben Ralph</t>
  </si>
  <si>
    <t>Pub Crawl - M. Rudge</t>
  </si>
  <si>
    <t>Mbership - M. Rudge</t>
  </si>
  <si>
    <t>From B McLaughlin</t>
  </si>
  <si>
    <t>Pub Crawl - R. Wells</t>
  </si>
  <si>
    <t>Mbership - R. Wells</t>
  </si>
  <si>
    <t>Direct Credit KRISTIE BARRETT - K Barrett pubcrawl</t>
  </si>
  <si>
    <t>Stephanie Smith</t>
  </si>
  <si>
    <t>From R Priest</t>
  </si>
  <si>
    <t>Ext TFR - NET# 518589846 to 102241600 Sheryn Aspinall ROK - The Rock Building Society Limited</t>
  </si>
  <si>
    <t>Z Biggs</t>
  </si>
  <si>
    <t>A Schulter</t>
  </si>
  <si>
    <t>C Ferguson</t>
  </si>
  <si>
    <t>Deposit</t>
  </si>
  <si>
    <t>Direct Credit GREER HALLORAN - Pub Crawl Greer</t>
  </si>
  <si>
    <t>Direct Credit GRACE OCONNOR - Pub Grace OConnor</t>
  </si>
  <si>
    <t>Alex McCrae</t>
  </si>
  <si>
    <t>Mbrship - Alison Page</t>
  </si>
  <si>
    <t>Joseph Burns</t>
  </si>
  <si>
    <t>Direct Credit SimonWalker - BookSale2011S2</t>
  </si>
  <si>
    <t>Membership - L Bethune</t>
  </si>
  <si>
    <t>L Bethune - Ball</t>
  </si>
  <si>
    <t>Direct Credit AMANDA MURADOR - Murador 2tix ball</t>
  </si>
  <si>
    <t>S Wedel 3 X Ball</t>
  </si>
  <si>
    <t>Jessica-Lee Sutton 2 Tickets</t>
  </si>
  <si>
    <t>W Marsden</t>
  </si>
  <si>
    <t>E Freeman</t>
  </si>
  <si>
    <t>Direct Credit MR DUNCAN DELANE - D.DELANEY GALA X2</t>
  </si>
  <si>
    <t>From L Batterham</t>
  </si>
  <si>
    <t>From L Hillam</t>
  </si>
  <si>
    <t>Direct Credit RUDGE M - law ball, M. Rudge</t>
  </si>
  <si>
    <t>Direct Credit nicole cooper - Nicole Cooper gala</t>
  </si>
  <si>
    <t>J Burns X 2</t>
  </si>
  <si>
    <t>Direct Credit GENEVIEVE JONES - GenevieveJonesBall</t>
  </si>
  <si>
    <t>Direct Credit Peita McCarthy - Cocktail Gala</t>
  </si>
  <si>
    <t>Ext TFR - NET# 529587141 to 10627553 Jaffa Bar Catering CBA - Townsville</t>
  </si>
  <si>
    <t>McLaughlin &amp; Rodgers</t>
  </si>
  <si>
    <t>Direct Credit Joanna Slater - J Slater Cocktail</t>
  </si>
  <si>
    <t>Potter</t>
  </si>
  <si>
    <t>Direct Credit SAMARA GRUMBERG - LAW BALL TICKETS</t>
  </si>
  <si>
    <t>G O'Connor</t>
  </si>
  <si>
    <t>SWIFT DEPOSIT DE HEER R.R. WILLEMS EN/OF</t>
  </si>
  <si>
    <t>Direct Credit ANRI DE JAGER - Anri De Jager Gala</t>
  </si>
  <si>
    <t>Direct Credit BANK OF QLD - MEL COLE LAW BALL</t>
  </si>
  <si>
    <t>Direct Credit ErinCraigLawBall - ErinCraigLawBall </t>
  </si>
  <si>
    <t>Ext TFR - NET# 720625443 to 502176955 Abby Brook MET - Suncorp Operations Services</t>
  </si>
  <si>
    <t>Ext TFR - NET# 720625177 to 525929269 Prashant Chaturvedi ANZ - Kirwan</t>
  </si>
  <si>
    <t>From K Scott </t>
  </si>
  <si>
    <t>From N Toll </t>
  </si>
  <si>
    <t>Direct Credit QPCU - VMeechan-CtailGala </t>
  </si>
  <si>
    <t>Direct Credit CATHERINE COLLIN - CatherineCollinsCG </t>
  </si>
  <si>
    <t>Deposit from M. Crowther </t>
  </si>
  <si>
    <t>Direct Credit MISS LAUREN PENG - 2 LAW BALL TICKETS </t>
  </si>
  <si>
    <t>Direct Credit MISS ALISON PAGE - ALISON PAGE - GALA </t>
  </si>
  <si>
    <t>Direct Credit CLAIRE LEYDEN-DU - Claire LeydenDuval </t>
  </si>
  <si>
    <t>Direct Credit ALIESHA COULSTON - Lish Coulston Gala </t>
  </si>
  <si>
    <t>From C Argaet </t>
  </si>
  <si>
    <t>From Hannah Wilkinson </t>
  </si>
  <si>
    <t>Direct Credit BANK OF QLD - NSCHULTE COCKTAILG </t>
  </si>
  <si>
    <t>From Molly Mahlouzarides </t>
  </si>
  <si>
    <t>Direct Credit RACHEL WELLS - JCULSS </t>
  </si>
  <si>
    <t>Direct Credit PATRICK CAMBRIDG - Patrick Cambridge </t>
  </si>
  <si>
    <t>From E McDonald </t>
  </si>
  <si>
    <t>Direct Credit Matt Hollings - Cocktail Gala </t>
  </si>
  <si>
    <t>Direct Credit S Sutherland - Shannon Sutherland </t>
  </si>
  <si>
    <t>Direct Credit PRASHANT C - PRASHANT ticket </t>
  </si>
  <si>
    <t>Direct Credit SIMON WALKER - SIMON WALKER </t>
  </si>
  <si>
    <t>Direct Credit Kern - Chasely Kern </t>
  </si>
  <si>
    <t>Direct Credit Ingrid Pommer - Ingrid cocktail ga </t>
  </si>
  <si>
    <t>Emma Duffy &amp; Nadia Vener </t>
  </si>
  <si>
    <t>C Volpi </t>
  </si>
  <si>
    <t>Direct Credit CLAIRE SULLIVAN - C Sullivan Gala </t>
  </si>
  <si>
    <t>From Martina Aswani </t>
  </si>
  <si>
    <t>S Krasniewicz </t>
  </si>
  <si>
    <t>T Vaughan </t>
  </si>
  <si>
    <t>From L Winter </t>
  </si>
  <si>
    <t>Direct Credit GREER HALLORAN - Greer CocktailGala </t>
  </si>
  <si>
    <t>K Saunders </t>
  </si>
  <si>
    <t>K. Benchemam x 2 </t>
  </si>
  <si>
    <t>Caitlin Cappo </t>
  </si>
  <si>
    <t>Alex McCrae </t>
  </si>
  <si>
    <t>Direct Credit H Barbagallo - Cocktail Gala x 2 </t>
  </si>
  <si>
    <t>From K Darlington </t>
  </si>
  <si>
    <t>From Ben Ralph </t>
  </si>
  <si>
    <t>From Matt Sternes </t>
  </si>
  <si>
    <t>N Schulte Membership </t>
  </si>
  <si>
    <t>C Sullivan Membership </t>
  </si>
  <si>
    <t>Direct Credit B&amp;E LTD - SarahDart mmbr fee </t>
  </si>
  <si>
    <t>Direct Credit B&amp;E LTD - SarahDart law ball </t>
  </si>
  <si>
    <t>Direct Credit POLINA KINCHINA - Kinchina Gillespie </t>
  </si>
  <si>
    <t>Direct Credit JODIE WOODWARD - Jodie Woodward </t>
  </si>
  <si>
    <t>Direct Credit NETBANK - HeidiMunozLawBall </t>
  </si>
  <si>
    <t>Direct Credit JODIE WOODWARD - Pat Day</t>
  </si>
  <si>
    <t>Direct Credit JODIE WOODWARD - Alexandra Zollner</t>
  </si>
  <si>
    <t>Ext TFR - NET# 720823485 to 00070271 ReefHQ CBA - Townsville</t>
  </si>
  <si>
    <t>Ext TFR - NET# 720822280 to 10627553 ThePantry CBA - Townsville</t>
  </si>
  <si>
    <t>N Cooper </t>
  </si>
  <si>
    <t>Law Staff X 6 </t>
  </si>
  <si>
    <t>From Max Menzel </t>
  </si>
  <si>
    <t>Direct Credit ZOE MELKSHAM - Zoe Melksham tcket </t>
  </si>
  <si>
    <t>Direct Credit BANK OF QLD - TDLA COCKTAIL GALA </t>
  </si>
  <si>
    <t>Direct Credit HAYLEY ATKINSON - ATKINSON law ball </t>
  </si>
  <si>
    <t>Direct Credit BRENDON PUNCH - Law Ball B Punch </t>
  </si>
  <si>
    <t>Direct Credit IMRAJ SINGH - Imraj Singh ticket </t>
  </si>
  <si>
    <t>L Barton </t>
  </si>
  <si>
    <t>From N Hollebone </t>
  </si>
  <si>
    <t>Direct Credit SCHERYN ASPINALL - Cocktail Gala </t>
  </si>
  <si>
    <t>Direct Credit MISS NICOLE CASE - COCKTAIL GALA </t>
  </si>
  <si>
    <t>Callan Peach</t>
  </si>
  <si>
    <t>Direct Credit NICOLE PEARCE - GALA NICOLE PEARCE</t>
  </si>
  <si>
    <t>Direct Credit Michael Murray - MMurrayLAwBAllx2</t>
  </si>
  <si>
    <t>Direct Credit Jade Barker - JCULSS Cocktail</t>
  </si>
  <si>
    <t>Direct Credit Samuel Browning - SamBrowningLawBall</t>
  </si>
  <si>
    <t>Ext TFR - NET# 533617956 to 10024050 Carmelo-Ross Quagliata CBA - Ayr</t>
  </si>
  <si>
    <t>From Kristene Brown </t>
  </si>
  <si>
    <t>Direct Credit Monica Tilbrook - law ball tickets </t>
  </si>
  <si>
    <t>Direct Credit Yasmin Allawy - Cocktail Gala </t>
  </si>
  <si>
    <t>From M Stout-Milkins</t>
  </si>
  <si>
    <t>Direct Credit MRS KATHERINE OR - K ORMONDE 1104 03 </t>
  </si>
  <si>
    <t>Direct Credit ANGELA SLACK - A Slack LA1102 </t>
  </si>
  <si>
    <t>Direct Credit MISS CHASELY KER - CHASELY KERNLA1104 </t>
  </si>
  <si>
    <t>Direct Credit MISS HEATHER HAN - H HANSEN LA1104 </t>
  </si>
  <si>
    <t>Direct Credit DAVID TURTON - Turton grad drinks </t>
  </si>
  <si>
    <t>Direct Credit SAMARA GRUMBERG - SAMARA+1 GRADDRINK </t>
  </si>
  <si>
    <t>SWIFT RETURN S WALKER 26/09/2011 </t>
  </si>
  <si>
    <t>Reversal of 26/09/2011 made in error</t>
  </si>
  <si>
    <t>M. Mahlouzarides Grad Drinks </t>
  </si>
  <si>
    <t>Ext TFR - NET# 574565973 to 20985691 TDLA BQL - 255 Queen Street</t>
  </si>
  <si>
    <t>Direct Credit AUST NATIONAL UN - 0000044418 </t>
  </si>
  <si>
    <t>2011 Tutorial Sessions </t>
  </si>
  <si>
    <t>Direct Credit HappyMtriviaMemb - HappyMtriviaMember </t>
  </si>
  <si>
    <t>Direct Credit SNJWtriviamembrs - SNJWtriviamembrshp </t>
  </si>
  <si>
    <t>Molly-Trivia </t>
  </si>
  <si>
    <t>Direct Credit LETUNICA SHELLY - Shelly Letunica </t>
  </si>
  <si>
    <t>Direct Credit Alan Birrell - Alan Birrell </t>
  </si>
  <si>
    <t>Direct Credit CALEB CONNOLLY - Caleb Connolly IT </t>
  </si>
  <si>
    <t>S Aspinall/Trivia </t>
  </si>
  <si>
    <t>S Aspinall/M'ship </t>
  </si>
  <si>
    <t>Kirini Gleeson </t>
  </si>
  <si>
    <t>Samantha Jones </t>
  </si>
  <si>
    <t>Direct Credit TONIEY MUNRO - T Munro TDLA </t>
  </si>
  <si>
    <t>Mbrships/BBQ </t>
  </si>
  <si>
    <t>Direct Credit ALEXANDER MCCRAE - TriviaNightAlexM </t>
  </si>
  <si>
    <t>Direct Credit NOEL HOPLEY - 0449171395 NH </t>
  </si>
  <si>
    <t>Direct Credit NOEL HOPLEY - membership nhopley </t>
  </si>
  <si>
    <t>Direct Credit PATRICK WILLIAMS - Patrick Williams </t>
  </si>
  <si>
    <t>Madeleine Rudge - Trivia </t>
  </si>
  <si>
    <t>Trivia Cato Bailey </t>
  </si>
  <si>
    <t>B. Mclaughlin &amp; B. Rodgers </t>
  </si>
  <si>
    <t>Direct Credit HEIDI MUNOZ - Heidi Membership </t>
  </si>
  <si>
    <t>Direct Credit HEIDI MUNOZ - Nicole Membership </t>
  </si>
  <si>
    <t>Patrick Fitzgerald </t>
  </si>
  <si>
    <t>Pub Crawl D Delaney </t>
  </si>
  <si>
    <t>Pub Crawl/A Schluter </t>
  </si>
  <si>
    <t>Join/A Schluter </t>
  </si>
  <si>
    <t>Direct Credit Nathan Toll - Pub Crawl-Membersh </t>
  </si>
  <si>
    <t>Direct Credit BookSalesSNJW - BookSalesSNJW </t>
  </si>
  <si>
    <t>Direct Credit GREER HALLORAN - PCrawl and MShip </t>
  </si>
  <si>
    <t>Direct Credit BANK OF QLD - PUB CRAWL + MEMBER </t>
  </si>
  <si>
    <t>Direct Credit B&amp;E LTD - SDart Pub Crawl </t>
  </si>
  <si>
    <t>Direct Credit GENEVIEVE JONES - PubCGenevieveJones </t>
  </si>
  <si>
    <t>Direct Credit N J POTTER - From 20733276 </t>
  </si>
  <si>
    <t>Direct Credit GRACE OCONNOR - GOConnorPubCrawl </t>
  </si>
  <si>
    <t>Pub Crawl J McCormack </t>
  </si>
  <si>
    <t>Pub Crawl A Bremermann </t>
  </si>
  <si>
    <t>Ext TFR - NET# 585860753 to 12138341 Sunbus CBA - 240 Queen St Brisbane</t>
  </si>
  <si>
    <t>Ext TFR - NET# 585860750 to 871066427 Simon Walker NAB - National Bank House</t>
  </si>
  <si>
    <t>Ext TFR - NET# 585860744 to 178357 TEGAN MORRIS CUS - Qld Country Credit Union Ltd</t>
  </si>
  <si>
    <t>Ext TFR - NET# 585860737 to 482324787 KRISTENE BROWN ANZ - Hermit Park</t>
  </si>
  <si>
    <t>Ext TFR - NET# 585860729 to 10041318 HEIDI MELISSA MUNOZ CBA - Hornsby</t>
  </si>
  <si>
    <t>Ext TFR - NET# 585860722 to 627827 Richard and Samara Grumberg WBC - Castletown</t>
  </si>
  <si>
    <t>Ext TFR - NET# 585860717 to 10049306 Molly Mahlouzarides CBA - Aitkenvale</t>
  </si>
  <si>
    <t>Ext TFR - NET# 585860713 to 10049306 Molly Mahlouzarides CBA - Aitkenvale</t>
  </si>
  <si>
    <t>Ext TFR - NET# 585851588 to 10524031 Alexander McCrae CBA - Aitkenvale</t>
  </si>
  <si>
    <t>Direct Credit MISS CHASELY KER - PUBCKERN0420991510 </t>
  </si>
  <si>
    <t>K. Ferguson - Booze Bus </t>
  </si>
  <si>
    <t>K. Ferguson - Mbrship </t>
  </si>
  <si>
    <t>Alison Page - Mbrship </t>
  </si>
  <si>
    <t>Alison Page - Booze Bus </t>
  </si>
  <si>
    <t>A. McCrae - booze bus </t>
  </si>
  <si>
    <t>Direct Credit MELANIE MAHER - PubCrMelanie Maher </t>
  </si>
  <si>
    <t>Direct Credit CATHERINE COLLIN - CatCollinsx2pub312 </t>
  </si>
  <si>
    <t>Direct Credit RUDGE M - membership M.Rudge </t>
  </si>
  <si>
    <t>Direct Credit RUDGE M - PubCrawl3/12 M.Rud </t>
  </si>
  <si>
    <t>T. Elliott - Pub Crawl </t>
  </si>
  <si>
    <t>T. Elliott - Mbrship </t>
  </si>
  <si>
    <t>P. Mulligan - Pub Crawl </t>
  </si>
  <si>
    <t>M Mahlouzarides Pub Crawl </t>
  </si>
  <si>
    <t>Direct Credit BEN KERRIGAN - EFreeman Pubcrawl </t>
  </si>
  <si>
    <t>Rogan Hunter Pub Crawl </t>
  </si>
  <si>
    <t>EFT Return (Acct Closed) </t>
  </si>
  <si>
    <t>Direct Credit SCHERYN ASPINALL - S Aspinallpubcrawl </t>
  </si>
  <si>
    <t>Direct Credit QUT EFT PAYMENT - 1345601 </t>
  </si>
  <si>
    <t>A. Paterno - Pub Crawl </t>
  </si>
  <si>
    <t>C. Aitken - Mbrshp &amp; Pubcrawl </t>
  </si>
  <si>
    <t>Priestley/Gillman - Pubcrawl </t>
  </si>
  <si>
    <t>K. Daumuller - Mship &amp; Pub </t>
  </si>
  <si>
    <t>M. Mulligan - Mbershp </t>
  </si>
  <si>
    <t>Direct Credit RJH-SNJW - 11xmembship </t>
  </si>
  <si>
    <t>W Marsden Pub Crawl &amp; Membership </t>
  </si>
  <si>
    <t>Tiana Fry - Pub Crawl </t>
  </si>
  <si>
    <t>Direct Credit MISS KEISHA WILD - KEISHA WILDS </t>
  </si>
  <si>
    <t>Direct Credit QUT EFT PAYMENT - 1348772 </t>
  </si>
  <si>
    <t>Direct Credit AUSTRALIAN LAW S - ALSA Equity Fund </t>
  </si>
  <si>
    <t>Membership Rhiannon Rowe </t>
  </si>
  <si>
    <t>P FitzGerald Deposit </t>
  </si>
  <si>
    <t>Direct Credit BCK Lawyers - Sponsorship </t>
  </si>
  <si>
    <t>Direct Credit MISS CHASELY KER - ALSA C.KERN </t>
  </si>
  <si>
    <t>Direct Credit WORKSHOP CASH SW - WORKSHOP CASH SNJW </t>
  </si>
  <si>
    <t>Transfer to INV 138341551</t>
  </si>
  <si>
    <t>Ext TFR - NET# 611542095 to 871066427 Simon Walker NAB - National Bank House</t>
  </si>
  <si>
    <t>Ext TFR - NET# 611539890 to 278219197 ALSA Conference Melb 2012 ANZ - Malvern</t>
  </si>
  <si>
    <t>Direct Credit TONIEY MUNRO - alsa tonieymunro </t>
  </si>
  <si>
    <t>Ext TFR - NET# 611531247 to 206603 NONCHALON T/AS MERCURE TOWNSVI WBC - Castletown</t>
  </si>
  <si>
    <t>Ext TFR - NET# 611528336 to 518486682 QUT Operating Account NAB - Capital Office</t>
  </si>
  <si>
    <t>Direct Credit CALEB CONNOLLY - Connolly CS </t>
  </si>
  <si>
    <t>Direct Credit ELIZABETH ASPINA - Aspinall Advocacy </t>
  </si>
  <si>
    <t>Direct Credit DARREN ROBINSON - darren robinson </t>
  </si>
  <si>
    <t>Ext TFR - NET# 618456943 to 10253560 Toniey Munro CBA - Thuringowa Central</t>
  </si>
  <si>
    <t>Direct Credit Bethel Carpet Cl - Nicole Pearce </t>
  </si>
  <si>
    <t>Direct Credit ELIZABETH ASPINA - Advocacy Brown </t>
  </si>
  <si>
    <t>Ext TFR - NET# 619868670 to 136198 Australian Advocacy Institute WBC - Bourke St</t>
  </si>
  <si>
    <t>`Deposit </t>
  </si>
  <si>
    <t>Direct Credit Rebecca Undery - Issac Avery </t>
  </si>
  <si>
    <t>Ext TFR - NET# 626019719 to 506396807 Sydney University Law Society NAB - Law Courts</t>
  </si>
  <si>
    <t>Direct Credit GENEVIEVE JONES - GenJonesWomensMoot </t>
  </si>
  <si>
    <t>Direct Credit TONIEY MUNRO - TMunro Wmoot </t>
  </si>
  <si>
    <t>Ext TFR - NET# 628268729 to 10049306 Miss Molly L Mahlouzarides CBA - Aitkenvale</t>
  </si>
  <si>
    <t>Direct Credit Alan Birrell - Ball  Alan Birrell </t>
  </si>
  <si>
    <t>Direct Credit PATRICK LEWIS - Patrick Lewis </t>
  </si>
  <si>
    <t>Direct Credit RUDGE M - Ball Ben Horrocks </t>
  </si>
  <si>
    <t>Direct Credit RUDGE M - Ball Madeleine Rud </t>
  </si>
  <si>
    <t>Direct Credit DANIEL JONES - Daniel Jones NQ CG </t>
  </si>
  <si>
    <t>Ext TFR - NET# 632072858 to 478035616 Sporting Advantage ANZ - Kirwan</t>
  </si>
  <si>
    <t>Direct Credit SHERIDAN ANGELA - Angela L Bramwell </t>
  </si>
  <si>
    <t>Direct Credit Allanah Schluter - Allanah Schluter </t>
  </si>
  <si>
    <t>Direct Credit MR DUNCAN DELANE - DELANEY- CORP GAME </t>
  </si>
  <si>
    <t>Direct Credit SIMON WALKER - SOCCER </t>
  </si>
  <si>
    <t>Correction of error </t>
  </si>
  <si>
    <t>Direct Credit RHIANNON ROWE - Rhiannon Rowe Ball </t>
  </si>
  <si>
    <t>Direct Credit MOLLY MAHLOUZARI - Molly Mahlou Ball </t>
  </si>
  <si>
    <t>Direct Credit MOLLY MAHLOUZARI - Molly Mahlou Pub </t>
  </si>
  <si>
    <t>Direct Credit AMANDA MURADOR - A murador mship </t>
  </si>
  <si>
    <t>Direct Credit MISS CARMEN VINC - CARMEN VINCENT </t>
  </si>
  <si>
    <t>Deposit - Kimberly Davmuller </t>
  </si>
  <si>
    <t>Direct Credit AMANDA MURADOR - A murador Ball x2 </t>
  </si>
  <si>
    <t>Direct Credit AMANDA MURADOR - A murador pub x 2 </t>
  </si>
  <si>
    <t>Max Menzel </t>
  </si>
  <si>
    <t>Direct Credit ASHLEIGH PERRY - Ashleigh Perry </t>
  </si>
  <si>
    <t>Direct Credit ADCU - Samuel Lawrence </t>
  </si>
  <si>
    <t>Direct Credit RUDGE M - Pub Ben Horrocks </t>
  </si>
  <si>
    <t>Direct Credit RUDGE M - Pub Madeleine Rudg </t>
  </si>
  <si>
    <t>Ball Deposit - James Hawthorn </t>
  </si>
  <si>
    <t>Schluter </t>
  </si>
  <si>
    <t>Ext TFR - NET# 635995230 to 12138341 SUNBUS CBA - 240 Queen St Brisbane</t>
  </si>
  <si>
    <t>Direct Credit PATERNO PUB CRAW - PATERNO PUB CRAWL </t>
  </si>
  <si>
    <t>McLaughlin </t>
  </si>
  <si>
    <t>Menzel </t>
  </si>
  <si>
    <t>Direct Credit MOLLY MAHLOUZARI - Will Marsden Pub </t>
  </si>
  <si>
    <t>Robert Ballais </t>
  </si>
  <si>
    <t>Danni Jones </t>
  </si>
  <si>
    <t>Direct Credit AMANDA MURADOR - a murador tix no3 </t>
  </si>
  <si>
    <t>Direct Credit Libby-Ben - Libby-Ben Ball </t>
  </si>
  <si>
    <t>Direct Credit B&amp;E LTD - SarahDart Pubcrawl </t>
  </si>
  <si>
    <t>Direct Credit CHOWN DONNA NICO - DonnaChown ballmsh </t>
  </si>
  <si>
    <t>Direct Credit REGINA MAULONI - Pub CEales </t>
  </si>
  <si>
    <t>Direct Credit REGINA MAULONI - Pub RMauloni </t>
  </si>
  <si>
    <t>Direct Credit S K HAY - PUB </t>
  </si>
  <si>
    <t>Direct Credit S K HAY - Membership </t>
  </si>
  <si>
    <t>Direct Credit SOPHIA PRETE - Ball Sophia Prete </t>
  </si>
  <si>
    <t>McCrae </t>
  </si>
  <si>
    <t>Direct Credit KELLIE HOPKINS - Pub Kellie Hopkins </t>
  </si>
  <si>
    <t>Gleeson - pub </t>
  </si>
  <si>
    <t>N Toll </t>
  </si>
  <si>
    <t>Catherine Ferguson - pub crawl </t>
  </si>
  <si>
    <t>Direct Credit CBA - RachelStuartMember </t>
  </si>
  <si>
    <t>Cianciullo </t>
  </si>
  <si>
    <t>Ashley Schader - pub crawl </t>
  </si>
  <si>
    <t>Clare Broad - membership/pub crawl </t>
  </si>
  <si>
    <t>Direct Credit Alice Baldwin - Ball andMembership </t>
  </si>
  <si>
    <t>Direct Credit MISS ELISE OCONN - ELISEOCONNORKEG </t>
  </si>
  <si>
    <t>Direct Credit MR DUNCAN DELANE - PUB CRAWL DELANEY </t>
  </si>
  <si>
    <t>Direct Credit JODIE WOODWARD - Ball Jodie W </t>
  </si>
  <si>
    <t>Direct Credit BANK OF QLD - RAYARNA LAW BALL </t>
  </si>
  <si>
    <t>Pub Crawl Taking MM </t>
  </si>
  <si>
    <t>Direct Credit JODIE WOODWARD - Andrew Parker Ball </t>
  </si>
  <si>
    <t>Direct Credit GRACE OCONNOR - GraceOConnorBall </t>
  </si>
  <si>
    <t>Direct Credit GREER HALLORAN - G Halloran LawBall </t>
  </si>
  <si>
    <t>Direct Credit MISS KELSIE COND - KELSIE CONDON BALL </t>
  </si>
  <si>
    <t>Direct Credit MISS ALISON PAGE - ALISON PAGE BALL </t>
  </si>
  <si>
    <t>Direct Credit JONATHAN FOURIE - Jonathan Fourie-La </t>
  </si>
  <si>
    <t>Direct Credit BENDIGO BANK - J BROMHAM LAW BALL </t>
  </si>
  <si>
    <t>Direct Credit R WOOLFE - Rebecca Woolfe </t>
  </si>
  <si>
    <t>Direct Credit MR MICHAEL MOORE - MICHAEL MOORE BALL </t>
  </si>
  <si>
    <t>Direct Credit MR PATRICK DAY - BALL </t>
  </si>
  <si>
    <t>Law Ball - Christopher Volpi </t>
  </si>
  <si>
    <t>Direct Credit RACHEL WELLS - JCULSS Membership </t>
  </si>
  <si>
    <t>Direct Credit THOMAS FOSTER - Thomas Foster Ball </t>
  </si>
  <si>
    <t>Rikki-Anne Wilson - mship &amp; 2 ball </t>
  </si>
  <si>
    <t>Mship &amp; ball - Mona Neuhaus </t>
  </si>
  <si>
    <t>Peach </t>
  </si>
  <si>
    <t>Direct Credit WILLIAM MARSDEN - WillM Ball and Keg </t>
  </si>
  <si>
    <t>Direct Credit JUSTINE LEE - Justine Lee </t>
  </si>
  <si>
    <t>Direct Credit MISS KEISHA WILD - BALL- KEISHA WILDS </t>
  </si>
  <si>
    <t>Direct Credit B&amp;E LTD - Sarah Dart - Ball </t>
  </si>
  <si>
    <t>Stephanie Allen - KEG </t>
  </si>
  <si>
    <t>Direct Credit RACHEL WELLS - LawballRachelWells </t>
  </si>
  <si>
    <t>Direct Credit Troy Vaughan - Troy Vaughan Ball </t>
  </si>
  <si>
    <t>Direct Credit NOEL HOPLEY - noel hopley ball </t>
  </si>
  <si>
    <t>Direct Credit ELIZABETH ASPINA - Law Ball ASPINALL </t>
  </si>
  <si>
    <t>Hawthorn </t>
  </si>
  <si>
    <t>Spaulding - mship/ball </t>
  </si>
  <si>
    <t>Ball tkt - Rebecca Brooks </t>
  </si>
  <si>
    <t>Ball tkt - Ken Bickle </t>
  </si>
  <si>
    <t>Ball tkt - Matthew Sharkey </t>
  </si>
  <si>
    <t>Ball Tkts x 2 - Justine Lee </t>
  </si>
  <si>
    <t>Ball Tkts x 2 Perri Boulton </t>
  </si>
  <si>
    <t>Ball Tkt - Caitlin Bowthorpe </t>
  </si>
  <si>
    <t>Ball tkt - tiffany Muir </t>
  </si>
  <si>
    <t>Jason Piper Ball tkt &amp; membership </t>
  </si>
  <si>
    <t>Direct Credit Prashant Chaturv - Prashant - Ball </t>
  </si>
  <si>
    <t>Direct Credit COURTNEY AITKEN - CAitken Law Ball </t>
  </si>
  <si>
    <t>Direct Credit Sterling Wedel - Sterling wedel </t>
  </si>
  <si>
    <t>Direct Credit MORRIS. TEGAN LO - Tegan Morris LawBa </t>
  </si>
  <si>
    <t>Direct Credit BENDIGO BANK - CHELSEANICHOLLSBAL </t>
  </si>
  <si>
    <t>Direct Credit JCU STUDENT ASSO - JCUSA Grant </t>
  </si>
  <si>
    <t>Govan - ball ticket </t>
  </si>
  <si>
    <t>Direct Credit OLIVIA READ - Law Ball Tickets 3 </t>
  </si>
  <si>
    <t>Ketan - ticket </t>
  </si>
  <si>
    <t>Direct Credit BANK OF QLD - HANNAHWILKINSONBAL </t>
  </si>
  <si>
    <t>Fazel - M'ship &amp; ball ticket </t>
  </si>
  <si>
    <t>McDonald ball tickets </t>
  </si>
  <si>
    <t>Tweddle  Depledge-Smith &amp; Hayes tkts </t>
  </si>
  <si>
    <t>Turner - m'ship and ball tkt </t>
  </si>
  <si>
    <t>Ball tkts x2  membership Fairlie Duncomb </t>
  </si>
  <si>
    <t>Ball tkts x2  membership Kelli Connell </t>
  </si>
  <si>
    <t>Ball tkt - Coral Shamir </t>
  </si>
  <si>
    <t>Ball tkt - Raymond Everest </t>
  </si>
  <si>
    <t>Ball tkt - Christopher Williams </t>
  </si>
  <si>
    <t>Ball tkt &amp; Membership Jo-anne Hunt </t>
  </si>
  <si>
    <t>Ball tkt - Rachel Stuart </t>
  </si>
  <si>
    <t>Ball tkt - Natalie Pegoraro </t>
  </si>
  <si>
    <t>Ball tkt - Bill Richards </t>
  </si>
  <si>
    <t>Direct Credit DANIEL JONES - LB Daniel Jones 2 </t>
  </si>
  <si>
    <t>Direct Credit HANNAH PALMA - Ball Hannah Palma </t>
  </si>
  <si>
    <t>Direct Credit ELIZABETH FRASER - Elizabeth Fraser </t>
  </si>
  <si>
    <t>Direct Credit Jessie Cox - Law Ball Jess Cox </t>
  </si>
  <si>
    <t>Direct Credit MR MICHAEL MCINT - MIKE MCINTYRE KEG </t>
  </si>
  <si>
    <t>Direct Credit Jade Barker - Jade Barker x2 </t>
  </si>
  <si>
    <t>Direct Credit Chasely Kern - ball ckern </t>
  </si>
  <si>
    <t>Direct Credit Rhett Ashman - Rhett Ashman -BALL </t>
  </si>
  <si>
    <t>Direct Credit Laura Moore - Laura Moore Ball </t>
  </si>
  <si>
    <t>Direct Credit Morgan Rosier - LawBall M. Rosier </t>
  </si>
  <si>
    <t>Direct Credit ROB BALLAIS - ROB BALLAIS BALL </t>
  </si>
  <si>
    <t>Transfer from INV 138341551</t>
  </si>
  <si>
    <t>Interest Credit by Transfer</t>
  </si>
  <si>
    <t>Direct Credit SCHWARTZ MARTHIN - Liesl+James </t>
  </si>
  <si>
    <t>Direct Credit Lauren Barton - Lauren Barton </t>
  </si>
  <si>
    <t>Direct Credit DANIELLE JONES - Dani x2 Law Ball </t>
  </si>
  <si>
    <t>Direct Credit PATRICK LEWIS - Pat Lewis Law Ball </t>
  </si>
  <si>
    <t>Direct Credit TYLER GOODINE - TylerandClaireKeg </t>
  </si>
  <si>
    <t>Direct Credit BANK OF QLD - EMMA CROZIER BALL </t>
  </si>
  <si>
    <t>Direct Credit HEIDI MUNOZ - BenMountford LBall </t>
  </si>
  <si>
    <t>Banset </t>
  </si>
  <si>
    <t>Direct Credit EmmaAndSimon - EmmaAndSimon2tix </t>
  </si>
  <si>
    <t>Direct Credit FELICITY HUXHAGE - Felicity Huxhagen </t>
  </si>
  <si>
    <t>Keg Party </t>
  </si>
  <si>
    <t>Direct Credit Ben Webster - Ben Webster Ball </t>
  </si>
  <si>
    <t>Direct Credit MISS KRISTEN BOR - KRISTEN BORN- BALL </t>
  </si>
  <si>
    <t>Direct Credit MISS STEPHANIE S - SRIGANO BALL </t>
  </si>
  <si>
    <t>Direct Credit Alice Baldwin - Keg Party- member </t>
  </si>
  <si>
    <t>Direct Credit WOODS. MICHAEL S - Michael Woods Ball </t>
  </si>
  <si>
    <t>Direct Credit IMRAJ SINGH - Imraj Singh </t>
  </si>
  <si>
    <t>B &amp; H Walters </t>
  </si>
  <si>
    <t>Sarah Cervoni </t>
  </si>
  <si>
    <t>Ext TFR - NET# 641810634 to 10324429 Caleb Connolly CBA - Thuringowa Central</t>
  </si>
  <si>
    <t>Ball Tkt &amp; Membership Vivek Mathai Joshi </t>
  </si>
  <si>
    <t>T Papadimitriou </t>
  </si>
  <si>
    <t>Bonnefin X2 Ball tickets </t>
  </si>
  <si>
    <t>Direct Credit MR KYLE HILLSDON - HILLSDON ADAMS BAL </t>
  </si>
  <si>
    <t>Direct Credit nickita knight - nickita knight sml </t>
  </si>
  <si>
    <t>Direct Credit LISA MCNAMARA - Darin Honchin SML </t>
  </si>
  <si>
    <t>Direct Credit LISA MCNAMARA - Lisa McNamara SML </t>
  </si>
  <si>
    <t>M Rawlins Deposit </t>
  </si>
  <si>
    <t>J Bagley Deposit </t>
  </si>
  <si>
    <t>Direct Credit BELINDA COLLEDGE - Ellie Frau Ticket </t>
  </si>
  <si>
    <t>Direct Credit MELANIE MAHER - Mel Maher Law Ball </t>
  </si>
  <si>
    <t>Keg M Fraser Deposit </t>
  </si>
  <si>
    <t>Keg D Graham Deposit </t>
  </si>
  <si>
    <t>Keg S Sperling Deposit </t>
  </si>
  <si>
    <t>2 x Ball tkts Patrick Cambridge/Kara Ben </t>
  </si>
  <si>
    <t>Direct Credit MISS ERI IIZAWA - ERI IIZAWA </t>
  </si>
  <si>
    <t>Ball tkt &amp; membership - Taylor Young </t>
  </si>
  <si>
    <t>Direct Credit PARKER MICHAEL S - MichaelParker LawB </t>
  </si>
  <si>
    <t>Schluter &amp; B McLachlin </t>
  </si>
  <si>
    <t>Ball tkt &amp; Membership - Natalya Polikarp </t>
  </si>
  <si>
    <t>Direct Credit OLIVIA READ - 0 Read 2nd deposit </t>
  </si>
  <si>
    <t>Direct Credit HEIDI MUNOZ - HeidiMunoz Law bal </t>
  </si>
  <si>
    <t>Direct Credit MISS SASCHA KRAS - KRASNIEWICZLAWBALL </t>
  </si>
  <si>
    <t>Direct Credit SIMON WALKER - KEG SimonW </t>
  </si>
  <si>
    <t>Ext TFR - NET# 642864377 to 281100293 Griffith Uni Law Society ANZ - Mt Gravatt Upper (Garden City)</t>
  </si>
  <si>
    <t>S Fletchett &amp; M Richardson Deposit </t>
  </si>
  <si>
    <t>Direct Credit ALIESHA COULSTON - Harry Fletcher </t>
  </si>
  <si>
    <t>Direct Credit ALIESHA COULSTON - Aliesha Coulston </t>
  </si>
  <si>
    <t>Direct Credit MR DUNCAN DELANE - BALL- DELANEY DUNC </t>
  </si>
  <si>
    <t>Ext TFR - NET# 643413072 to 281100293 Griffith Uni Law Society ANZ - Mt Gravatt Upper (Garden City)</t>
  </si>
  <si>
    <t>Direct Credit TONIEY MUNRO - MS T Munro </t>
  </si>
  <si>
    <t>Direct Credit MR DUNCAN DELANE - BALL- ZOE COLLYER </t>
  </si>
  <si>
    <t>Earnings Keg Party Deposit </t>
  </si>
  <si>
    <t>Direct Credit Kirini Gleeson - Ball x 2 </t>
  </si>
  <si>
    <t>Direct Credit JONES KENNETH JO - genjonesball </t>
  </si>
  <si>
    <t>Direct Credit Law society ms - Deahn Turnbull M/S </t>
  </si>
  <si>
    <t>Direct Credit MCKEE JILL ANN - Laura McKee (ball) </t>
  </si>
  <si>
    <t>Direct Credit MONICA STOUT-MIL - Ball2Tixs4Bethune </t>
  </si>
  <si>
    <t>R Hunter </t>
  </si>
  <si>
    <t>S Allen </t>
  </si>
  <si>
    <t>Ball tkt - Alex McCrae </t>
  </si>
  <si>
    <t>2 x Ball tkts Stephen Graw </t>
  </si>
  <si>
    <t>Cato Bailey </t>
  </si>
  <si>
    <t>Ben Gertz </t>
  </si>
  <si>
    <t>Ball tkt &amp; membership Richard O'Brien </t>
  </si>
  <si>
    <t>Direct Credit MOLLY MAHLOUZARI - Ingrid Pommer BALL </t>
  </si>
  <si>
    <t>Bank Cheque Fee </t>
  </si>
  <si>
    <t>Cheque Withdrawal - Mecure Townsville  #318290</t>
  </si>
  <si>
    <t>Ext TFR - NET# 646731937 to 202191440 The Party Warehouse MET - Suncorp Operations Services</t>
  </si>
  <si>
    <t>Ext TFR - NET# 647659229 to 10324429 Caleb Connolly CBA - Thuringowa Central</t>
  </si>
  <si>
    <t>Ext TFR - NET# 648166622 to 871066427 Simon Walker NAB - National Bank House</t>
  </si>
  <si>
    <t>Ext TFR - NET# 736327383 to 141274304 Chasely Kern NAB - Aitkenvale</t>
  </si>
  <si>
    <t>Ext TFR - NET# 652284969 to 10824384 Kelly for Events CBA - Aitkenvale</t>
  </si>
  <si>
    <t>EFT Rtn (Acc Closed) </t>
  </si>
  <si>
    <t>Transfer to INV 138344019</t>
  </si>
  <si>
    <t>Ext TFR - NET# 659057486 to 218501 Cato-Hemi Bailey CUS - Qld Country Credit Union Ltd</t>
  </si>
  <si>
    <t>Ext TFR - NET# 659056882 to 10235131 Kelly for Events CBA - Mt Pleasant</t>
  </si>
  <si>
    <t>Ext TFR - NET# 664579279 to 271553 NQ Plaques &amp; Trophies WBC - Aitkenvale</t>
  </si>
  <si>
    <t>Direct Credit ANU EFT 1071684 - 0000044418 </t>
  </si>
  <si>
    <t>Transfer from INV 138344019</t>
  </si>
  <si>
    <t>Direct Credit MOLLY MAHLOUZARI - MMahlou Membership </t>
  </si>
  <si>
    <t>Ext TFR - NET# 791443360 to 485166438 Nathan James Toll ANZ - Kirwan</t>
  </si>
  <si>
    <t>Direct Credit TIFFANY SHIPP - Tiffany Shipp </t>
  </si>
  <si>
    <t>29 Membership </t>
  </si>
  <si>
    <t>Direct Credit RUDGE M - membership </t>
  </si>
  <si>
    <t>Direct Credit MOLLY MAHLOUZARI - MMahlou Trivia </t>
  </si>
  <si>
    <t>Direct Credit ALAN BIRRELL - TDLA Trivia Night </t>
  </si>
  <si>
    <t>Aydon Huston membership </t>
  </si>
  <si>
    <t>Direct Credit RUDGE M - TDLA trivia night </t>
  </si>
  <si>
    <t>Direct Credit QUT EFT PAYMENT - 1385006 </t>
  </si>
  <si>
    <t>Direct Credit TONIEY MUNRO - MemTDLATMunro </t>
  </si>
  <si>
    <t>Direct Credit MOLLY MAHLOUZARI - Nick Chase Trivia </t>
  </si>
  <si>
    <t>Direct Credit BAILEY  CATO-HEM - cato mbrship &amp; t </t>
  </si>
  <si>
    <t>Direct Credit JUSTINE LEE - LAWdictionary </t>
  </si>
  <si>
    <t>Andrew Gosbee Membership </t>
  </si>
  <si>
    <t>Direct Credit KIM PATTINSON - Kim pattinson </t>
  </si>
  <si>
    <t>Direct Credit BRIDGET MANNIX - Trivia Bridget M </t>
  </si>
  <si>
    <t>Direct Credit ALEC SPENCER - Alec Spencer </t>
  </si>
  <si>
    <t>Booksale </t>
  </si>
  <si>
    <t>Direct Credit MR EDMOND MAZID - EDMOND MAZID </t>
  </si>
  <si>
    <t>Ext TFR - NET# 696460844 to 197619615 Ms P Johnston-Boulton ANZ - Kirwan</t>
  </si>
  <si>
    <t>Ext TFR - NET# 696460382 to 10381355 Trish Hayden CBA - Rockhampton North</t>
  </si>
  <si>
    <t>Ext TFR - NET# 696459364 to 027983751 Liesl Schwartz MET - Suncorp Operations Services</t>
  </si>
  <si>
    <t>Ext TFR - NET# 696458922 to 10186590 Bridget Mannix CBA - Darwin</t>
  </si>
  <si>
    <t>Ext TFR - NET# 696458238 to 178747929 Ken Edwards NAB - Aitkenvale</t>
  </si>
  <si>
    <t>Booksale/BBQ </t>
  </si>
  <si>
    <t>Direct Credit MISS CASSANDRA E - Cassandra Nitz </t>
  </si>
  <si>
    <t>Ext TFR - NET# 697008520 to 676695 Holly Trentin WBC - Mount Isa</t>
  </si>
  <si>
    <t>Direct Credit RHIANNON ROWE - Rhiannon Rowe </t>
  </si>
  <si>
    <t>Ext TFR - NET# 697243515 to 343213118 Andrew Gosbee HBA - Brisbane Branch</t>
  </si>
  <si>
    <t>Ext TFR - NET# 698236491 to 10049306 Molly Mahlouzarides CBA - Aitkenvale</t>
  </si>
  <si>
    <t>Direct Credit KASUBA JOSIP STE - josip kasuba </t>
  </si>
  <si>
    <t>Ext TFR - NET# 698858955 to 218501 Cato-Hemi Bailey CUS - Qld Country Credit Union Ltd</t>
  </si>
  <si>
    <t>Ext TFR - NET# 698807181 to 10801453 Chad Hardy CBA - University of Queensland St Lucia</t>
  </si>
  <si>
    <t>Ext TFR - NET# 699178142 to 871066427 Simon Walker NAB - National Bank House</t>
  </si>
  <si>
    <t>Direct Credit SIMON WALKER - BBQ13032013 </t>
  </si>
  <si>
    <t>Jahmillah Johnson Deposit </t>
  </si>
  <si>
    <t>Direct Credit TONIEY MUNRO - TMunroPub </t>
  </si>
  <si>
    <t>Pub Crawl A Schluter </t>
  </si>
  <si>
    <t>Ext TFR - NET# 703709876 to 10049306 Molly Mahlouzarides CBA - Aitkenvale</t>
  </si>
  <si>
    <t>BBQ </t>
  </si>
  <si>
    <t>Ext TFR - NET# 704395502 to 871066427 Simon Walker NAB - National Bank House</t>
  </si>
  <si>
    <t>Pub/M Bronwyn Harding </t>
  </si>
  <si>
    <t>Allanah Griffiths Pub M </t>
  </si>
  <si>
    <t>Direct Credit Alice Baldwin - PubM </t>
  </si>
  <si>
    <t>Direct Credit MOLLY MAHLOUZARI - MMahlou Pub </t>
  </si>
  <si>
    <t>John Williams Deposit </t>
  </si>
  <si>
    <t>Direct Credit MOLLY MAHLOUZARI - Softdrinks </t>
  </si>
  <si>
    <t>Direct Credit ANDREW DOUGLAS - Goon PubM </t>
  </si>
  <si>
    <t>BBQ Deposit </t>
  </si>
  <si>
    <t>Direct Credit BANK OF QLD - M YEUNG PUBM </t>
  </si>
  <si>
    <t>Ext TFR - NET# 706991413 to 12138341 SUNBUS CBA - 240 Queen St Brisbane</t>
  </si>
  <si>
    <t>Ext TFR - NET# 706980936 to 871066427 Simon Walker NAB - National Bank House</t>
  </si>
  <si>
    <t>Direct Credit AMANDA MURADOR - Murador pubM x 3 </t>
  </si>
  <si>
    <t>Direct Credit Chasely Kern pub - chasely pub crawl </t>
  </si>
  <si>
    <t>Direct Credit COULSTON ALIESHA - Pub Coulston </t>
  </si>
  <si>
    <t>Direct Credit COULSTON ALIESHA - Member Coulston </t>
  </si>
  <si>
    <t>Direct Credit RUDGE M - Pub </t>
  </si>
  <si>
    <t>Drew X 2 PubM Deposit </t>
  </si>
  <si>
    <t>Direct Credit MR WILLIAM MCKEN - W MCKENZIE PUBM </t>
  </si>
  <si>
    <t>Direct Credit MICHAEL DALTONAL - PubM MDaltonalomes </t>
  </si>
  <si>
    <t>S Sangha  PUBM Deposit </t>
  </si>
  <si>
    <t>Direct Credit BANK OF QLD - MATT PRIESTLEY PUB </t>
  </si>
  <si>
    <t>Direct Credit AMANDA MURADOR - Amandam pub xtra </t>
  </si>
  <si>
    <t>Direct Credit WALTHER TONY GER - Tony Walther Pub </t>
  </si>
  <si>
    <t>Jarrad Curnow PubM Deposit </t>
  </si>
  <si>
    <t>B Maltby Pub Crawl </t>
  </si>
  <si>
    <t>Ext TFR - NET# 709416269 to 049320733 Josip Kasuba MET - Suncorp Operations Services</t>
  </si>
  <si>
    <t>R Bishop Pub Crawl Deposit </t>
  </si>
  <si>
    <t>B McLaughlan Pub Crawl Deposit </t>
  </si>
  <si>
    <t>4 X Pub Deposit </t>
  </si>
  <si>
    <t>Direct Credit Mark Phillips - Mark Phillips </t>
  </si>
  <si>
    <t>Stephanie Mariani Pub </t>
  </si>
  <si>
    <t>Direct Credit ELDRIDGE DOMINIC - DomPubM </t>
  </si>
  <si>
    <t>W Marsden Pub Deposit </t>
  </si>
  <si>
    <t>Alex McCrae Pub </t>
  </si>
  <si>
    <t>Pub X 4  Deposit </t>
  </si>
  <si>
    <t>Direct Credit TCOL LIMITED - COLLEGE OF LAW </t>
  </si>
  <si>
    <t>Ext TFR - NET# 712027395 to 10049306 Miss Molly L Mahlouzarides CBA - Aitkenvale</t>
  </si>
  <si>
    <t>Ext TFR - NET# 712025940 to 871066427 Simon Walker NAB - National Bank House</t>
  </si>
  <si>
    <t>Ext TFR - NET# 712025564 to 871066427 Simon Walker NAB - National Bank House</t>
  </si>
  <si>
    <t>Ext TFR - NET# 793877944 to 10049306 Miss Molly L Mahlouzarides CBA - Aitkenvale</t>
  </si>
  <si>
    <t>Ext TFR - NET# 713289237 to 10253560 Ms Toniey Munro CBA - Thuringowa Central</t>
  </si>
  <si>
    <t>Direct Credit AUSTRALIAN LAW S - ALSA Equity Grant </t>
  </si>
  <si>
    <t>Transfer to INV 138346729</t>
  </si>
  <si>
    <t>Ext TFR - NET# 715364652 to 10049306 Miss Molly L Mahlouzarides CBA - Aitkenvale</t>
  </si>
  <si>
    <t>Ext TFR - NET# 715364162 to 20733276 Nicholas J Potter CRU - Defence Bank Limited</t>
  </si>
  <si>
    <t>Ext TFR - NET# 715363516 to 10253560 Ms Toniey Munro CBA - Thuringowa Central</t>
  </si>
  <si>
    <t>Ext TFR - NET# 716356002 to 10049306 Miss Molly L Mahlouzarides CBA - Aitkenvale</t>
  </si>
  <si>
    <t>Ext TFR - NET# 716314765 to 10253560 Toniey Munro CBA - Thuringowa Central</t>
  </si>
  <si>
    <t>Ext TFR - NET# 716313645 to 871066427 Simon Walker NAB - National Bank House</t>
  </si>
  <si>
    <t>Ext TFR - NET# 794252760 to 10049306 Miss Molly L Mahlouzarides CBA - Aitkenvale</t>
  </si>
  <si>
    <t>Direct Credit LETUNICA SHELLY - SLETUNICA ALSA </t>
  </si>
  <si>
    <t>Ext TFR - NET# 719196353 to 308574 ALSA Conference (Perth) 2013 WBC - University Campus</t>
  </si>
  <si>
    <t>Ext TFR - NET# 719394186 to 10049306 Miss Molly L Mahlouzarides CBA - Aitkenvale</t>
  </si>
  <si>
    <t>Ext TFR - NET# 721982342 to 871066427 Simon Walker NAB - National Bank House</t>
  </si>
  <si>
    <t>Ext TFR - NET# 721982096 to 871066427 Simon Walker NAB - National Bank House</t>
  </si>
  <si>
    <t>Direct Credit TONIEY MUNRO - Munroequity </t>
  </si>
  <si>
    <t>Direct Credit MOLLY MAHLOUZARI - Bbq and breakfast </t>
  </si>
  <si>
    <t>BBQ wk10-12 </t>
  </si>
  <si>
    <t>Nick Equity </t>
  </si>
  <si>
    <t>Mel Tweedie Equity </t>
  </si>
  <si>
    <t>Mel Maher Equirt </t>
  </si>
  <si>
    <t>Ext TFR - NET# 723043169 to 271553 NQ Plaques &amp; Trophies WBC - Aitkenvale</t>
  </si>
  <si>
    <t>Ext TFR - NET# 723040569 to 871066427 Simon Walker NAB - National Bank House</t>
  </si>
  <si>
    <t>Ext TFR - NET# 723040191 to 871066427 Simon Walker NAB - National Bank House</t>
  </si>
  <si>
    <t>Ext TFR - NET# 723039573 to 10049306 Miss Molly L Mahlouzarides CBA - Aitkenvale</t>
  </si>
  <si>
    <t>Direct Credit MATHI JOSHI - MATT JOSHI </t>
  </si>
  <si>
    <t>Ext TFR - NET# 724753410 to 871066427 Simon Walker NAB - National Bank House</t>
  </si>
  <si>
    <t>Direct Credit Prashant Chaturv - For Medals </t>
  </si>
  <si>
    <t>Direct Credit ALEC SPENCER - Alec Spencer EQUTY </t>
  </si>
  <si>
    <t>Direct Credit Robert Ballais - Rob Ballais Equity </t>
  </si>
  <si>
    <t>Direct Credit LYNETTE ROOKE - Lyn Rooke Equity </t>
  </si>
  <si>
    <t>Direct Credit JCOOKUNI - 0355321 </t>
  </si>
  <si>
    <t>Balance</t>
  </si>
  <si>
    <t>Calculated</t>
  </si>
  <si>
    <t>Ball tickets accrued but not banked</t>
  </si>
  <si>
    <t>Shirts retained as sports uniform</t>
  </si>
  <si>
    <t>Advertisement - Legal Endeavour</t>
  </si>
  <si>
    <t>Advertisement - Focaccia</t>
  </si>
  <si>
    <t>Advertisement - Under Wraps Hair</t>
  </si>
  <si>
    <t>Advertisement - Student Association</t>
  </si>
  <si>
    <t>Advertisement - JCU</t>
  </si>
  <si>
    <t>Advertisement - Brandons' Travel</t>
  </si>
  <si>
    <t>Advertisement - Drivers' Mart</t>
  </si>
  <si>
    <t>Advertisement - Lingerie Shop</t>
  </si>
  <si>
    <t>Raffle for ball ticket</t>
  </si>
  <si>
    <t>4167 SALES-GENERAL               24.00     631.59</t>
  </si>
  <si>
    <t>4167 SALES-MARY WHO I CHQ        15.00     646.59</t>
  </si>
  <si>
    <t>4168 GENERAL SALES               16.00     662.59</t>
  </si>
  <si>
    <t>52 5 INTEREST CREDIT              0.03     662.62</t>
  </si>
  <si>
    <t>52 5 INTEREST CREDIT              0.03     662.65</t>
  </si>
  <si>
    <t>52 5 INTEREST CREDIT              0.03     662.68</t>
  </si>
  <si>
    <t>52 5 INTEREST CREDIT              0.03     662.71</t>
  </si>
  <si>
    <t>ALSA banners donated</t>
  </si>
  <si>
    <t>Sponsorship accrued - COL</t>
  </si>
  <si>
    <t>Sponsorship accrued - ANU</t>
  </si>
  <si>
    <t>Sponsorship accrued - QLSA</t>
  </si>
  <si>
    <t>Law Ball Ticket Reversed - Emma Chandler </t>
  </si>
  <si>
    <t>Books abandoned from 2009 (10 @ $10each)</t>
  </si>
  <si>
    <t>Book proceeds owing - Molly Mahlouzarides</t>
  </si>
  <si>
    <t>Books abandoned from 2010 (5 @ $10each)</t>
  </si>
  <si>
    <t>Soccer money put into TD a/c by mistake</t>
  </si>
  <si>
    <t>Law Ball venue prepayment reversed</t>
  </si>
  <si>
    <t>BBQ depreciation</t>
  </si>
  <si>
    <t> </t>
  </si>
  <si>
    <t>	 </t>
  </si>
  <si>
    <t>JCULSS Statement of Financial Performance</t>
  </si>
  <si>
    <t>Operating income</t>
  </si>
  <si>
    <t>General Income</t>
  </si>
  <si>
    <t>Sales Income</t>
  </si>
  <si>
    <t>Event income</t>
  </si>
  <si>
    <t>Non-operating income</t>
  </si>
  <si>
    <t>Income from investments</t>
  </si>
  <si>
    <t>Extraordinary income</t>
  </si>
  <si>
    <t>Total income</t>
  </si>
  <si>
    <t>Operating expenses</t>
  </si>
  <si>
    <t>General expenses</t>
  </si>
  <si>
    <t>Cost of sales</t>
  </si>
  <si>
    <t>Event expenses</t>
  </si>
  <si>
    <t>Non-operating expenditure</t>
  </si>
  <si>
    <t>Expenses from debt servicing</t>
  </si>
  <si>
    <t>Extraordinary expense</t>
  </si>
  <si>
    <t>Total expenditure</t>
  </si>
  <si>
    <t>Net profit (loss)</t>
  </si>
  <si>
    <t>JCULSS Statement of Financial Position</t>
  </si>
  <si>
    <t>Assets</t>
  </si>
  <si>
    <t>Current Assets</t>
  </si>
  <si>
    <t>Fixed Assets</t>
  </si>
  <si>
    <t>Total assets</t>
  </si>
  <si>
    <t>Liabilities</t>
  </si>
  <si>
    <t>Current Liabilities</t>
  </si>
  <si>
    <t>Term Liabilities</t>
  </si>
  <si>
    <t>Total equity and liabilities</t>
  </si>
  <si>
    <t>JCULSS Bank Reconciliation</t>
  </si>
  <si>
    <t>The following account is reconciled</t>
  </si>
  <si>
    <t>Opening balance of this account</t>
  </si>
  <si>
    <t>Add unprocessed deposits</t>
  </si>
  <si>
    <t>Subtract unpresented cheques</t>
  </si>
  <si>
    <t>Closing balance of this account</t>
  </si>
  <si>
    <t>Physical balance from bank statement</t>
  </si>
  <si>
    <t>Cross check balances and attach to this report</t>
  </si>
  <si>
    <t>Discrepancy / Reconciliation error</t>
  </si>
  <si>
    <t>Date</t>
  </si>
  <si>
    <t>Reason</t>
  </si>
  <si>
    <t>Present</t>
  </si>
  <si>
    <t>Apologies</t>
  </si>
  <si>
    <t>Was Quorum?</t>
  </si>
  <si>
    <t>2011AGM</t>
  </si>
  <si>
    <t>2011 AGM</t>
  </si>
  <si>
    <t>2012FM4</t>
  </si>
  <si>
    <t>Flying meeting: Corporate soccer payment</t>
  </si>
  <si>
    <t>Simon Walker, Sarah Dart, Molly Mahlouzarides, Nicholas Potter and Lea Bethune, Toniey Munro, Rogan Hunter, Ravdeep Chera, Alexander Paterno, Scheryn Aspinall, Chasely Kern</t>
  </si>
  <si>
    <t>2012M6</t>
  </si>
  <si>
    <t>Meeting #6: Ball stuff, keg party</t>
  </si>
  <si>
    <t>Simon Walker, Sarah Dart, Molly Mahlouzarides, Nicholas Potter, Rogan Hunter, Alexander Paterno, Scheryn Aspinall, Chasely Kern, Cheryl Bonnefin, Tim, Cato, Kirini, Caleb</t>
  </si>
  <si>
    <t>2012AGM</t>
  </si>
  <si>
    <t>2012 AGM</t>
  </si>
  <si>
    <t>Meeting Code</t>
  </si>
  <si>
    <t>Item Code</t>
  </si>
  <si>
    <t>Item Desc</t>
  </si>
  <si>
    <t>Budgeted Amt</t>
  </si>
  <si>
    <t>Approved Amt</t>
  </si>
  <si>
    <t>Info</t>
  </si>
  <si>
    <t>Item #1</t>
  </si>
  <si>
    <t>Keg party</t>
  </si>
  <si>
    <t>•        Need to start selling tickets
•        Need to cap ticket sales at $200 so 50 at the door
•        Costs: kegs 1500 for 6 kegs
•        Band $250
•        Food $100 for BBQ going for the night/no veg option
•        3 armoured knights, a show every hour, $200 medieval reenactment society
•        Open to all uni students
•        Advertise around uni
•        Last Friday before lecture recess
•        Should be aimed at colleges/ Timmy
•        Time frames: open 7pm for back area and 11pm
•        Mid strength and full strength XXXX
•        2 kegs on standby
•        Fancy dress: if not have a makeshift butchers paper tunic
•        Student association to advertise
•        $2100 included food
•        21st September
•        11 doors open to everyone
•        Volunteers for the door and need petty cash: Cato on the door
•        Petty cash $100
•        BBQ: 2 people Nick Potter
•        Keep an eye on the band: run them a jug every now and then:
•        Try to organize an apple bob
•        How many people to break even; 84 at membership price.
•        People helping at 6am
•        Rogan and Tim to do announcements
</t>
  </si>
  <si>
    <t>Ball</t>
  </si>
  <si>
    <t>•	Trouble finding a band
•	Photographer: 2 possible, Tonieys friend
•	Everything else on track
•	Talk up early bird prices in lectures
•	$55 catering, $40 drink package (5hr), $800 room hire
•	Budgeted $600 band, $5 decoration
•	Band: style? Calebs band? Need front of house speakers and mixing - $50. 
•	Focus more on jazz
•	Quorum: Calebs band, $600 for the band
•	Invitations for firms: distribute to those who has contacts
•	Photograph: Bell a friend of Tonieys. Put on facebook and can incur costs        if you print them out. 
•	She will come a little earlier. Meet up the week before. 
•	Prashant presentation
•	Pre arrange maxi cabs instead of courtesy bus to town
•	6:30 door open
•	Dietary requirements: doesn’t eat anything but fish (pescetarian), gluten     free and lactose free, need table no. 
</t>
  </si>
  <si>
    <t>Pub Crawl</t>
  </si>
  <si>
    <t>•	$430 profit
•	Need to reinburst Alex Mccrae for $11.10 for wrist bands
•	Went to new place, sidewalks
•	Kirini lost her shoes 
•	Shaz lost her drivers license
</t>
  </si>
  <si>
    <t>•	2 PLT presentations: dealt with in the next sponsorship. 
•	Feedback from the PLT presentation: not as engaged as previous years.
•	Logo link: 10 posting on facebook page, 3 posts so still have a couple more to do.
•	QUT, can check on facebook but not on the JCULSS site
•	Publications, regular newsletter? Emails to our website and youtube videos. 
•	Flyer events? QUT logo on the mayo lecture
•	Logo on the membership cards
•	Careers guide
•	VIP attendees and the no. of attendees
•	Honor QUT at law ball
•	PowerPoint of there logos flicking through
•	AGM 9th October, 
•	Advertise 14 days beforehand
•	YouTube videos for candidates </t>
  </si>
  <si>
    <t>ALSA Conference</t>
  </si>
  <si>
    <t>-lecture recess
- Brisbane
- funding of $650 through equity
•	follow up ALSA shirts with Toniey
</t>
  </si>
  <si>
    <t>•	positions for next year
•	membership cards: need to get them out.</t>
  </si>
  <si>
    <t>Sporting teams</t>
  </si>
  <si>
    <t>•	Sarah got the law school to give her money for the sporting team 
•	$ 560 for the uniforms</t>
  </si>
  <si>
    <t>Law Networkers</t>
  </si>
  <si>
    <t>•	Giveaway
•	18 users 
•	Increase in facebook 42%
•	Special event claim 11
•	Special membership claims 2
•	Won off a special members claim
•	Bit confusing doing the bonus entries
•	Giveaway 2 keg parties tickets: consensus: yes</t>
  </si>
  <si>
    <t>Law Ball</t>
  </si>
  <si>
    <t>Unanimous decision to spend money on Caleb's band</t>
  </si>
  <si>
    <t>Unanimous decision to reimburse Alex McCrae</t>
  </si>
  <si>
    <t>Keg Party</t>
  </si>
  <si>
    <t>Unanimous decision to give away 2 x tickets on lawnetworkers.com</t>
  </si>
  <si>
    <t>Unanimous decision to spend money on keg party (see item 2012M6.1)</t>
  </si>
  <si>
    <t>Constitution changes</t>
  </si>
  <si>
    <t>Quorum definition changed to "Senior exec + Treasurer OR Exec / 2 (rounded down) + 1" (passed)</t>
  </si>
  <si>
    <t>Discretionary spending limit for senior exec changed from $100 to $200 (passed)</t>
  </si>
  <si>
    <t>Make meetings fortnightly (failed)</t>
  </si>
  <si>
    <t>Create new position</t>
  </si>
  <si>
    <t>Created Sponsorship rep position (passed)</t>
  </si>
  <si>
    <t>Fill vacant position</t>
  </si>
  <si>
    <t>Voted Molly Mahlouzarides to position of President (passed)</t>
  </si>
  <si>
    <t>Voted Nicolas Potter to position of Vice President (passed)</t>
  </si>
  <si>
    <t>Voted Cato Hemi-Bailey to position of Secretary (passed)</t>
  </si>
  <si>
    <t>Voted Simon Walker to position of Treasurer (passed)</t>
  </si>
  <si>
    <t>Voted Alex McCrae to position of Social Representative (passed)</t>
  </si>
  <si>
    <t>Voted Rogan Hunter to position of Social Representative (passed)</t>
  </si>
  <si>
    <t>Voted Duncan Delaney to position of Publications Representative (passed)</t>
  </si>
  <si>
    <t>Voted Nathan Toll to position of Publications Representative (passed)</t>
  </si>
  <si>
    <t>Voted Perri Johnston-Boulton to position of Public Relations Representative (passed)</t>
  </si>
  <si>
    <t>Voted Alex Paterno to position of IT Representative (passed)</t>
  </si>
  <si>
    <t>Voted Toniey Munro to position of ALSA Representative (passed)</t>
  </si>
  <si>
    <t>Voted Madeleine Rudge to position of Mayo Representative (passed)</t>
  </si>
  <si>
    <t>Voted Ben Gertz to position of ATSI Representative (passed)</t>
  </si>
  <si>
    <t>Voted Alan Birrell to position of Mature Age Representative (passed)</t>
  </si>
  <si>
    <t>Voted Max Menzel to position of Sports Representative (passed)</t>
  </si>
  <si>
    <t>Voted Chasely Kern to position of Sponsorship Representative (passed)</t>
  </si>
  <si>
    <t>Public liability insurance</t>
  </si>
  <si>
    <t>Voted to not have liability insurance as per Associations Incorporation Act 1981 (Qld) s 70(1) (passed)</t>
  </si>
  <si>
    <t>JCULSS Treasurer Reports</t>
  </si>
  <si>
    <t>General information</t>
  </si>
  <si>
    <t>The accounts for the JCULSS have been prepared in accordance to generally accepted accounting principles.  As a not-for-profit community organisation, JCULSS is not required to submit an income tax return.  The statements will require an audit each year that revenue exceeds $20,000.</t>
  </si>
  <si>
    <t>The organisation does not hold public liability insurance, and it is the recommendation of the treasurer that PLI is unneccessary.  The JCULSS is incorporated and thus limited in liability.  While on-campus, the JCUSA and University cover the JCULSS under their comprehensive insurance policies.</t>
  </si>
  <si>
    <t>Accounting for assets</t>
  </si>
  <si>
    <t>The JCULSS follows recommended depreciation methods and values from the Australian Taxation Office (ATO).</t>
  </si>
  <si>
    <t>This is stored on-campus in the Eastern stairwell of building DA027.</t>
  </si>
  <si>
    <t>Date of purchase:</t>
  </si>
  <si>
    <t>Purchase value:</t>
  </si>
  <si>
    <t>Date of disposal:</t>
  </si>
  <si>
    <t>Disposal amount:</t>
  </si>
  <si>
    <t>Depreciation method: Diminishing value </t>
  </si>
  <si>
    <t>Useful life (years):</t>
  </si>
  <si>
    <t>Amounts:</t>
  </si>
  <si>
    <t>2013 = 32 / 365 days * PV * 200% / 5 years = </t>
  </si>
  <si>
    <t>Banners, flags, apparel, uniforms</t>
  </si>
  <si>
    <t>These low-value items are recorded at a basic estimate of replacement cost.</t>
  </si>
  <si>
    <t>These are stored in room DA027.125</t>
  </si>
  <si>
    <t>Investments</t>
  </si>
  <si>
    <t>This is a 3 month term deposit with BankMECU.</t>
  </si>
  <si>
    <t>As a not-for-profit association, no tax returns are required.</t>
  </si>
  <si>
    <t>However, this means that JCULSS cannot claim WHT or franking credits.  It is suggested that investments that return income with no tax deducted are therefore more desirable.</t>
  </si>
  <si>
    <t>These are books donated to the JCULSS directly, or those abandoned at book sales for greater than two years.</t>
  </si>
  <si>
    <t>This is for conferences and similar events where the JCULSS is promised sponsorship and/or grants and pre-pays for events prior to receiving these monies.</t>
  </si>
  <si>
    <t>AAAAAH7v2Kk=</t>
  </si>
  <si>
    <t>AAAAAH7v2Ko=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</si>
</sst>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
    <numFmt numFmtId="165" formatCode="d-mmm-yyyy;@"/>
    <numFmt numFmtId="166" formatCode="&quot;$&quot;#,##0.00"/>
  </numFmts>
  <fonts count="30">
    <font>
      <b val="0"/>
      <i val="0"/>
      <strike val="0"/>
      <u val="none"/>
      <sz val="10.0"/>
      <color rgb="FF000000"/>
      <name val="Arial"/>
    </font>
    <font>
      <b val="0"/>
      <i val="0"/>
      <strike val="0"/>
      <u/>
      <sz val="10.0"/>
      <color rgb="FF000000"/>
      <name val="Arial"/>
    </font>
    <font>
      <b val="0"/>
      <i val="0"/>
      <strike val="0"/>
      <u val="none"/>
      <sz val="11.0"/>
      <color rgb="FF000000"/>
      <name val="Calibri"/>
    </font>
    <font>
      <b val="0"/>
      <i val="0"/>
      <strike val="0"/>
      <u val="none"/>
      <sz val="10.0"/>
      <color rgb="FF000000"/>
      <name val="Arial"/>
    </font>
    <font>
      <b/>
      <i val="0"/>
      <strike val="0"/>
      <u val="none"/>
      <sz val="10.0"/>
      <color rgb="FF000000"/>
      <name val="Arial"/>
    </font>
    <font>
      <b val="0"/>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sz val="12.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1.0"/>
      <color rgb="FFDDDDDD"/>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sz val="12.0"/>
      <color rgb="FF000000"/>
      <name val="Arial"/>
    </font>
    <font>
      <b val="0"/>
      <i val="0"/>
      <strike val="0"/>
      <u/>
      <sz val="10.0"/>
      <color rgb="FF000000"/>
      <name val="Arial"/>
    </font>
    <font>
      <b/>
      <i val="0"/>
      <strike val="0"/>
      <u val="none"/>
      <sz val="10.0"/>
      <color rgb="FF000000"/>
      <name val="Arial"/>
    </font>
    <font>
      <b val="0"/>
      <i val="0"/>
      <strike val="0"/>
      <u val="none"/>
      <sz val="10.0"/>
      <color rgb="FFDDDDDD"/>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1.0"/>
      <color rgb="FF000000"/>
      <name val="Calibri"/>
    </font>
    <font>
      <b/>
      <i val="0"/>
      <strike val="0"/>
      <u val="none"/>
      <sz val="10.0"/>
      <color rgb="FF000000"/>
      <name val="Arial"/>
    </font>
  </fonts>
  <fills count="3">
    <fill>
      <patternFill patternType="none"/>
    </fill>
    <fill>
      <patternFill patternType="gray125">
        <bgColor rgb="FFFFFFFF"/>
      </patternFill>
    </fill>
    <fill>
      <patternFill patternType="solid">
        <fgColor rgb="FF33CCCC"/>
        <bgColor indexed="64"/>
      </patternFill>
    </fill>
  </fills>
  <borders count="4">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1">
    <xf borderId="0" fillId="0" fontId="0" numFmtId="0"/>
  </cellStyleXfs>
  <cellXfs count="35">
    <xf borderId="0" fillId="0" fontId="0" numFmtId="0" xfId="0" applyAlignment="1">
      <alignment horizontal="general" vertical="bottom" wrapText="1"/>
    </xf>
    <xf borderId="0" fillId="0" fontId="1" numFmtId="0" xfId="0" applyAlignment="1" applyFont="1">
      <alignment horizontal="general" vertical="bottom" wrapText="1"/>
    </xf>
    <xf borderId="0" fillId="0" fontId="2" numFmtId="164" xfId="0" applyFont="1" applyNumberFormat="1"/>
    <xf borderId="1" fillId="0" fontId="0" numFmtId="0" xfId="0" applyAlignment="1" applyBorder="1">
      <alignment horizontal="general" vertical="bottom" wrapText="1"/>
    </xf>
    <xf borderId="0" fillId="0" fontId="3" numFmtId="0" xfId="0" applyAlignment="1" applyFont="1" applyNumberFormat="1">
      <alignment horizontal="general" vertical="bottom" wrapText="1"/>
    </xf>
    <xf borderId="0" fillId="0" fontId="4" numFmtId="0" xfId="0" applyAlignment="1" applyFont="1">
      <alignment horizontal="general" vertical="bottom" wrapText="1"/>
    </xf>
    <xf borderId="0" fillId="0" fontId="5" numFmtId="0" xfId="0" applyAlignment="1" applyFont="1">
      <alignment horizontal="left" vertical="top"/>
    </xf>
    <xf borderId="0" fillId="0" fontId="6" numFmtId="165" xfId="0" applyAlignment="1" applyFont="1" applyNumberFormat="1">
      <alignment horizontal="left" vertical="bottom" wrapText="1"/>
    </xf>
    <xf borderId="0" fillId="0" fontId="0" numFmtId="165" xfId="0" applyAlignment="1" applyNumberFormat="1">
      <alignment horizontal="general" vertical="bottom" wrapText="1"/>
    </xf>
    <xf borderId="2" fillId="0" fontId="7" numFmtId="166" xfId="0" applyAlignment="1" applyBorder="1" applyFont="1" applyNumberFormat="1">
      <alignment horizontal="general" vertical="bottom" wrapText="1"/>
    </xf>
    <xf borderId="0" fillId="0" fontId="8" numFmtId="43" xfId="0" applyFont="1" applyNumberFormat="1"/>
    <xf borderId="0" fillId="0" fontId="9" numFmtId="43" xfId="0" applyAlignment="1" applyFont="1" applyNumberFormat="1">
      <alignment horizontal="general" vertical="bottom" wrapText="1"/>
    </xf>
    <xf borderId="0" fillId="0" fontId="0" numFmtId="166" xfId="0" applyAlignment="1" applyNumberFormat="1">
      <alignment horizontal="general" vertical="bottom" wrapText="1"/>
    </xf>
    <xf borderId="3" fillId="0" fontId="10" numFmtId="166" xfId="0" applyAlignment="1" applyBorder="1" applyFont="1" applyNumberFormat="1">
      <alignment horizontal="general" vertical="bottom" wrapText="1"/>
    </xf>
    <xf borderId="0" fillId="0" fontId="11" numFmtId="166" xfId="0" applyAlignment="1" applyFont="1" applyNumberFormat="1">
      <alignment horizontal="general" vertical="bottom" wrapText="1"/>
    </xf>
    <xf borderId="0" fillId="0" fontId="12" numFmtId="0" xfId="0" applyAlignment="1" applyFont="1">
      <alignment horizontal="general" vertical="center"/>
    </xf>
    <xf borderId="0" fillId="0" fontId="13" numFmtId="0" xfId="0" applyFont="1"/>
    <xf borderId="1" fillId="0" fontId="14" numFmtId="166" xfId="0" applyAlignment="1" applyBorder="1" applyFont="1" applyNumberFormat="1">
      <alignment horizontal="general" vertical="bottom" wrapText="1"/>
    </xf>
    <xf borderId="0" fillId="0" fontId="15" numFmtId="166" xfId="0" applyAlignment="1" applyFont="1" applyNumberFormat="1">
      <alignment horizontal="general" vertical="bottom" wrapText="1"/>
    </xf>
    <xf borderId="0" fillId="2" fontId="16" numFmtId="0" xfId="0" applyAlignment="1" applyFill="1" applyFont="1">
      <alignment horizontal="general" vertical="center"/>
    </xf>
    <xf borderId="0" fillId="0" fontId="17" numFmtId="0" xfId="0" applyAlignment="1" applyFont="1">
      <alignment horizontal="general" vertical="bottom" wrapText="1"/>
    </xf>
    <xf borderId="1" fillId="0" fontId="18" numFmtId="166" xfId="0" applyAlignment="1" applyBorder="1" applyFont="1" applyNumberFormat="1">
      <alignment horizontal="general" vertical="bottom" wrapText="1"/>
    </xf>
    <xf borderId="2" fillId="0" fontId="0" numFmtId="0" xfId="0" applyAlignment="1" applyBorder="1">
      <alignment horizontal="general" vertical="bottom" wrapText="1"/>
    </xf>
    <xf borderId="0" fillId="0" fontId="19" numFmtId="0" xfId="0" applyAlignment="1" applyFont="1">
      <alignment horizontal="left" vertical="bottom" wrapText="1"/>
    </xf>
    <xf borderId="0" fillId="0" fontId="20" numFmtId="0" xfId="0" applyAlignment="1" applyFont="1">
      <alignment horizontal="general" vertical="bottom" wrapText="1"/>
    </xf>
    <xf borderId="0" fillId="0" fontId="21" numFmtId="0" xfId="0" applyAlignment="1" applyFont="1">
      <alignment horizontal="general" vertical="bottom" wrapText="1"/>
    </xf>
    <xf borderId="0" fillId="0" fontId="22" numFmtId="43" xfId="0" applyAlignment="1" applyFont="1" applyNumberFormat="1">
      <alignment horizontal="general" vertical="bottom" wrapText="1"/>
    </xf>
    <xf borderId="0" fillId="0" fontId="23" numFmtId="0" xfId="0" applyAlignment="1" applyFont="1">
      <alignment horizontal="general" vertical="bottom" wrapText="1"/>
    </xf>
    <xf borderId="0" fillId="0" fontId="24" numFmtId="0" xfId="0" applyFont="1"/>
    <xf borderId="0" fillId="0" fontId="25" numFmtId="0" xfId="0" applyAlignment="1" applyFont="1">
      <alignment horizontal="general" vertical="bottom" wrapText="1"/>
    </xf>
    <xf borderId="0" fillId="0" fontId="0" numFmtId="0" xfId="0"/>
    <xf borderId="0" fillId="0" fontId="26" numFmtId="43" xfId="0" applyAlignment="1" applyFont="1" applyNumberFormat="1">
      <alignment horizontal="general" vertical="bottom" wrapText="1"/>
    </xf>
    <xf borderId="3" fillId="0" fontId="27" numFmtId="166" xfId="0" applyAlignment="1" applyBorder="1" applyFont="1" applyNumberFormat="1">
      <alignment horizontal="general" vertical="bottom" wrapText="1"/>
    </xf>
    <xf borderId="0" fillId="0" fontId="28" numFmtId="0" xfId="0" applyFont="1"/>
    <xf borderId="2" fillId="0" fontId="29" numFmtId="166" xfId="0" applyAlignment="1" applyBorder="1" applyFont="1" applyNumberFormat="1">
      <alignment horizontal="general" vertical="bottom" wrapText="1"/>
    </xf>
  </cellXfs>
  <cellStyles count="1">
    <cellStyle xfId="0" name="Normal" builtinId="0"/>
  </cell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23.14"/>
    <col customWidth="1" min="2" max="2" width="12.57"/>
  </cols>
  <sheetData>
    <row r="1">
      <c r="A1" s="5" t="s">
        <v>0</v>
      </c>
    </row>
    <row r="2">
      <c r="A2" s="20" t="s">
        <v>1</v>
      </c>
      <c r="B2" s="7">
        <v>41455</v>
      </c>
    </row>
    <row r="3">
      <c r="A3" t="s">
        <v>2</v>
      </c>
      <c r="B3" t="s">
        <v>3</v>
      </c>
    </row>
    <row r="5">
      <c r="A5" s="5" t="s">
        <v>4</v>
      </c>
    </row>
    <row r="6">
      <c r="A6" s="20" t="s">
        <v>5</v>
      </c>
      <c r="B6" s="23">
        <f>IF((B3="Yes"),(YEAR(B2)+IF((MONTH(B2)&lt;7),0,1)), YEAR(B2))</f>
        <v>2013</v>
      </c>
    </row>
    <row r="7">
      <c r="A7" s="20" t="s">
        <v>6</v>
      </c>
      <c r="B7" s="7">
        <f>IF((B3="Yes"),DATE((YEAR(B2)-IF((MONTH(B2)&lt;7),1,0)),7,1),  IF((DAY((B2+1))=1),DATE((YEAR((B2+1))-1),MONTH((B2+1)),1),( DATE((YEAR(B2)-1),MONTH(B2),DAY(B2))+1)))</f>
        <v>41091</v>
      </c>
    </row>
    <row r="8">
      <c r="A8" s="20" t="s">
        <v>7</v>
      </c>
      <c r="B8" s="7">
        <f>IF((B3="Yes"),DATE((YEAR(B2)+IF((MONTH(B2)&lt;7),0,1)),6,30),B2)</f>
        <v>41455</v>
      </c>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10.43"/>
    <col customWidth="1" min="2" max="2" width="55.71"/>
    <col customWidth="1" min="3" max="3" width="12.0"/>
  </cols>
  <sheetData>
    <row r="1">
      <c r="B1" s="28" t="s">
        <v>1435</v>
      </c>
    </row>
    <row r="3">
      <c r="B3" s="1" t="s">
        <v>1436</v>
      </c>
    </row>
    <row r="4" ht="47.25" customHeight="1">
      <c r="B4" t="s">
        <v>1437</v>
      </c>
    </row>
    <row r="6">
      <c r="B6" t="s">
        <v>1438</v>
      </c>
    </row>
    <row r="9">
      <c r="B9" s="1" t="s">
        <v>1439</v>
      </c>
    </row>
    <row r="10">
      <c r="B10" t="s">
        <v>1440</v>
      </c>
    </row>
    <row r="12">
      <c r="B12" s="1" t="s">
        <v>28</v>
      </c>
    </row>
    <row r="13">
      <c r="B13" t="s">
        <v>1441</v>
      </c>
    </row>
    <row r="14">
      <c r="B14" t="s">
        <v>1442</v>
      </c>
      <c r="C14" s="8">
        <v>41396</v>
      </c>
    </row>
    <row r="15">
      <c r="B15" t="s">
        <v>1443</v>
      </c>
      <c r="C15" s="12">
        <v>899.8</v>
      </c>
    </row>
    <row r="16">
      <c r="B16" t="s">
        <v>1444</v>
      </c>
    </row>
    <row r="17">
      <c r="B17" t="s">
        <v>1445</v>
      </c>
    </row>
    <row r="18">
      <c r="B18" t="s">
        <v>1446</v>
      </c>
    </row>
    <row r="19">
      <c r="B19" t="s">
        <v>1447</v>
      </c>
      <c r="C19">
        <v>5</v>
      </c>
    </row>
    <row r="20">
      <c r="B20" t="s">
        <v>1448</v>
      </c>
    </row>
    <row r="21">
      <c r="B21" t="s">
        <v>1449</v>
      </c>
      <c r="C21" s="12">
        <f>ROUND(((((32/365)*C15)*2)/C19),2)</f>
        <v>31.55</v>
      </c>
    </row>
    <row r="23">
      <c r="B23" s="1" t="s">
        <v>1450</v>
      </c>
    </row>
    <row r="24">
      <c r="B24" t="s">
        <v>1451</v>
      </c>
    </row>
    <row r="25">
      <c r="B25" t="s">
        <v>1452</v>
      </c>
    </row>
    <row r="27">
      <c r="B27" s="1" t="s">
        <v>1453</v>
      </c>
    </row>
    <row r="28">
      <c r="B28" t="s">
        <v>1454</v>
      </c>
    </row>
    <row r="29">
      <c r="B29" t="s">
        <v>1455</v>
      </c>
    </row>
    <row r="30">
      <c r="B30" t="s">
        <v>1456</v>
      </c>
    </row>
    <row r="32">
      <c r="B32" s="1" t="s">
        <v>23</v>
      </c>
    </row>
    <row r="33">
      <c r="B33" t="s">
        <v>1457</v>
      </c>
    </row>
    <row r="34">
      <c r="B34" t="s">
        <v>1452</v>
      </c>
    </row>
    <row r="36">
      <c r="B36" s="25" t="s">
        <v>36</v>
      </c>
    </row>
    <row r="37">
      <c r="B37" t="s">
        <v>1458</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sheetData>
    <row r="1">
      <c r="A1" s="15" t="str">
        <f>IF(Readme!R,"AAAAAF1e7wA=",0)</f>
        <v>#VALUE!:notNumber</v>
      </c>
      <c r="B1" s="15" t="str">
        <f>AND(Readme!A1,"AAAAAF1e7wE=")</f>
        <v>#VALUE!:noResult:No valid cells found for operation.</v>
      </c>
      <c r="C1" s="15" t="str">
        <f>AND(Readme!B1,"AAAAAF1e7wI=")</f>
        <v>#VALUE!:noResult:No valid cells found for operation.</v>
      </c>
      <c r="D1" s="15">
        <f>IF(Readme!R[1],"AAAAAF1e7wM=",0)</f>
        <v>0</v>
      </c>
      <c r="E1" s="15" t="str">
        <f>AND(Readme!A2,"AAAAAF1e7wQ=")</f>
        <v>#VALUE!:noResult:No valid cells found for operation.</v>
      </c>
      <c r="F1" s="15" t="b">
        <f>AND(Readme!B2,"AAAAAF1e7wU=")</f>
        <v>1</v>
      </c>
      <c r="G1" s="15">
        <f>IF(Readme!R[3],"AAAAAF1e7wY=",0)</f>
        <v>0</v>
      </c>
      <c r="H1" s="15" t="str">
        <f>AND(Readme!A4,"AAAAAF1e7wc=")</f>
        <v>#VALUE!:noResult:No valid cells found for operation.</v>
      </c>
      <c r="I1" s="15" t="str">
        <f>AND(Readme!B4,"AAAAAF1e7wg=")</f>
        <v>#VALUE!:noResult:No valid cells found for operation.</v>
      </c>
      <c r="J1" s="15">
        <f>IF(Readme!R[4],"AAAAAF1e7wk=",0)</f>
        <v>0</v>
      </c>
      <c r="K1" s="15" t="str">
        <f>AND(Readme!A5,"AAAAAF1e7wo=")</f>
        <v>#VALUE!:noResult:No valid cells found for operation.</v>
      </c>
      <c r="L1" s="15" t="str">
        <f>AND(Readme!B5,"AAAAAF1e7ws=")</f>
        <v>#VALUE!:noResult:No valid cells found for operation.</v>
      </c>
      <c r="M1" s="15">
        <f>IF(Readme!R[5],"AAAAAF1e7ww=",0)</f>
        <v>0</v>
      </c>
      <c r="N1" s="15" t="str">
        <f>AND(Readme!A6,"AAAAAF1e7w0=")</f>
        <v>#VALUE!:noResult:No valid cells found for operation.</v>
      </c>
      <c r="O1" s="15" t="b">
        <f>AND(Readme!B6,"AAAAAF1e7w4=")</f>
        <v>1</v>
      </c>
      <c r="P1" s="15">
        <f>IF(Readme!R[6],"AAAAAF1e7w8=",0)</f>
        <v>0</v>
      </c>
      <c r="Q1" s="15" t="str">
        <f>AND(Readme!A7,"AAAAAF1e7xA=")</f>
        <v>#VALUE!:noResult:No valid cells found for operation.</v>
      </c>
      <c r="R1" s="15" t="b">
        <f>AND(Readme!B7,"AAAAAF1e7xE=")</f>
        <v>1</v>
      </c>
      <c r="S1" s="15">
        <f>IF(Readme!R[7],"AAAAAF1e7xI=",0)</f>
        <v>0</v>
      </c>
      <c r="T1" s="15" t="str">
        <f>AND(Readme!A8,"AAAAAF1e7xM=")</f>
        <v>#VALUE!:noResult:No valid cells found for operation.</v>
      </c>
      <c r="U1" s="15" t="b">
        <f>AND(Readme!B8,"AAAAAF1e7xQ=")</f>
        <v>1</v>
      </c>
      <c r="V1" s="15">
        <f>IF(Readme!R[8],"AAAAAF1e7xU=",0)</f>
        <v>0</v>
      </c>
      <c r="W1" s="15">
        <f>IF(Readme!R[9],"AAAAAF1e7xY=",0)</f>
        <v>0</v>
      </c>
      <c r="X1" s="15">
        <f>IF(Readme!R[10],"AAAAAF1e7xc=",0)</f>
        <v>0</v>
      </c>
      <c r="Y1" s="15">
        <f>IF(Readme!R[11],"AAAAAF1e7xg=",0)</f>
        <v>0</v>
      </c>
      <c r="Z1" s="15">
        <f>IF(Readme!R[12],"AAAAAF1e7xk=",0)</f>
        <v>0</v>
      </c>
      <c r="AA1" s="15">
        <f>IF(Readme!R[13],"AAAAAF1e7xo=",0)</f>
        <v>0</v>
      </c>
      <c r="AB1" s="15">
        <f>IF(Readme!R[14],"AAAAAF1e7xs=",0)</f>
        <v>0</v>
      </c>
      <c r="AC1" s="15">
        <f>IF(Readme!R[15],"AAAAAF1e7xw=",0)</f>
        <v>0</v>
      </c>
      <c r="AD1" s="15">
        <f>IF(Readme!R[16],"AAAAAF1e7x0=",0)</f>
        <v>0</v>
      </c>
      <c r="AE1" s="15">
        <f>IF(Readme!R[17],"AAAAAF1e7x4=",0)</f>
        <v>0</v>
      </c>
      <c r="AF1" s="15">
        <f>IF(Readme!R[18],"AAAAAF1e7x8=",0)</f>
        <v>0</v>
      </c>
      <c r="AG1" s="15">
        <f>IF(Readme!R[19],"AAAAAF1e7yA=",0)</f>
        <v>0</v>
      </c>
      <c r="AH1" s="15">
        <f>IF(Readme!R[20],"AAAAAF1e7yE=",0)</f>
        <v>0</v>
      </c>
      <c r="AI1" s="15">
        <f>IF(Readme!R[21],"AAAAAF1e7yI=",0)</f>
        <v>0</v>
      </c>
      <c r="AJ1" s="15">
        <f>IF(Readme!R[22],"AAAAAF1e7yM=",0)</f>
        <v>0</v>
      </c>
      <c r="AK1" s="15">
        <f>IF(Readme!R[23],"AAAAAF1e7yQ=",0)</f>
        <v>0</v>
      </c>
      <c r="AL1" s="15">
        <f>IF(Readme!R[24],"AAAAAF1e7yU=",0)</f>
        <v>0</v>
      </c>
      <c r="AM1" s="15">
        <f>IF(Readme!R[25],"AAAAAF1e7yY=",0)</f>
        <v>0</v>
      </c>
      <c r="AN1" s="15">
        <f>IF(Readme!R[26],"AAAAAF1e7yc=",0)</f>
        <v>0</v>
      </c>
      <c r="AO1" s="15">
        <f>IF(Readme!R[27],"AAAAAF1e7yg=",0)</f>
        <v>0</v>
      </c>
      <c r="AP1" s="15">
        <f>IF(Readme!R[28],"AAAAAF1e7yk=",0)</f>
        <v>0</v>
      </c>
      <c r="AQ1" s="15">
        <f>IF(Readme!R[29],"AAAAAF1e7yo=",0)</f>
        <v>0</v>
      </c>
      <c r="AR1" s="15">
        <f>IF(Readme!R[30],"AAAAAF1e7ys=",0)</f>
        <v>0</v>
      </c>
      <c r="AS1" s="15">
        <f>IF(Readme!R[31],"AAAAAF1e7yw=",0)</f>
        <v>0</v>
      </c>
      <c r="AT1" s="15">
        <f>IF(Readme!R[32],"AAAAAF1e7y0=",0)</f>
        <v>0</v>
      </c>
      <c r="AU1" s="15">
        <f>IF(Readme!R[33],"AAAAAF1e7y4=",0)</f>
        <v>0</v>
      </c>
      <c r="AV1" s="15">
        <f>IF(Readme!R[34],"AAAAAF1e7y8=",0)</f>
        <v>0</v>
      </c>
      <c r="AW1" s="15">
        <f>IF(Readme!R[35],"AAAAAF1e7zA=",0)</f>
        <v>0</v>
      </c>
      <c r="AX1" s="15">
        <f>IF(Readme!R[36],"AAAAAF1e7zE=",0)</f>
        <v>0</v>
      </c>
      <c r="AY1" s="15">
        <f>IF(Readme!R[37],"AAAAAF1e7zI=",0)</f>
        <v>0</v>
      </c>
      <c r="AZ1" s="15">
        <f>IF(Readme!R[38],"AAAAAF1e7zM=",0)</f>
        <v>0</v>
      </c>
      <c r="BA1" s="15">
        <f>IF(Readme!R[39],"AAAAAF1e7zQ=",0)</f>
        <v>0</v>
      </c>
      <c r="BB1" s="15">
        <f>IF(Readme!R[40],"AAAAAF1e7zU=",0)</f>
        <v>0</v>
      </c>
      <c r="BC1" s="15">
        <f>IF(Readme!R[41],"AAAAAF1e7zY=",0)</f>
        <v>0</v>
      </c>
      <c r="BD1" s="15">
        <f>IF(Readme!R[42],"AAAAAF1e7zc=",0)</f>
        <v>0</v>
      </c>
      <c r="BE1" s="15">
        <f>IF(Readme!R[43],"AAAAAF1e7zg=",0)</f>
        <v>0</v>
      </c>
      <c r="BF1" s="15">
        <f>IF(Readme!R[44],"AAAAAF1e7zk=",0)</f>
        <v>0</v>
      </c>
      <c r="BG1" s="15">
        <f>IF(Readme!R[45],"AAAAAF1e7zo=",0)</f>
        <v>0</v>
      </c>
      <c r="BH1" s="15">
        <f>IF(Readme!R[46],"AAAAAF1e7zs=",0)</f>
        <v>0</v>
      </c>
      <c r="BI1" s="15">
        <f>IF(Readme!R[47],"AAAAAF1e7zw=",0)</f>
        <v>0</v>
      </c>
      <c r="BJ1" s="15">
        <f>IF(Readme!R[48],"AAAAAF1e7z0=",0)</f>
        <v>0</v>
      </c>
      <c r="BK1" s="15">
        <f>IF(Readme!R[49],"AAAAAF1e7z4=",0)</f>
        <v>0</v>
      </c>
      <c r="BL1" s="15">
        <f>IF(Readme!R[50],"AAAAAF1e7z8=",0)</f>
        <v>0</v>
      </c>
      <c r="BM1" s="15">
        <f>IF(Readme!R[51],"AAAAAF1e70A=",0)</f>
        <v>0</v>
      </c>
      <c r="BN1" s="15">
        <f>IF(Readme!R[52],"AAAAAF1e70E=",0)</f>
        <v>0</v>
      </c>
      <c r="BO1" s="15">
        <f>IF(Readme!R[53],"AAAAAF1e70I=",0)</f>
        <v>0</v>
      </c>
      <c r="BP1" s="15">
        <f>IF(Readme!R[54],"AAAAAF1e70M=",0)</f>
        <v>0</v>
      </c>
      <c r="BQ1" s="15">
        <f>IF(Readme!R[55],"AAAAAF1e70Q=",0)</f>
        <v>0</v>
      </c>
      <c r="BR1" s="15">
        <f>IF(Readme!R[56],"AAAAAF1e70U=",0)</f>
        <v>0</v>
      </c>
      <c r="BS1" s="15">
        <f>IF(Readme!R[57],"AAAAAF1e70Y=",0)</f>
        <v>0</v>
      </c>
      <c r="BT1" s="15">
        <f>IF(Readme!R[58],"AAAAAF1e70c=",0)</f>
        <v>0</v>
      </c>
      <c r="BU1" s="15">
        <f>IF(Readme!R[59],"AAAAAF1e70g=",0)</f>
        <v>0</v>
      </c>
      <c r="BV1" s="15">
        <f>IF(Readme!R[60],"AAAAAF1e70k=",0)</f>
        <v>0</v>
      </c>
      <c r="BW1" s="15">
        <f>IF(Readme!R[61],"AAAAAF1e70o=",0)</f>
        <v>0</v>
      </c>
      <c r="BX1" s="15">
        <f>IF(Readme!R[62],"AAAAAF1e70s=",0)</f>
        <v>0</v>
      </c>
      <c r="BY1" s="15">
        <f>IF(Readme!R[63],"AAAAAF1e70w=",0)</f>
        <v>0</v>
      </c>
      <c r="BZ1" s="15">
        <f>IF(Readme!R[64],"AAAAAF1e700=",0)</f>
        <v>0</v>
      </c>
      <c r="CA1" s="15">
        <f>IF(Readme!R[65],"AAAAAF1e704=",0)</f>
        <v>0</v>
      </c>
      <c r="CB1" s="15">
        <f>IF(Readme!R[66],"AAAAAF1e708=",0)</f>
        <v>0</v>
      </c>
      <c r="CC1" s="15">
        <f>IF(Readme!R[67],"AAAAAF1e71A=",0)</f>
        <v>0</v>
      </c>
      <c r="CD1" s="15">
        <f>IF(Readme!R[68],"AAAAAF1e71E=",0)</f>
        <v>0</v>
      </c>
      <c r="CE1" s="15">
        <f>IF(Readme!R[69],"AAAAAF1e71I=",0)</f>
        <v>0</v>
      </c>
      <c r="CF1" s="15">
        <f>IF(Readme!R[70],"AAAAAF1e71M=",0)</f>
        <v>0</v>
      </c>
      <c r="CG1" s="15">
        <f>IF(Readme!R[71],"AAAAAF1e71Q=",0)</f>
        <v>0</v>
      </c>
      <c r="CH1" s="15">
        <f>IF(Readme!R[72],"AAAAAF1e71U=",0)</f>
        <v>0</v>
      </c>
      <c r="CI1" s="15">
        <f>IF(Readme!R[73],"AAAAAF1e71Y=",0)</f>
        <v>0</v>
      </c>
      <c r="CJ1" s="15">
        <f>IF(Readme!R[74],"AAAAAF1e71c=",0)</f>
        <v>0</v>
      </c>
      <c r="CK1" s="15">
        <f>IF(Readme!R[75],"AAAAAF1e71g=",0)</f>
        <v>0</v>
      </c>
      <c r="CL1" s="15">
        <f>IF(Readme!R[76],"AAAAAF1e71k=",0)</f>
        <v>0</v>
      </c>
      <c r="CM1" s="15">
        <f>IF(Readme!R[77],"AAAAAF1e71o=",0)</f>
        <v>0</v>
      </c>
      <c r="CN1" s="15">
        <f>IF(Readme!R[78],"AAAAAF1e71s=",0)</f>
        <v>0</v>
      </c>
      <c r="CO1" s="15">
        <f>IF(Readme!R[79],"AAAAAF1e71w=",0)</f>
        <v>0</v>
      </c>
      <c r="CP1" s="15">
        <f>IF(Readme!R[80],"AAAAAF1e710=",0)</f>
        <v>0</v>
      </c>
      <c r="CQ1" s="15">
        <f>IF(Readme!R[81],"AAAAAF1e714=",0)</f>
        <v>0</v>
      </c>
      <c r="CR1" s="15">
        <f>IF(Readme!R[82],"AAAAAF1e718=",0)</f>
        <v>0</v>
      </c>
      <c r="CS1" s="15">
        <f>IF(Readme!R[83],"AAAAAF1e72A=",0)</f>
        <v>0</v>
      </c>
      <c r="CT1" s="15">
        <f>IF(Readme!R[84],"AAAAAF1e72E=",0)</f>
        <v>0</v>
      </c>
      <c r="CU1" s="15">
        <f>IF(Readme!R[85],"AAAAAF1e72I=",0)</f>
        <v>0</v>
      </c>
      <c r="CV1" s="15">
        <f>IF(Readme!R[86],"AAAAAF1e72M=",0)</f>
        <v>0</v>
      </c>
      <c r="CW1" s="15">
        <f>IF(Readme!R[87],"AAAAAF1e72Q=",0)</f>
        <v>0</v>
      </c>
      <c r="CX1" s="15">
        <f>IF(Readme!R[88],"AAAAAF1e72U=",0)</f>
        <v>0</v>
      </c>
      <c r="CY1" s="15">
        <f>IF(Readme!R[89],"AAAAAF1e72Y=",0)</f>
        <v>0</v>
      </c>
      <c r="CZ1" s="15">
        <f>IF(Readme!R[90],"AAAAAF1e72c=",0)</f>
        <v>0</v>
      </c>
      <c r="DA1" s="15">
        <f>IF(Readme!R[91],"AAAAAF1e72g=",0)</f>
        <v>0</v>
      </c>
      <c r="DB1" s="15">
        <f>IF(Readme!R[92],"AAAAAF1e72k=",0)</f>
        <v>0</v>
      </c>
      <c r="DC1" s="15">
        <f>IF(Readme!R[93],"AAAAAF1e72o=",0)</f>
        <v>0</v>
      </c>
      <c r="DD1" s="15">
        <f>IF(Readme!R[94],"AAAAAF1e72s=",0)</f>
        <v>0</v>
      </c>
      <c r="DE1" s="15">
        <f>IF(Readme!R[95],"AAAAAF1e72w=",0)</f>
        <v>0</v>
      </c>
      <c r="DF1" s="15">
        <f>IF(Readme!R[96],"AAAAAF1e720=",0)</f>
        <v>0</v>
      </c>
      <c r="DG1" s="15">
        <f>IF(Readme!R[97],"AAAAAF1e724=",0)</f>
        <v>0</v>
      </c>
      <c r="DH1" s="15">
        <f>IF(Readme!R[98],"AAAAAF1e728=",0)</f>
        <v>0</v>
      </c>
      <c r="DI1" s="15">
        <f>IF(Readme!R[99],"AAAAAF1e73A=",0)</f>
        <v>0</v>
      </c>
      <c r="DJ1" s="15">
        <f>IF(Readme!R[100],"AAAAAF1e73E=",0)</f>
        <v>0</v>
      </c>
      <c r="DK1" s="15">
        <f>IF(Readme!R[101],"AAAAAF1e73I=",0)</f>
        <v>0</v>
      </c>
      <c r="DL1" s="15" t="str">
        <f>IF(Readme!C[-115],"AAAAAF1e73M=",0)</f>
        <v>#VALUE!:notNumber</v>
      </c>
      <c r="DM1" s="15">
        <f>IF(Readme!C[-115],"AAAAAF1e73Q=",0)</f>
        <v>0</v>
      </c>
      <c r="DN1" s="15">
        <f>IF(Chart!R,"AAAAAF1e73U=",0)</f>
        <v>0</v>
      </c>
      <c r="DO1" s="15" t="str">
        <f>AND(Chart!A1,"AAAAAF1e73Y=")</f>
        <v>#VALUE!:noResult:No valid cells found for operation.</v>
      </c>
      <c r="DP1" s="15" t="str">
        <f>AND(Chart!B1,"AAAAAF1e73c=")</f>
        <v>#VALUE!:noResult:No valid cells found for operation.</v>
      </c>
      <c r="DQ1" s="15" t="str">
        <f>AND(Chart!C1,"AAAAAF1e73g=")</f>
        <v>#VALUE!:noResult:No valid cells found for operation.</v>
      </c>
      <c r="DR1" s="15" t="str">
        <f>AND(Chart!D1,"AAAAAF1e73k=")</f>
        <v>#VALUE!:noResult:No valid cells found for operation.</v>
      </c>
      <c r="DS1" s="15" t="str">
        <f>AND(Chart!E1,"AAAAAF1e73o=")</f>
        <v>#VALUE!:noResult:No valid cells found for operation.</v>
      </c>
      <c r="DT1" s="15" t="str">
        <f>AND(Chart!F1,"AAAAAF1e73s=")</f>
        <v>#VALUE!:noResult:No valid cells found for operation.</v>
      </c>
      <c r="DU1" s="15" t="str">
        <f>AND(Chart!G1,"AAAAAF1e73w=")</f>
        <v>#VALUE!:noResult:No valid cells found for operation.</v>
      </c>
      <c r="DV1" s="15" t="str">
        <f>AND(Chart!H1,"AAAAAF1e730=")</f>
        <v>#VALUE!:noResult:No valid cells found for operation.</v>
      </c>
      <c r="DW1" s="15" t="str">
        <f>AND(Chart!I1,"AAAAAF1e734=")</f>
        <v>#VALUE!:noResult:No valid cells found for operation.</v>
      </c>
      <c r="DX1" s="15" t="str">
        <f>AND(Chart!J1,"AAAAAF1e738=")</f>
        <v>#VALUE!:noResult:No valid cells found for operation.</v>
      </c>
      <c r="DY1" s="15" t="str">
        <f>AND(Chart!K1,"AAAAAF1e74A=")</f>
        <v>#VALUE!:noResult:No valid cells found for operation.</v>
      </c>
      <c r="DZ1" s="15" t="str">
        <f>AND(Chart!L1,"AAAAAF1e74E=")</f>
        <v>#VALUE!:noResult:No valid cells found for operation.</v>
      </c>
      <c r="EA1" s="15">
        <f>IF(Chart!R[1],"AAAAAF1e74I=",0)</f>
        <v>0</v>
      </c>
      <c r="EB1" s="15" t="b">
        <f>AND(Chart!A2,"AAAAAF1e74M=")</f>
        <v>1</v>
      </c>
      <c r="EC1" s="15" t="str">
        <f>AND(Chart!B2,"AAAAAF1e74Q=")</f>
        <v>#VALUE!:noResult:No valid cells found for operation.</v>
      </c>
      <c r="ED1" s="15" t="str">
        <f>AND(Chart!C2,"AAAAAF1e74U=")</f>
        <v>#VALUE!:noResult:No valid cells found for operation.</v>
      </c>
      <c r="EE1" s="15" t="b">
        <f>AND(Chart!D2,"AAAAAF1e74Y=")</f>
        <v>0</v>
      </c>
      <c r="EF1" s="15" t="b">
        <f>AND(Chart!E2,"AAAAAF1e74c=")</f>
        <v>0</v>
      </c>
      <c r="EG1" s="15" t="b">
        <f>AND(Chart!F2,"AAAAAF1e74g=")</f>
        <v>0</v>
      </c>
      <c r="EH1" s="15" t="b">
        <f>AND(Chart!G2,"AAAAAF1e74k=")</f>
        <v>0</v>
      </c>
      <c r="EI1" s="15" t="b">
        <f>AND(Chart!H2,"AAAAAF1e74o=")</f>
        <v>1</v>
      </c>
      <c r="EJ1" s="15" t="str">
        <f>AND(Chart!I2,"AAAAAF1e74s=")</f>
        <v>#VALUE!:noResult:No valid cells found for operation.</v>
      </c>
      <c r="EK1" s="15" t="str">
        <f>AND(Chart!J2,"AAAAAF1e74w=")</f>
        <v>#VALUE!:noResult:No valid cells found for operation.</v>
      </c>
      <c r="EL1" s="15" t="str">
        <f>AND(Chart!K2,"AAAAAF1e740=")</f>
        <v>#VALUE!:noResult:No valid cells found for operation.</v>
      </c>
      <c r="EM1" s="15" t="str">
        <f>AND(Chart!L2,"AAAAAF1e744=")</f>
        <v>#VALUE!:noResult:No valid cells found for operation.</v>
      </c>
      <c r="EN1" s="15">
        <f>IF(Chart!R[2],"AAAAAF1e748=",0)</f>
        <v>0</v>
      </c>
      <c r="EO1" s="15" t="b">
        <f>AND(Chart!A3,"AAAAAF1e75A=")</f>
        <v>1</v>
      </c>
      <c r="EP1" s="15" t="str">
        <f>AND(Chart!B3,"AAAAAF1e75E=")</f>
        <v>#VALUE!:noResult:No valid cells found for operation.</v>
      </c>
      <c r="EQ1" s="15" t="str">
        <f>AND(Chart!C3,"AAAAAF1e75I=")</f>
        <v>#VALUE!:noResult:No valid cells found for operation.</v>
      </c>
      <c r="ER1" s="15" t="b">
        <f>AND(Chart!D3,"AAAAAF1e75M=")</f>
        <v>1</v>
      </c>
      <c r="ES1" s="15" t="b">
        <f>AND(Chart!E3,"AAAAAF1e75Q=")</f>
        <v>1</v>
      </c>
      <c r="ET1" s="15" t="b">
        <f>AND(Chart!F3,"AAAAAF1e75U=")</f>
        <v>1</v>
      </c>
      <c r="EU1" s="15" t="b">
        <f>AND(Chart!G3,"AAAAAF1e75Y=")</f>
        <v>1</v>
      </c>
      <c r="EV1" s="15" t="b">
        <f>AND(Chart!H3,"AAAAAF1e75c=")</f>
        <v>1</v>
      </c>
      <c r="EW1" s="15" t="str">
        <f>AND(Chart!I3,"AAAAAF1e75g=")</f>
        <v>#VALUE!:noResult:No valid cells found for operation.</v>
      </c>
      <c r="EX1" s="15" t="str">
        <f>AND(Chart!J3,"AAAAAF1e75k=")</f>
        <v>#VALUE!:noResult:No valid cells found for operation.</v>
      </c>
      <c r="EY1" s="15" t="str">
        <f>AND(Chart!K3,"AAAAAF1e75o=")</f>
        <v>#VALUE!:noResult:No valid cells found for operation.</v>
      </c>
      <c r="EZ1" s="15" t="str">
        <f>AND(Chart!L3,"AAAAAF1e75s=")</f>
        <v>#VALUE!:noResult:No valid cells found for operation.</v>
      </c>
      <c r="FA1" s="15">
        <f>IF(Chart!R[3],"AAAAAF1e75w=",0)</f>
        <v>0</v>
      </c>
      <c r="FB1" s="15" t="b">
        <f>AND(Chart!A4,"AAAAAF1e750=")</f>
        <v>1</v>
      </c>
      <c r="FC1" s="15" t="str">
        <f>AND(Chart!B4,"AAAAAF1e754=")</f>
        <v>#VALUE!:noResult:No valid cells found for operation.</v>
      </c>
      <c r="FD1" s="15" t="str">
        <f>AND(Chart!C4,"AAAAAF1e758=")</f>
        <v>#VALUE!:noResult:No valid cells found for operation.</v>
      </c>
      <c r="FE1" s="15" t="b">
        <f>AND(Chart!D4,"AAAAAF1e76A=")</f>
        <v>0</v>
      </c>
      <c r="FF1" s="15" t="b">
        <f>AND(Chart!E4,"AAAAAF1e76E=")</f>
        <v>1</v>
      </c>
      <c r="FG1" s="15" t="b">
        <f>AND(Chart!F4,"AAAAAF1e76I=")</f>
        <v>1</v>
      </c>
      <c r="FH1" s="15" t="b">
        <f>AND(Chart!G4,"AAAAAF1e76M=")</f>
        <v>0</v>
      </c>
      <c r="FI1" s="15" t="b">
        <f>AND(Chart!H4,"AAAAAF1e76Q=")</f>
        <v>1</v>
      </c>
      <c r="FJ1" s="15" t="str">
        <f>AND(Chart!I4,"AAAAAF1e76U=")</f>
        <v>#VALUE!:noResult:No valid cells found for operation.</v>
      </c>
      <c r="FK1" s="15" t="str">
        <f>AND(Chart!J4,"AAAAAF1e76Y=")</f>
        <v>#VALUE!:noResult:No valid cells found for operation.</v>
      </c>
      <c r="FL1" s="15" t="str">
        <f>AND(Chart!K4,"AAAAAF1e76c=")</f>
        <v>#VALUE!:noResult:No valid cells found for operation.</v>
      </c>
      <c r="FM1" s="15" t="str">
        <f>AND(Chart!L4,"AAAAAF1e76g=")</f>
        <v>#VALUE!:noResult:No valid cells found for operation.</v>
      </c>
      <c r="FN1" s="15">
        <f>IF(Chart!R[4],"AAAAAF1e76k=",0)</f>
        <v>0</v>
      </c>
      <c r="FO1" s="15" t="b">
        <f>AND(Chart!A5,"AAAAAF1e76o=")</f>
        <v>1</v>
      </c>
      <c r="FP1" s="15" t="str">
        <f>AND(Chart!B5,"AAAAAF1e76s=")</f>
        <v>#VALUE!:noResult:No valid cells found for operation.</v>
      </c>
      <c r="FQ1" s="15" t="str">
        <f>AND(Chart!C5,"AAAAAF1e76w=")</f>
        <v>#VALUE!:noResult:No valid cells found for operation.</v>
      </c>
      <c r="FR1" s="15" t="b">
        <f>AND(Chart!D5,"AAAAAF1e760=")</f>
        <v>0</v>
      </c>
      <c r="FS1" s="15" t="b">
        <f>AND(Chart!E5,"AAAAAF1e764=")</f>
        <v>0</v>
      </c>
      <c r="FT1" s="15" t="b">
        <f>AND(Chart!F5,"AAAAAF1e768=")</f>
        <v>0</v>
      </c>
      <c r="FU1" s="15" t="b">
        <f>AND(Chart!G5,"AAAAAF1e77A=")</f>
        <v>0</v>
      </c>
      <c r="FV1" s="15" t="b">
        <f>AND(Chart!H5,"AAAAAF1e77E=")</f>
        <v>0</v>
      </c>
      <c r="FW1" s="15" t="str">
        <f>AND(Chart!I5,"AAAAAF1e77I=")</f>
        <v>#VALUE!:noResult:No valid cells found for operation.</v>
      </c>
      <c r="FX1" s="15" t="str">
        <f>AND(Chart!J5,"AAAAAF1e77M=")</f>
        <v>#VALUE!:noResult:No valid cells found for operation.</v>
      </c>
      <c r="FY1" s="15" t="str">
        <f>AND(Chart!K5,"AAAAAF1e77Q=")</f>
        <v>#VALUE!:noResult:No valid cells found for operation.</v>
      </c>
      <c r="FZ1" s="15" t="str">
        <f>AND(Chart!L5,"AAAAAF1e77U=")</f>
        <v>#VALUE!:noResult:No valid cells found for operation.</v>
      </c>
      <c r="GA1" s="15">
        <f>IF(Chart!R[5],"AAAAAF1e77Y=",0)</f>
        <v>0</v>
      </c>
      <c r="GB1" s="15" t="b">
        <f>AND(Chart!A6,"AAAAAF1e77c=")</f>
        <v>1</v>
      </c>
      <c r="GC1" s="15" t="str">
        <f>AND(Chart!B6,"AAAAAF1e77g=")</f>
        <v>#VALUE!:noResult:No valid cells found for operation.</v>
      </c>
      <c r="GD1" s="15" t="str">
        <f>AND(Chart!C6,"AAAAAF1e77k=")</f>
        <v>#VALUE!:noResult:No valid cells found for operation.</v>
      </c>
      <c r="GE1" s="15" t="b">
        <f>AND(Chart!D6,"AAAAAF1e77o=")</f>
        <v>1</v>
      </c>
      <c r="GF1" s="15" t="b">
        <f>AND(Chart!E6,"AAAAAF1e77s=")</f>
        <v>1</v>
      </c>
      <c r="GG1" s="15" t="b">
        <f>AND(Chart!F6,"AAAAAF1e77w=")</f>
        <v>0</v>
      </c>
      <c r="GH1" s="15" t="b">
        <f>AND(Chart!G6,"AAAAAF1e770=")</f>
        <v>1</v>
      </c>
      <c r="GI1" s="15" t="b">
        <f>AND(Chart!H6,"AAAAAF1e774=")</f>
        <v>1</v>
      </c>
      <c r="GJ1" s="15" t="str">
        <f>AND(Chart!I6,"AAAAAF1e778=")</f>
        <v>#VALUE!:noResult:No valid cells found for operation.</v>
      </c>
      <c r="GK1" s="15" t="str">
        <f>AND(Chart!J6,"AAAAAF1e78A=")</f>
        <v>#VALUE!:noResult:No valid cells found for operation.</v>
      </c>
      <c r="GL1" s="15" t="str">
        <f>AND(Chart!K6,"AAAAAF1e78E=")</f>
        <v>#VALUE!:noResult:No valid cells found for operation.</v>
      </c>
      <c r="GM1" s="15" t="str">
        <f>AND(Chart!L6,"AAAAAF1e78I=")</f>
        <v>#VALUE!:noResult:No valid cells found for operation.</v>
      </c>
      <c r="GN1" s="15">
        <f>IF(Chart!R[7],"AAAAAF1e78M=",0)</f>
        <v>0</v>
      </c>
      <c r="GO1" s="15" t="b">
        <f>AND(Chart!A8,"AAAAAF1e78Q=")</f>
        <v>1</v>
      </c>
      <c r="GP1" s="15" t="str">
        <f>AND(Chart!B8,"AAAAAF1e78U=")</f>
        <v>#VALUE!:noResult:No valid cells found for operation.</v>
      </c>
      <c r="GQ1" s="15" t="str">
        <f>AND(Chart!C8,"AAAAAF1e78Y=")</f>
        <v>#VALUE!:noResult:No valid cells found for operation.</v>
      </c>
      <c r="GR1" s="15" t="b">
        <f>AND(Chart!D8,"AAAAAF1e78c=")</f>
        <v>0</v>
      </c>
      <c r="GS1" s="15" t="b">
        <f>AND(Chart!E8,"AAAAAF1e78g=")</f>
        <v>1</v>
      </c>
      <c r="GT1" s="15" t="b">
        <f>AND(Chart!F8,"AAAAAF1e78k=")</f>
        <v>1</v>
      </c>
      <c r="GU1" s="15" t="b">
        <f>AND(Chart!G8,"AAAAAF1e78o=")</f>
        <v>0</v>
      </c>
      <c r="GV1" s="15" t="b">
        <f>AND(Chart!H8,"AAAAAF1e78s=")</f>
        <v>1</v>
      </c>
      <c r="GW1" s="15" t="str">
        <f>AND(Chart!I8,"AAAAAF1e78w=")</f>
        <v>#VALUE!:noResult:No valid cells found for operation.</v>
      </c>
      <c r="GX1" s="15" t="str">
        <f>AND(Chart!J8,"AAAAAF1e780=")</f>
        <v>#VALUE!:noResult:No valid cells found for operation.</v>
      </c>
      <c r="GY1" s="15" t="str">
        <f>AND(Chart!K8,"AAAAAF1e784=")</f>
        <v>#VALUE!:noResult:No valid cells found for operation.</v>
      </c>
      <c r="GZ1" s="15" t="str">
        <f>AND(Chart!L8,"AAAAAF1e788=")</f>
        <v>#VALUE!:noResult:No valid cells found for operation.</v>
      </c>
      <c r="HA1" s="15">
        <f>IF(Chart!R[8],"AAAAAF1e79A=",0)</f>
        <v>0</v>
      </c>
      <c r="HB1" s="15" t="b">
        <f>AND(Chart!A9,"AAAAAF1e79E=")</f>
        <v>1</v>
      </c>
      <c r="HC1" s="15" t="str">
        <f>AND(Chart!B9,"AAAAAF1e79I=")</f>
        <v>#VALUE!:noResult:No valid cells found for operation.</v>
      </c>
      <c r="HD1" s="15" t="str">
        <f>AND(Chart!C9,"AAAAAF1e79M=")</f>
        <v>#VALUE!:noResult:No valid cells found for operation.</v>
      </c>
      <c r="HE1" s="15" t="b">
        <f>AND(Chart!D9,"AAAAAF1e79Q=")</f>
        <v>0</v>
      </c>
      <c r="HF1" s="15" t="b">
        <f>AND(Chart!E9,"AAAAAF1e79U=")</f>
        <v>0</v>
      </c>
      <c r="HG1" s="15" t="b">
        <f>AND(Chart!F9,"AAAAAF1e79Y=")</f>
        <v>0</v>
      </c>
      <c r="HH1" s="15" t="b">
        <f>AND(Chart!G9,"AAAAAF1e79c=")</f>
        <v>0</v>
      </c>
      <c r="HI1" s="15" t="b">
        <f>AND(Chart!H9,"AAAAAF1e79g=")</f>
        <v>0</v>
      </c>
      <c r="HJ1" s="15" t="str">
        <f>AND(Chart!I9,"AAAAAF1e79k=")</f>
        <v>#VALUE!:noResult:No valid cells found for operation.</v>
      </c>
      <c r="HK1" s="15" t="str">
        <f>AND(Chart!J9,"AAAAAF1e79o=")</f>
        <v>#VALUE!:noResult:No valid cells found for operation.</v>
      </c>
      <c r="HL1" s="15" t="str">
        <f>AND(Chart!K9,"AAAAAF1e79s=")</f>
        <v>#VALUE!:noResult:No valid cells found for operation.</v>
      </c>
      <c r="HM1" s="15" t="str">
        <f>AND(Chart!L9,"AAAAAF1e79w=")</f>
        <v>#VALUE!:noResult:No valid cells found for operation.</v>
      </c>
      <c r="HN1" s="15">
        <f>IF(Chart!R[9],"AAAAAF1e790=",0)</f>
        <v>0</v>
      </c>
      <c r="HO1" s="15" t="b">
        <f>AND(Chart!A10,"AAAAAF1e794=")</f>
        <v>1</v>
      </c>
      <c r="HP1" s="15" t="str">
        <f>AND(Chart!B10,"AAAAAF1e798=")</f>
        <v>#VALUE!:noResult:No valid cells found for operation.</v>
      </c>
      <c r="HQ1" s="15" t="str">
        <f>AND(Chart!C10,"AAAAAF1e7+A=")</f>
        <v>#VALUE!:noResult:No valid cells found for operation.</v>
      </c>
      <c r="HR1" s="15" t="b">
        <f>AND(Chart!D10,"AAAAAF1e7+E=")</f>
        <v>0</v>
      </c>
      <c r="HS1" s="15" t="b">
        <f>AND(Chart!E10,"AAAAAF1e7+I=")</f>
        <v>1</v>
      </c>
      <c r="HT1" s="15" t="b">
        <f>AND(Chart!F10,"AAAAAF1e7+M=")</f>
        <v>1</v>
      </c>
      <c r="HU1" s="15" t="b">
        <f>AND(Chart!G10,"AAAAAF1e7+Q=")</f>
        <v>0</v>
      </c>
      <c r="HV1" s="15" t="b">
        <f>AND(Chart!H10,"AAAAAF1e7+U=")</f>
        <v>1</v>
      </c>
      <c r="HW1" s="15" t="str">
        <f>AND(Chart!I10,"AAAAAF1e7+Y=")</f>
        <v>#VALUE!:noResult:No valid cells found for operation.</v>
      </c>
      <c r="HX1" s="15" t="str">
        <f>AND(Chart!J10,"AAAAAF1e7+c=")</f>
        <v>#VALUE!:noResult:No valid cells found for operation.</v>
      </c>
      <c r="HY1" s="15" t="str">
        <f>AND(Chart!K10,"AAAAAF1e7+g=")</f>
        <v>#VALUE!:noResult:No valid cells found for operation.</v>
      </c>
      <c r="HZ1" s="15" t="str">
        <f>AND(Chart!L10,"AAAAAF1e7+k=")</f>
        <v>#VALUE!:noResult:No valid cells found for operation.</v>
      </c>
      <c r="IA1" s="15">
        <f>IF(Chart!R[10],"AAAAAF1e7+o=",0)</f>
        <v>0</v>
      </c>
      <c r="IB1" s="15" t="b">
        <f>AND(Chart!A11,"AAAAAF1e7+s=")</f>
        <v>1</v>
      </c>
      <c r="IC1" s="15" t="str">
        <f>AND(Chart!B11,"AAAAAF1e7+w=")</f>
        <v>#VALUE!:noResult:No valid cells found for operation.</v>
      </c>
      <c r="ID1" s="15" t="str">
        <f>AND(Chart!C11,"AAAAAF1e7+0=")</f>
        <v>#VALUE!:noResult:No valid cells found for operation.</v>
      </c>
      <c r="IE1" s="15" t="b">
        <f>AND(Chart!D11,"AAAAAF1e7+4=")</f>
        <v>0</v>
      </c>
      <c r="IF1" s="15" t="b">
        <f>AND(Chart!E11,"AAAAAF1e7+8=")</f>
        <v>1</v>
      </c>
      <c r="IG1" s="15" t="b">
        <f>AND(Chart!F11,"AAAAAF1e7/A=")</f>
        <v>1</v>
      </c>
      <c r="IH1" s="15" t="b">
        <f>AND(Chart!G11,"AAAAAF1e7/E=")</f>
        <v>0</v>
      </c>
      <c r="II1" s="15" t="b">
        <f>AND(Chart!H11,"AAAAAF1e7/I=")</f>
        <v>1</v>
      </c>
      <c r="IJ1" s="15" t="str">
        <f>AND(Chart!I11,"AAAAAF1e7/M=")</f>
        <v>#VALUE!:noResult:No valid cells found for operation.</v>
      </c>
      <c r="IK1" s="15" t="str">
        <f>AND(Chart!J11,"AAAAAF1e7/Q=")</f>
        <v>#VALUE!:noResult:No valid cells found for operation.</v>
      </c>
      <c r="IL1" s="15" t="str">
        <f>AND(Chart!K11,"AAAAAF1e7/U=")</f>
        <v>#VALUE!:noResult:No valid cells found for operation.</v>
      </c>
      <c r="IM1" s="15" t="str">
        <f>AND(Chart!L11,"AAAAAF1e7/Y=")</f>
        <v>#VALUE!:noResult:No valid cells found for operation.</v>
      </c>
      <c r="IN1" s="15">
        <f>IF(Chart!R[14],"AAAAAF1e7/c=",0)</f>
        <v>0</v>
      </c>
      <c r="IO1" s="15" t="b">
        <f>AND(Chart!A15,"AAAAAF1e7/g=")</f>
        <v>1</v>
      </c>
      <c r="IP1" s="15" t="str">
        <f>AND(Chart!B15,"AAAAAF1e7/k=")</f>
        <v>#VALUE!:noResult:No valid cells found for operation.</v>
      </c>
      <c r="IQ1" s="15" t="str">
        <f>AND(Chart!C15,"AAAAAF1e7/o=")</f>
        <v>#VALUE!:noResult:No valid cells found for operation.</v>
      </c>
      <c r="IR1" s="15" t="b">
        <f>AND(Chart!D15,"AAAAAF1e7/s=")</f>
        <v>0</v>
      </c>
      <c r="IS1" s="15" t="b">
        <f>AND(Chart!E15,"AAAAAF1e7/w=")</f>
        <v>1</v>
      </c>
      <c r="IT1" s="15" t="b">
        <f>AND(Chart!F15,"AAAAAF1e7/0=")</f>
        <v>1</v>
      </c>
      <c r="IU1" s="15" t="b">
        <f>AND(Chart!G15,"AAAAAF1e7/4=")</f>
        <v>0</v>
      </c>
      <c r="IV1" s="15" t="b">
        <f>AND(Chart!H15,"AAAAAF1e7/8=")</f>
        <v>1</v>
      </c>
    </row>
    <row r="2">
      <c r="A2" s="15" t="str">
        <f>AND(Chart!I15,"AAAAAHz/7wA=")</f>
        <v>#VALUE!:noResult:No valid cells found for operation.</v>
      </c>
      <c r="B2" s="15" t="str">
        <f>AND(Chart!J15,"AAAAAHz/7wE=")</f>
        <v>#VALUE!:noResult:No valid cells found for operation.</v>
      </c>
      <c r="C2" s="15" t="str">
        <f>AND(Chart!K15,"AAAAAHz/7wI=")</f>
        <v>#VALUE!:noResult:No valid cells found for operation.</v>
      </c>
      <c r="D2" s="15" t="str">
        <f>AND(Chart!L15,"AAAAAHz/7wM=")</f>
        <v>#VALUE!:noResult:No valid cells found for operation.</v>
      </c>
      <c r="E2" s="15">
        <f>IF(Chart!R[14],"AAAAAHz/7wQ=",0)</f>
        <v>0</v>
      </c>
      <c r="F2" s="15" t="b">
        <f>AND(Chart!A16,"AAAAAHz/7wU=")</f>
        <v>1</v>
      </c>
      <c r="G2" s="15" t="str">
        <f>AND(Chart!B16,"AAAAAHz/7wY=")</f>
        <v>#VALUE!:noResult:No valid cells found for operation.</v>
      </c>
      <c r="H2" s="15" t="str">
        <f>AND(Chart!C16,"AAAAAHz/7wc=")</f>
        <v>#VALUE!:noResult:No valid cells found for operation.</v>
      </c>
      <c r="I2" s="15" t="b">
        <f>AND(Chart!D16,"AAAAAHz/7wg=")</f>
        <v>0</v>
      </c>
      <c r="J2" s="15" t="b">
        <f>AND(Chart!E16,"AAAAAHz/7wk=")</f>
        <v>0</v>
      </c>
      <c r="K2" s="15" t="b">
        <f>AND(Chart!F16,"AAAAAHz/7wo=")</f>
        <v>0</v>
      </c>
      <c r="L2" s="15" t="b">
        <f>AND(Chart!G16,"AAAAAHz/7ws=")</f>
        <v>0</v>
      </c>
      <c r="M2" s="15" t="b">
        <f>AND(Chart!H16,"AAAAAHz/7ww=")</f>
        <v>0</v>
      </c>
      <c r="N2" s="15" t="str">
        <f>AND(Chart!I16,"AAAAAHz/7w0=")</f>
        <v>#VALUE!:noResult:No valid cells found for operation.</v>
      </c>
      <c r="O2" s="15" t="str">
        <f>AND(Chart!J16,"AAAAAHz/7w4=")</f>
        <v>#VALUE!:noResult:No valid cells found for operation.</v>
      </c>
      <c r="P2" s="15" t="str">
        <f>AND(Chart!K16,"AAAAAHz/7w8=")</f>
        <v>#VALUE!:noResult:No valid cells found for operation.</v>
      </c>
      <c r="Q2" s="15" t="str">
        <f>AND(Chart!L16,"AAAAAHz/7xA=")</f>
        <v>#VALUE!:noResult:No valid cells found for operation.</v>
      </c>
      <c r="R2" s="15">
        <f>IF(Chart!R[15],"AAAAAHz/7xE=",0)</f>
        <v>0</v>
      </c>
      <c r="S2" s="15" t="b">
        <f>AND(Chart!A17,"AAAAAHz/7xI=")</f>
        <v>1</v>
      </c>
      <c r="T2" s="15" t="str">
        <f>AND(Chart!B17,"AAAAAHz/7xM=")</f>
        <v>#VALUE!:noResult:No valid cells found for operation.</v>
      </c>
      <c r="U2" s="15" t="str">
        <f>AND(Chart!C17,"AAAAAHz/7xQ=")</f>
        <v>#VALUE!:noResult:No valid cells found for operation.</v>
      </c>
      <c r="V2" s="15" t="b">
        <f>AND(Chart!D17,"AAAAAHz/7xU=")</f>
        <v>0</v>
      </c>
      <c r="W2" s="15" t="b">
        <f>AND(Chart!E17,"AAAAAHz/7xY=")</f>
        <v>0</v>
      </c>
      <c r="X2" s="15" t="b">
        <f>AND(Chart!F17,"AAAAAHz/7xc=")</f>
        <v>0</v>
      </c>
      <c r="Y2" s="15" t="b">
        <f>AND(Chart!G17,"AAAAAHz/7xg=")</f>
        <v>0</v>
      </c>
      <c r="Z2" s="15" t="b">
        <f>AND(Chart!H17,"AAAAAHz/7xk=")</f>
        <v>0</v>
      </c>
      <c r="AA2" s="15" t="str">
        <f>AND(Chart!I17,"AAAAAHz/7xo=")</f>
        <v>#VALUE!:noResult:No valid cells found for operation.</v>
      </c>
      <c r="AB2" s="15" t="str">
        <f>AND(Chart!J17,"AAAAAHz/7xs=")</f>
        <v>#VALUE!:noResult:No valid cells found for operation.</v>
      </c>
      <c r="AC2" s="15" t="str">
        <f>AND(Chart!K17,"AAAAAHz/7xw=")</f>
        <v>#VALUE!:noResult:No valid cells found for operation.</v>
      </c>
      <c r="AD2" s="15" t="str">
        <f>AND(Chart!L17,"AAAAAHz/7x0=")</f>
        <v>#VALUE!:noResult:No valid cells found for operation.</v>
      </c>
      <c r="AE2" s="15">
        <f>IF(Chart!R[16],"AAAAAHz/7x4=",0)</f>
        <v>0</v>
      </c>
      <c r="AF2" s="15" t="b">
        <f>AND(Chart!A18,"AAAAAHz/7x8=")</f>
        <v>1</v>
      </c>
      <c r="AG2" s="15" t="str">
        <f>AND(Chart!B18,"AAAAAHz/7yA=")</f>
        <v>#VALUE!:noResult:No valid cells found for operation.</v>
      </c>
      <c r="AH2" s="15" t="str">
        <f>AND(Chart!C18,"AAAAAHz/7yE=")</f>
        <v>#VALUE!:noResult:No valid cells found for operation.</v>
      </c>
      <c r="AI2" s="15" t="b">
        <f>AND(Chart!D18,"AAAAAHz/7yI=")</f>
        <v>0</v>
      </c>
      <c r="AJ2" s="15" t="b">
        <f>AND(Chart!E18,"AAAAAHz/7yM=")</f>
        <v>0</v>
      </c>
      <c r="AK2" s="15" t="b">
        <f>AND(Chart!F18,"AAAAAHz/7yQ=")</f>
        <v>0</v>
      </c>
      <c r="AL2" s="15" t="b">
        <f>AND(Chart!G18,"AAAAAHz/7yU=")</f>
        <v>0</v>
      </c>
      <c r="AM2" s="15" t="b">
        <f>AND(Chart!H18,"AAAAAHz/7yY=")</f>
        <v>0</v>
      </c>
      <c r="AN2" s="15" t="str">
        <f>AND(Chart!I18,"AAAAAHz/7yc=")</f>
        <v>#VALUE!:noResult:No valid cells found for operation.</v>
      </c>
      <c r="AO2" s="15" t="str">
        <f>AND(Chart!J18,"AAAAAHz/7yg=")</f>
        <v>#VALUE!:noResult:No valid cells found for operation.</v>
      </c>
      <c r="AP2" s="15" t="str">
        <f>AND(Chart!K18,"AAAAAHz/7yk=")</f>
        <v>#VALUE!:noResult:No valid cells found for operation.</v>
      </c>
      <c r="AQ2" s="15" t="str">
        <f>AND(Chart!L18,"AAAAAHz/7yo=")</f>
        <v>#VALUE!:noResult:No valid cells found for operation.</v>
      </c>
      <c r="AR2" s="15">
        <f>IF(Chart!R[17],"AAAAAHz/7ys=",0)</f>
        <v>0</v>
      </c>
      <c r="AS2" s="15" t="b">
        <f>AND(Chart!A19,"AAAAAHz/7yw=")</f>
        <v>1</v>
      </c>
      <c r="AT2" s="15" t="str">
        <f>AND(Chart!B19,"AAAAAHz/7y0=")</f>
        <v>#VALUE!:noResult:No valid cells found for operation.</v>
      </c>
      <c r="AU2" s="15" t="str">
        <f>AND(Chart!C19,"AAAAAHz/7y4=")</f>
        <v>#VALUE!:noResult:No valid cells found for operation.</v>
      </c>
      <c r="AV2" s="15" t="b">
        <f>AND(Chart!D19,"AAAAAHz/7y8=")</f>
        <v>0</v>
      </c>
      <c r="AW2" s="15" t="b">
        <f>AND(Chart!E19,"AAAAAHz/7zA=")</f>
        <v>0</v>
      </c>
      <c r="AX2" s="15" t="b">
        <f>AND(Chart!F19,"AAAAAHz/7zE=")</f>
        <v>0</v>
      </c>
      <c r="AY2" s="15" t="b">
        <f>AND(Chart!G19,"AAAAAHz/7zI=")</f>
        <v>0</v>
      </c>
      <c r="AZ2" s="15" t="b">
        <f>AND(Chart!H19,"AAAAAHz/7zM=")</f>
        <v>1</v>
      </c>
      <c r="BA2" s="15" t="str">
        <f>AND(Chart!I19,"AAAAAHz/7zQ=")</f>
        <v>#VALUE!:noResult:No valid cells found for operation.</v>
      </c>
      <c r="BB2" s="15" t="str">
        <f>AND(Chart!J19,"AAAAAHz/7zU=")</f>
        <v>#VALUE!:noResult:No valid cells found for operation.</v>
      </c>
      <c r="BC2" s="15" t="str">
        <f>AND(Chart!K19,"AAAAAHz/7zY=")</f>
        <v>#VALUE!:noResult:No valid cells found for operation.</v>
      </c>
      <c r="BD2" s="15" t="str">
        <f>AND(Chart!L19,"AAAAAHz/7zc=")</f>
        <v>#VALUE!:noResult:No valid cells found for operation.</v>
      </c>
      <c r="BE2" s="15">
        <f>IF(Chart!R[19],"AAAAAHz/7zg=",0)</f>
        <v>0</v>
      </c>
      <c r="BF2" s="15" t="b">
        <f>AND(Chart!A21,"AAAAAHz/7zk=")</f>
        <v>1</v>
      </c>
      <c r="BG2" s="15" t="str">
        <f>AND(Chart!B21,"AAAAAHz/7zo=")</f>
        <v>#VALUE!:noResult:No valid cells found for operation.</v>
      </c>
      <c r="BH2" s="15" t="str">
        <f>AND(Chart!C21,"AAAAAHz/7zs=")</f>
        <v>#VALUE!:noResult:No valid cells found for operation.</v>
      </c>
      <c r="BI2" s="15" t="b">
        <f>AND(Chart!D21,"AAAAAHz/7zw=")</f>
        <v>0</v>
      </c>
      <c r="BJ2" s="15" t="b">
        <f>AND(Chart!E21,"AAAAAHz/7z0=")</f>
        <v>0</v>
      </c>
      <c r="BK2" s="15" t="b">
        <f>AND(Chart!F21,"AAAAAHz/7z4=")</f>
        <v>0</v>
      </c>
      <c r="BL2" s="15" t="b">
        <f>AND(Chart!G21,"AAAAAHz/7z8=")</f>
        <v>0</v>
      </c>
      <c r="BM2" s="15" t="b">
        <f>AND(Chart!H21,"AAAAAHz/70A=")</f>
        <v>0</v>
      </c>
      <c r="BN2" s="15" t="str">
        <f>AND(Chart!I21,"AAAAAHz/70E=")</f>
        <v>#VALUE!:noResult:No valid cells found for operation.</v>
      </c>
      <c r="BO2" s="15" t="str">
        <f>AND(Chart!J21,"AAAAAHz/70I=")</f>
        <v>#VALUE!:noResult:No valid cells found for operation.</v>
      </c>
      <c r="BP2" s="15" t="str">
        <f>AND(Chart!K21,"AAAAAHz/70M=")</f>
        <v>#VALUE!:noResult:No valid cells found for operation.</v>
      </c>
      <c r="BQ2" s="15" t="str">
        <f>AND(Chart!L21,"AAAAAHz/70Q=")</f>
        <v>#VALUE!:noResult:No valid cells found for operation.</v>
      </c>
      <c r="BR2" s="15">
        <f>IF(Chart!R[20],"AAAAAHz/70U=",0)</f>
        <v>0</v>
      </c>
      <c r="BS2" s="15" t="b">
        <f>AND(Chart!A22,"AAAAAHz/70Y=")</f>
        <v>1</v>
      </c>
      <c r="BT2" s="15" t="str">
        <f>AND(Chart!B22,"AAAAAHz/70c=")</f>
        <v>#VALUE!:noResult:No valid cells found for operation.</v>
      </c>
      <c r="BU2" s="15" t="str">
        <f>AND(Chart!C22,"AAAAAHz/70g=")</f>
        <v>#VALUE!:noResult:No valid cells found for operation.</v>
      </c>
      <c r="BV2" s="15" t="b">
        <f>AND(Chart!D22,"AAAAAHz/70k=")</f>
        <v>1</v>
      </c>
      <c r="BW2" s="15" t="b">
        <f>AND(Chart!E22,"AAAAAHz/70o=")</f>
        <v>1</v>
      </c>
      <c r="BX2" s="15" t="b">
        <f>AND(Chart!F22,"AAAAAHz/70s=")</f>
        <v>1</v>
      </c>
      <c r="BY2" s="15" t="b">
        <f>AND(Chart!G22,"AAAAAHz/70w=")</f>
        <v>1</v>
      </c>
      <c r="BZ2" s="15" t="b">
        <f>AND(Chart!H22,"AAAAAHz/700=")</f>
        <v>1</v>
      </c>
      <c r="CA2" s="15" t="str">
        <f>AND(Chart!I22,"AAAAAHz/704=")</f>
        <v>#VALUE!:noResult:No valid cells found for operation.</v>
      </c>
      <c r="CB2" s="15" t="str">
        <f>AND(Chart!J22,"AAAAAHz/708=")</f>
        <v>#VALUE!:noResult:No valid cells found for operation.</v>
      </c>
      <c r="CC2" s="15" t="str">
        <f>AND(Chart!K22,"AAAAAHz/71A=")</f>
        <v>#VALUE!:noResult:No valid cells found for operation.</v>
      </c>
      <c r="CD2" s="15" t="str">
        <f>AND(Chart!L22,"AAAAAHz/71E=")</f>
        <v>#VALUE!:noResult:No valid cells found for operation.</v>
      </c>
      <c r="CE2" s="15">
        <f>IF(Chart!R[21],"AAAAAHz/71I=",0)</f>
        <v>0</v>
      </c>
      <c r="CF2" s="15" t="b">
        <f>AND(Chart!A23,"AAAAAHz/71M=")</f>
        <v>1</v>
      </c>
      <c r="CG2" s="15" t="str">
        <f>AND(Chart!B23,"AAAAAHz/71Q=")</f>
        <v>#VALUE!:noResult:No valid cells found for operation.</v>
      </c>
      <c r="CH2" s="15" t="str">
        <f>AND(Chart!C23,"AAAAAHz/71U=")</f>
        <v>#VALUE!:noResult:No valid cells found for operation.</v>
      </c>
      <c r="CI2" s="15" t="b">
        <f>AND(Chart!D23,"AAAAAHz/71Y=")</f>
        <v>1</v>
      </c>
      <c r="CJ2" s="15" t="b">
        <f>AND(Chart!E23,"AAAAAHz/71c=")</f>
        <v>1</v>
      </c>
      <c r="CK2" s="15" t="b">
        <f>AND(Chart!F23,"AAAAAHz/71g=")</f>
        <v>1</v>
      </c>
      <c r="CL2" s="15" t="b">
        <f>AND(Chart!G23,"AAAAAHz/71k=")</f>
        <v>1</v>
      </c>
      <c r="CM2" s="15" t="b">
        <f>AND(Chart!H23,"AAAAAHz/71o=")</f>
        <v>1</v>
      </c>
      <c r="CN2" s="15" t="str">
        <f>AND(Chart!I23,"AAAAAHz/71s=")</f>
        <v>#VALUE!:noResult:No valid cells found for operation.</v>
      </c>
      <c r="CO2" s="15" t="str">
        <f>AND(Chart!J23,"AAAAAHz/71w=")</f>
        <v>#VALUE!:noResult:No valid cells found for operation.</v>
      </c>
      <c r="CP2" s="15" t="str">
        <f>AND(Chart!K23,"AAAAAHz/710=")</f>
        <v>#VALUE!:noResult:No valid cells found for operation.</v>
      </c>
      <c r="CQ2" s="15" t="str">
        <f>AND(Chart!L23,"AAAAAHz/714=")</f>
        <v>#VALUE!:noResult:No valid cells found for operation.</v>
      </c>
      <c r="CR2" s="15">
        <f>IF(Chart!R[22],"AAAAAHz/718=",0)</f>
        <v>0</v>
      </c>
      <c r="CS2" s="15" t="b">
        <f>AND(Chart!A24,"AAAAAHz/72A=")</f>
        <v>1</v>
      </c>
      <c r="CT2" s="15" t="str">
        <f>AND(Chart!B24,"AAAAAHz/72E=")</f>
        <v>#VALUE!:noResult:No valid cells found for operation.</v>
      </c>
      <c r="CU2" s="15" t="str">
        <f>AND(Chart!C24,"AAAAAHz/72I=")</f>
        <v>#VALUE!:noResult:No valid cells found for operation.</v>
      </c>
      <c r="CV2" s="15" t="b">
        <f>AND(Chart!D24,"AAAAAHz/72M=")</f>
        <v>1</v>
      </c>
      <c r="CW2" s="15" t="b">
        <f>AND(Chart!E24,"AAAAAHz/72Q=")</f>
        <v>1</v>
      </c>
      <c r="CX2" s="15" t="b">
        <f>AND(Chart!F24,"AAAAAHz/72U=")</f>
        <v>1</v>
      </c>
      <c r="CY2" s="15" t="b">
        <f>AND(Chart!G24,"AAAAAHz/72Y=")</f>
        <v>1</v>
      </c>
      <c r="CZ2" s="15" t="b">
        <f>AND(Chart!H24,"AAAAAHz/72c=")</f>
        <v>1</v>
      </c>
      <c r="DA2" s="15" t="str">
        <f>AND(Chart!I24,"AAAAAHz/72g=")</f>
        <v>#VALUE!:noResult:No valid cells found for operation.</v>
      </c>
      <c r="DB2" s="15" t="str">
        <f>AND(Chart!J24,"AAAAAHz/72k=")</f>
        <v>#VALUE!:noResult:No valid cells found for operation.</v>
      </c>
      <c r="DC2" s="15" t="str">
        <f>AND(Chart!K24,"AAAAAHz/72o=")</f>
        <v>#VALUE!:noResult:No valid cells found for operation.</v>
      </c>
      <c r="DD2" s="15" t="str">
        <f>AND(Chart!L24,"AAAAAHz/72s=")</f>
        <v>#VALUE!:noResult:No valid cells found for operation.</v>
      </c>
      <c r="DE2" s="15">
        <f>IF(Chart!R[23],"AAAAAHz/72w=",0)</f>
        <v>0</v>
      </c>
      <c r="DF2" s="15" t="b">
        <f>AND(Chart!A25,"AAAAAHz/720=")</f>
        <v>1</v>
      </c>
      <c r="DG2" s="15" t="str">
        <f>AND(Chart!B25,"AAAAAHz/724=")</f>
        <v>#VALUE!:noResult:No valid cells found for operation.</v>
      </c>
      <c r="DH2" s="15" t="str">
        <f>AND(Chart!C25,"AAAAAHz/728=")</f>
        <v>#VALUE!:noResult:No valid cells found for operation.</v>
      </c>
      <c r="DI2" s="15" t="b">
        <f>AND(Chart!D25,"AAAAAHz/73A=")</f>
        <v>0</v>
      </c>
      <c r="DJ2" s="15" t="b">
        <f>AND(Chart!E25,"AAAAAHz/73E=")</f>
        <v>1</v>
      </c>
      <c r="DK2" s="15" t="b">
        <f>AND(Chart!F25,"AAAAAHz/73I=")</f>
        <v>1</v>
      </c>
      <c r="DL2" s="15" t="b">
        <f>AND(Chart!G25,"AAAAAHz/73M=")</f>
        <v>0</v>
      </c>
      <c r="DM2" s="15" t="b">
        <f>AND(Chart!H25,"AAAAAHz/73Q=")</f>
        <v>1</v>
      </c>
      <c r="DN2" s="15" t="str">
        <f>AND(Chart!I25,"AAAAAHz/73U=")</f>
        <v>#VALUE!:noResult:No valid cells found for operation.</v>
      </c>
      <c r="DO2" s="15" t="str">
        <f>AND(Chart!J25,"AAAAAHz/73Y=")</f>
        <v>#VALUE!:noResult:No valid cells found for operation.</v>
      </c>
      <c r="DP2" s="15" t="str">
        <f>AND(Chart!K25,"AAAAAHz/73c=")</f>
        <v>#VALUE!:noResult:No valid cells found for operation.</v>
      </c>
      <c r="DQ2" s="15" t="str">
        <f>AND(Chart!L25,"AAAAAHz/73g=")</f>
        <v>#VALUE!:noResult:No valid cells found for operation.</v>
      </c>
      <c r="DR2" s="15">
        <f>IF(Chart!R[24],"AAAAAHz/73k=",0)</f>
        <v>0</v>
      </c>
      <c r="DS2" s="15" t="b">
        <f>AND(Chart!A26,"AAAAAHz/73o=")</f>
        <v>1</v>
      </c>
      <c r="DT2" s="15" t="str">
        <f>AND(Chart!B26,"AAAAAHz/73s=")</f>
        <v>#VALUE!:noResult:No valid cells found for operation.</v>
      </c>
      <c r="DU2" s="15" t="str">
        <f>AND(Chart!C26,"AAAAAHz/73w=")</f>
        <v>#VALUE!:noResult:No valid cells found for operation.</v>
      </c>
      <c r="DV2" s="15" t="b">
        <f>AND(Chart!D26,"AAAAAHz/730=")</f>
        <v>1</v>
      </c>
      <c r="DW2" s="15" t="b">
        <f>AND(Chart!E26,"AAAAAHz/734=")</f>
        <v>1</v>
      </c>
      <c r="DX2" s="15" t="b">
        <f>AND(Chart!F26,"AAAAAHz/738=")</f>
        <v>1</v>
      </c>
      <c r="DY2" s="15" t="b">
        <f>AND(Chart!G26,"AAAAAHz/74A=")</f>
        <v>1</v>
      </c>
      <c r="DZ2" s="15" t="b">
        <f>AND(Chart!H26,"AAAAAHz/74E=")</f>
        <v>1</v>
      </c>
      <c r="EA2" s="15" t="str">
        <f>AND(Chart!I26,"AAAAAHz/74I=")</f>
        <v>#VALUE!:noResult:No valid cells found for operation.</v>
      </c>
      <c r="EB2" s="15" t="str">
        <f>AND(Chart!J26,"AAAAAHz/74M=")</f>
        <v>#VALUE!:noResult:No valid cells found for operation.</v>
      </c>
      <c r="EC2" s="15" t="str">
        <f>AND(Chart!K26,"AAAAAHz/74Q=")</f>
        <v>#VALUE!:noResult:No valid cells found for operation.</v>
      </c>
      <c r="ED2" s="15" t="str">
        <f>AND(Chart!L26,"AAAAAHz/74U=")</f>
        <v>#VALUE!:noResult:No valid cells found for operation.</v>
      </c>
      <c r="EE2" s="15">
        <f>IF(Chart!R[29],"AAAAAHz/74Y=",0)</f>
        <v>0</v>
      </c>
      <c r="EF2" s="15" t="b">
        <f>AND(Chart!A31,"AAAAAHz/74c=")</f>
        <v>1</v>
      </c>
      <c r="EG2" s="15" t="str">
        <f>AND(Chart!B31,"AAAAAHz/74g=")</f>
        <v>#VALUE!:noResult:No valid cells found for operation.</v>
      </c>
      <c r="EH2" s="15" t="str">
        <f>AND(Chart!C31,"AAAAAHz/74k=")</f>
        <v>#VALUE!:noResult:No valid cells found for operation.</v>
      </c>
      <c r="EI2" s="15" t="b">
        <f>AND(Chart!D31,"AAAAAHz/74o=")</f>
        <v>1</v>
      </c>
      <c r="EJ2" s="15" t="b">
        <f>AND(Chart!E31,"AAAAAHz/74s=")</f>
        <v>1</v>
      </c>
      <c r="EK2" s="15" t="b">
        <f>AND(Chart!F31,"AAAAAHz/74w=")</f>
        <v>1</v>
      </c>
      <c r="EL2" s="15" t="b">
        <f>AND(Chart!G31,"AAAAAHz/740=")</f>
        <v>1</v>
      </c>
      <c r="EM2" s="15" t="b">
        <f>AND(Chart!H31,"AAAAAHz/744=")</f>
        <v>1</v>
      </c>
      <c r="EN2" s="15" t="str">
        <f>AND(Chart!I31,"AAAAAHz/748=")</f>
        <v>#VALUE!:noResult:No valid cells found for operation.</v>
      </c>
      <c r="EO2" s="15" t="str">
        <f>AND(Chart!J31,"AAAAAHz/75A=")</f>
        <v>#VALUE!:noResult:No valid cells found for operation.</v>
      </c>
      <c r="EP2" s="15" t="str">
        <f>AND(Chart!K31,"AAAAAHz/75E=")</f>
        <v>#VALUE!:noResult:No valid cells found for operation.</v>
      </c>
      <c r="EQ2" s="15" t="str">
        <f>AND(Chart!L31,"AAAAAHz/75I=")</f>
        <v>#VALUE!:noResult:No valid cells found for operation.</v>
      </c>
      <c r="ER2" s="15">
        <f>IF(Chart!R[30],"AAAAAHz/75M=",0)</f>
        <v>0</v>
      </c>
      <c r="ES2" s="15" t="b">
        <f>AND(Chart!A32,"AAAAAHz/75Q=")</f>
        <v>1</v>
      </c>
      <c r="ET2" s="15" t="str">
        <f>AND(Chart!B32,"AAAAAHz/75U=")</f>
        <v>#VALUE!:noResult:No valid cells found for operation.</v>
      </c>
      <c r="EU2" s="15" t="str">
        <f>AND(Chart!C32,"AAAAAHz/75Y=")</f>
        <v>#VALUE!:noResult:No valid cells found for operation.</v>
      </c>
      <c r="EV2" s="15" t="b">
        <f>AND(Chart!D32,"AAAAAHz/75c=")</f>
        <v>0</v>
      </c>
      <c r="EW2" s="15" t="b">
        <f>AND(Chart!E32,"AAAAAHz/75g=")</f>
        <v>1</v>
      </c>
      <c r="EX2" s="15" t="b">
        <f>AND(Chart!F32,"AAAAAHz/75k=")</f>
        <v>1</v>
      </c>
      <c r="EY2" s="15" t="b">
        <f>AND(Chart!G32,"AAAAAHz/75o=")</f>
        <v>0</v>
      </c>
      <c r="EZ2" s="15" t="b">
        <f>AND(Chart!H32,"AAAAAHz/75s=")</f>
        <v>0</v>
      </c>
      <c r="FA2" s="15" t="str">
        <f>AND(Chart!I32,"AAAAAHz/75w=")</f>
        <v>#VALUE!:noResult:No valid cells found for operation.</v>
      </c>
      <c r="FB2" s="15" t="str">
        <f>AND(Chart!J32,"AAAAAHz/750=")</f>
        <v>#VALUE!:noResult:No valid cells found for operation.</v>
      </c>
      <c r="FC2" s="15" t="str">
        <f>AND(Chart!K32,"AAAAAHz/754=")</f>
        <v>#VALUE!:noResult:No valid cells found for operation.</v>
      </c>
      <c r="FD2" s="15" t="str">
        <f>AND(Chart!L32,"AAAAAHz/758=")</f>
        <v>#VALUE!:noResult:No valid cells found for operation.</v>
      </c>
      <c r="FE2" s="15">
        <f>IF(Chart!R[31],"AAAAAHz/76A=",0)</f>
        <v>0</v>
      </c>
      <c r="FF2" s="15" t="b">
        <f>AND(Chart!A33,"AAAAAHz/76E=")</f>
        <v>1</v>
      </c>
      <c r="FG2" s="15" t="str">
        <f>AND(Chart!B33,"AAAAAHz/76I=")</f>
        <v>#VALUE!:noResult:No valid cells found for operation.</v>
      </c>
      <c r="FH2" s="15" t="str">
        <f>AND(Chart!C33,"AAAAAHz/76M=")</f>
        <v>#VALUE!:noResult:No valid cells found for operation.</v>
      </c>
      <c r="FI2" s="15" t="b">
        <f>AND(Chart!D33,"AAAAAHz/76Q=")</f>
        <v>1</v>
      </c>
      <c r="FJ2" s="15" t="b">
        <f>AND(Chart!E33,"AAAAAHz/76U=")</f>
        <v>1</v>
      </c>
      <c r="FK2" s="15" t="b">
        <f>AND(Chart!F33,"AAAAAHz/76Y=")</f>
        <v>1</v>
      </c>
      <c r="FL2" s="15" t="b">
        <f>AND(Chart!G33,"AAAAAHz/76c=")</f>
        <v>1</v>
      </c>
      <c r="FM2" s="15" t="b">
        <f>AND(Chart!H33,"AAAAAHz/76g=")</f>
        <v>1</v>
      </c>
      <c r="FN2" s="15" t="str">
        <f>AND(Chart!I33,"AAAAAHz/76k=")</f>
        <v>#VALUE!:noResult:No valid cells found for operation.</v>
      </c>
      <c r="FO2" s="15" t="str">
        <f>AND(Chart!J33,"AAAAAHz/76o=")</f>
        <v>#VALUE!:noResult:No valid cells found for operation.</v>
      </c>
      <c r="FP2" s="15" t="str">
        <f>AND(Chart!K33,"AAAAAHz/76s=")</f>
        <v>#VALUE!:noResult:No valid cells found for operation.</v>
      </c>
      <c r="FQ2" s="15" t="str">
        <f>AND(Chart!L33,"AAAAAHz/76w=")</f>
        <v>#VALUE!:noResult:No valid cells found for operation.</v>
      </c>
      <c r="FR2" s="15">
        <f>IF(Chart!R[32],"AAAAAHz/760=",0)</f>
        <v>0</v>
      </c>
      <c r="FS2" s="15" t="b">
        <f>AND(Chart!A34,"AAAAAHz/764=")</f>
        <v>1</v>
      </c>
      <c r="FT2" s="15" t="str">
        <f>AND(Chart!B34,"AAAAAHz/768=")</f>
        <v>#VALUE!:noResult:No valid cells found for operation.</v>
      </c>
      <c r="FU2" s="15" t="str">
        <f>AND(Chart!C34,"AAAAAHz/77A=")</f>
        <v>#VALUE!:noResult:No valid cells found for operation.</v>
      </c>
      <c r="FV2" s="15" t="b">
        <f>AND(Chart!D34,"AAAAAHz/77E=")</f>
        <v>0</v>
      </c>
      <c r="FW2" s="15" t="b">
        <f>AND(Chart!E34,"AAAAAHz/77I=")</f>
        <v>0</v>
      </c>
      <c r="FX2" s="15" t="b">
        <f>AND(Chart!F34,"AAAAAHz/77M=")</f>
        <v>0</v>
      </c>
      <c r="FY2" s="15" t="b">
        <f>AND(Chart!G34,"AAAAAHz/77Q=")</f>
        <v>0</v>
      </c>
      <c r="FZ2" s="15" t="b">
        <f>AND(Chart!H34,"AAAAAHz/77U=")</f>
        <v>0</v>
      </c>
      <c r="GA2" s="15" t="str">
        <f>AND(Chart!I34,"AAAAAHz/77Y=")</f>
        <v>#VALUE!:noResult:No valid cells found for operation.</v>
      </c>
      <c r="GB2" s="15" t="str">
        <f>AND(Chart!J34,"AAAAAHz/77c=")</f>
        <v>#VALUE!:noResult:No valid cells found for operation.</v>
      </c>
      <c r="GC2" s="15" t="str">
        <f>AND(Chart!K34,"AAAAAHz/77g=")</f>
        <v>#VALUE!:noResult:No valid cells found for operation.</v>
      </c>
      <c r="GD2" s="15" t="str">
        <f>AND(Chart!L34,"AAAAAHz/77k=")</f>
        <v>#VALUE!:noResult:No valid cells found for operation.</v>
      </c>
      <c r="GE2" s="15">
        <f>IF(Chart!R[33],"AAAAAHz/77o=",0)</f>
        <v>0</v>
      </c>
      <c r="GF2" s="15" t="b">
        <f>AND(Chart!A35,"AAAAAHz/77s=")</f>
        <v>1</v>
      </c>
      <c r="GG2" s="15" t="str">
        <f>AND(Chart!B35,"AAAAAHz/77w=")</f>
        <v>#VALUE!:noResult:No valid cells found for operation.</v>
      </c>
      <c r="GH2" s="15" t="str">
        <f>AND(Chart!C35,"AAAAAHz/770=")</f>
        <v>#VALUE!:noResult:No valid cells found for operation.</v>
      </c>
      <c r="GI2" s="15" t="b">
        <f>AND(Chart!D35,"AAAAAHz/774=")</f>
        <v>0</v>
      </c>
      <c r="GJ2" s="15" t="b">
        <f>AND(Chart!E35,"AAAAAHz/778=")</f>
        <v>1</v>
      </c>
      <c r="GK2" s="15" t="b">
        <f>AND(Chart!F35,"AAAAAHz/78A=")</f>
        <v>1</v>
      </c>
      <c r="GL2" s="15" t="b">
        <f>AND(Chart!G35,"AAAAAHz/78E=")</f>
        <v>0</v>
      </c>
      <c r="GM2" s="15" t="b">
        <f>AND(Chart!H35,"AAAAAHz/78I=")</f>
        <v>1</v>
      </c>
      <c r="GN2" s="15" t="str">
        <f>AND(Chart!I35,"AAAAAHz/78M=")</f>
        <v>#VALUE!:noResult:No valid cells found for operation.</v>
      </c>
      <c r="GO2" s="15" t="str">
        <f>AND(Chart!J35,"AAAAAHz/78Q=")</f>
        <v>#VALUE!:noResult:No valid cells found for operation.</v>
      </c>
      <c r="GP2" s="15" t="str">
        <f>AND(Chart!K35,"AAAAAHz/78U=")</f>
        <v>#VALUE!:noResult:No valid cells found for operation.</v>
      </c>
      <c r="GQ2" s="15" t="str">
        <f>AND(Chart!L35,"AAAAAHz/78Y=")</f>
        <v>#VALUE!:noResult:No valid cells found for operation.</v>
      </c>
      <c r="GR2" s="15">
        <f>IF(Chart!R[34],"AAAAAHz/78c=",0)</f>
        <v>0</v>
      </c>
      <c r="GS2" s="15" t="b">
        <f>AND(Chart!A36,"AAAAAHz/78g=")</f>
        <v>1</v>
      </c>
      <c r="GT2" s="15" t="str">
        <f>AND(Chart!B36,"AAAAAHz/78k=")</f>
        <v>#VALUE!:noResult:No valid cells found for operation.</v>
      </c>
      <c r="GU2" s="15" t="str">
        <f>AND(Chart!C36,"AAAAAHz/78o=")</f>
        <v>#VALUE!:noResult:No valid cells found for operation.</v>
      </c>
      <c r="GV2" s="15" t="b">
        <f>AND(Chart!D36,"AAAAAHz/78s=")</f>
        <v>1</v>
      </c>
      <c r="GW2" s="15" t="b">
        <f>AND(Chart!E36,"AAAAAHz/78w=")</f>
        <v>1</v>
      </c>
      <c r="GX2" s="15" t="b">
        <f>AND(Chart!F36,"AAAAAHz/780=")</f>
        <v>1</v>
      </c>
      <c r="GY2" s="15" t="b">
        <f>AND(Chart!G36,"AAAAAHz/784=")</f>
        <v>1</v>
      </c>
      <c r="GZ2" s="15" t="b">
        <f>AND(Chart!H36,"AAAAAHz/788=")</f>
        <v>1</v>
      </c>
      <c r="HA2" s="15" t="str">
        <f>AND(Chart!I36,"AAAAAHz/79A=")</f>
        <v>#VALUE!:noResult:No valid cells found for operation.</v>
      </c>
      <c r="HB2" s="15" t="str">
        <f>AND(Chart!J36,"AAAAAHz/79E=")</f>
        <v>#VALUE!:noResult:No valid cells found for operation.</v>
      </c>
      <c r="HC2" s="15" t="str">
        <f>AND(Chart!K36,"AAAAAHz/79I=")</f>
        <v>#VALUE!:noResult:No valid cells found for operation.</v>
      </c>
      <c r="HD2" s="15" t="str">
        <f>AND(Chart!L36,"AAAAAHz/79M=")</f>
        <v>#VALUE!:noResult:No valid cells found for operation.</v>
      </c>
      <c r="HE2" s="15">
        <f>IF(Chart!R[35],"AAAAAHz/79Q=",0)</f>
        <v>0</v>
      </c>
      <c r="HF2" s="15" t="b">
        <f>AND(Chart!A37,"AAAAAHz/79U=")</f>
        <v>1</v>
      </c>
      <c r="HG2" s="15" t="str">
        <f>AND(Chart!B37,"AAAAAHz/79Y=")</f>
        <v>#VALUE!:noResult:No valid cells found for operation.</v>
      </c>
      <c r="HH2" s="15" t="str">
        <f>AND(Chart!C37,"AAAAAHz/79c=")</f>
        <v>#VALUE!:noResult:No valid cells found for operation.</v>
      </c>
      <c r="HI2" s="15" t="b">
        <f>AND(Chart!D37,"AAAAAHz/79g=")</f>
        <v>1</v>
      </c>
      <c r="HJ2" s="15" t="b">
        <f>AND(Chart!E37,"AAAAAHz/79k=")</f>
        <v>1</v>
      </c>
      <c r="HK2" s="15" t="b">
        <f>AND(Chart!F37,"AAAAAHz/79o=")</f>
        <v>1</v>
      </c>
      <c r="HL2" s="15" t="b">
        <f>AND(Chart!G37,"AAAAAHz/79s=")</f>
        <v>1</v>
      </c>
      <c r="HM2" s="15" t="b">
        <f>AND(Chart!H37,"AAAAAHz/79w=")</f>
        <v>1</v>
      </c>
      <c r="HN2" s="15" t="str">
        <f>AND(Chart!I37,"AAAAAHz/790=")</f>
        <v>#VALUE!:noResult:No valid cells found for operation.</v>
      </c>
      <c r="HO2" s="15" t="str">
        <f>AND(Chart!J37,"AAAAAHz/794=")</f>
        <v>#VALUE!:noResult:No valid cells found for operation.</v>
      </c>
      <c r="HP2" s="15" t="str">
        <f>AND(Chart!K37,"AAAAAHz/798=")</f>
        <v>#VALUE!:noResult:No valid cells found for operation.</v>
      </c>
      <c r="HQ2" s="15" t="str">
        <f>AND(Chart!L37,"AAAAAHz/7+A=")</f>
        <v>#VALUE!:noResult:No valid cells found for operation.</v>
      </c>
      <c r="HR2" s="15">
        <f>IF(Chart!R[36],"AAAAAHz/7+E=",0)</f>
        <v>0</v>
      </c>
      <c r="HS2" s="15" t="b">
        <f>AND(Chart!A38,"AAAAAHz/7+I=")</f>
        <v>1</v>
      </c>
      <c r="HT2" s="15" t="str">
        <f>AND(Chart!B38,"AAAAAHz/7+M=")</f>
        <v>#VALUE!:noResult:No valid cells found for operation.</v>
      </c>
      <c r="HU2" s="15" t="str">
        <f>AND(Chart!C38,"AAAAAHz/7+Q=")</f>
        <v>#VALUE!:noResult:No valid cells found for operation.</v>
      </c>
      <c r="HV2" s="15" t="b">
        <f>AND(Chart!D38,"AAAAAHz/7+U=")</f>
        <v>1</v>
      </c>
      <c r="HW2" s="15" t="b">
        <f>AND(Chart!E38,"AAAAAHz/7+Y=")</f>
        <v>1</v>
      </c>
      <c r="HX2" s="15" t="b">
        <f>AND(Chart!F38,"AAAAAHz/7+c=")</f>
        <v>1</v>
      </c>
      <c r="HY2" s="15" t="b">
        <f>AND(Chart!G38,"AAAAAHz/7+g=")</f>
        <v>1</v>
      </c>
      <c r="HZ2" s="15" t="b">
        <f>AND(Chart!H38,"AAAAAHz/7+k=")</f>
        <v>1</v>
      </c>
      <c r="IA2" s="15" t="str">
        <f>AND(Chart!I38,"AAAAAHz/7+o=")</f>
        <v>#VALUE!:noResult:No valid cells found for operation.</v>
      </c>
      <c r="IB2" s="15" t="str">
        <f>AND(Chart!J38,"AAAAAHz/7+s=")</f>
        <v>#VALUE!:noResult:No valid cells found for operation.</v>
      </c>
      <c r="IC2" s="15" t="str">
        <f>AND(Chart!K38,"AAAAAHz/7+w=")</f>
        <v>#VALUE!:noResult:No valid cells found for operation.</v>
      </c>
      <c r="ID2" s="15" t="str">
        <f>AND(Chart!L38,"AAAAAHz/7+0=")</f>
        <v>#VALUE!:noResult:No valid cells found for operation.</v>
      </c>
      <c r="IE2" s="15">
        <f>IF(Chart!R[37],"AAAAAHz/7+4=",0)</f>
        <v>0</v>
      </c>
      <c r="IF2" s="15" t="b">
        <f>AND(Chart!A39,"AAAAAHz/7+8=")</f>
        <v>1</v>
      </c>
      <c r="IG2" s="15" t="str">
        <f>AND(Chart!B39,"AAAAAHz/7/A=")</f>
        <v>#VALUE!:noResult:No valid cells found for operation.</v>
      </c>
      <c r="IH2" s="15" t="str">
        <f>AND(Chart!C39,"AAAAAHz/7/E=")</f>
        <v>#VALUE!:noResult:No valid cells found for operation.</v>
      </c>
      <c r="II2" s="15" t="b">
        <f>AND(Chart!D39,"AAAAAHz/7/I=")</f>
        <v>0</v>
      </c>
      <c r="IJ2" s="15" t="b">
        <f>AND(Chart!E39,"AAAAAHz/7/M=")</f>
        <v>1</v>
      </c>
      <c r="IK2" s="15" t="b">
        <f>AND(Chart!F39,"AAAAAHz/7/Q=")</f>
        <v>1</v>
      </c>
      <c r="IL2" s="15" t="b">
        <f>AND(Chart!G39,"AAAAAHz/7/U=")</f>
        <v>0</v>
      </c>
      <c r="IM2" s="15" t="b">
        <f>AND(Chart!H39,"AAAAAHz/7/Y=")</f>
        <v>1</v>
      </c>
      <c r="IN2" s="15" t="str">
        <f>AND(Chart!I39,"AAAAAHz/7/c=")</f>
        <v>#VALUE!:noResult:No valid cells found for operation.</v>
      </c>
      <c r="IO2" s="15" t="str">
        <f>AND(Chart!J39,"AAAAAHz/7/g=")</f>
        <v>#VALUE!:noResult:No valid cells found for operation.</v>
      </c>
      <c r="IP2" s="15" t="str">
        <f>AND(Chart!K39,"AAAAAHz/7/k=")</f>
        <v>#VALUE!:noResult:No valid cells found for operation.</v>
      </c>
      <c r="IQ2" s="15" t="str">
        <f>AND(Chart!L39,"AAAAAHz/7/o=")</f>
        <v>#VALUE!:noResult:No valid cells found for operation.</v>
      </c>
      <c r="IR2" s="15">
        <f>IF(Chart!R[38],"AAAAAHz/7/s=",0)</f>
        <v>0</v>
      </c>
      <c r="IS2" s="15" t="b">
        <f>AND(Chart!A40,"AAAAAHz/7/w=")</f>
        <v>1</v>
      </c>
      <c r="IT2" s="15" t="str">
        <f>AND(Chart!B40,"AAAAAHz/7/0=")</f>
        <v>#VALUE!:noResult:No valid cells found for operation.</v>
      </c>
      <c r="IU2" s="15" t="str">
        <f>AND(Chart!C40,"AAAAAHz/7/4=")</f>
        <v>#VALUE!:noResult:No valid cells found for operation.</v>
      </c>
      <c r="IV2" s="15" t="b">
        <f>AND(Chart!D40,"AAAAAHz/7/8=")</f>
        <v>1</v>
      </c>
    </row>
    <row r="3">
      <c r="A3" s="15" t="b">
        <f>AND(Chart!E40,"AAAAAH7T3wA=")</f>
        <v>0</v>
      </c>
      <c r="B3" s="15" t="b">
        <f>AND(Chart!F40,"AAAAAH7T3wE=")</f>
        <v>1</v>
      </c>
      <c r="C3" s="15" t="b">
        <f>AND(Chart!G40,"AAAAAH7T3wI=")</f>
        <v>1</v>
      </c>
      <c r="D3" s="15" t="b">
        <f>AND(Chart!H40,"AAAAAH7T3wM=")</f>
        <v>1</v>
      </c>
      <c r="E3" s="15" t="str">
        <f>AND(Chart!I40,"AAAAAH7T3wQ=")</f>
        <v>#VALUE!:noResult:No valid cells found for operation.</v>
      </c>
      <c r="F3" s="15" t="str">
        <f>AND(Chart!J40,"AAAAAH7T3wU=")</f>
        <v>#VALUE!:noResult:No valid cells found for operation.</v>
      </c>
      <c r="G3" s="15" t="str">
        <f>AND(Chart!K40,"AAAAAH7T3wY=")</f>
        <v>#VALUE!:noResult:No valid cells found for operation.</v>
      </c>
      <c r="H3" s="15" t="str">
        <f>AND(Chart!L40,"AAAAAH7T3wc=")</f>
        <v>#VALUE!:noResult:No valid cells found for operation.</v>
      </c>
      <c r="I3" s="15">
        <f>IF(Chart!R[38],"AAAAAH7T3wg=",0)</f>
        <v>0</v>
      </c>
      <c r="J3" s="15" t="b">
        <f>AND(Chart!A41,"AAAAAH7T3wk=")</f>
        <v>1</v>
      </c>
      <c r="K3" s="15" t="str">
        <f>AND(Chart!B41,"AAAAAH7T3wo=")</f>
        <v>#VALUE!:noResult:No valid cells found for operation.</v>
      </c>
      <c r="L3" s="15" t="str">
        <f>AND(Chart!C41,"AAAAAH7T3ws=")</f>
        <v>#VALUE!:noResult:No valid cells found for operation.</v>
      </c>
      <c r="M3" s="15" t="b">
        <f>AND(Chart!D41,"AAAAAH7T3ww=")</f>
        <v>0</v>
      </c>
      <c r="N3" s="15" t="b">
        <f>AND(Chart!E41,"AAAAAH7T3w0=")</f>
        <v>1</v>
      </c>
      <c r="O3" s="15" t="b">
        <f>AND(Chart!F41,"AAAAAH7T3w4=")</f>
        <v>1</v>
      </c>
      <c r="P3" s="15" t="b">
        <f>AND(Chart!G41,"AAAAAH7T3w8=")</f>
        <v>0</v>
      </c>
      <c r="Q3" s="15" t="b">
        <f>AND(Chart!H41,"AAAAAH7T3xA=")</f>
        <v>0</v>
      </c>
      <c r="R3" s="15" t="str">
        <f>AND(Chart!I41,"AAAAAH7T3xE=")</f>
        <v>#VALUE!:noResult:No valid cells found for operation.</v>
      </c>
      <c r="S3" s="15" t="str">
        <f>AND(Chart!J41,"AAAAAH7T3xI=")</f>
        <v>#VALUE!:noResult:No valid cells found for operation.</v>
      </c>
      <c r="T3" s="15" t="str">
        <f>AND(Chart!K41,"AAAAAH7T3xM=")</f>
        <v>#VALUE!:noResult:No valid cells found for operation.</v>
      </c>
      <c r="U3" s="15" t="str">
        <f>AND(Chart!L41,"AAAAAH7T3xQ=")</f>
        <v>#VALUE!:noResult:No valid cells found for operation.</v>
      </c>
      <c r="V3" s="15">
        <f>IF(Chart!R[39],"AAAAAH7T3xU=",0)</f>
        <v>0</v>
      </c>
      <c r="W3" s="15" t="b">
        <f>AND(Chart!A42,"AAAAAH7T3xY=")</f>
        <v>1</v>
      </c>
      <c r="X3" s="15" t="str">
        <f>AND(Chart!B42,"AAAAAH7T3xc=")</f>
        <v>#VALUE!:noResult:No valid cells found for operation.</v>
      </c>
      <c r="Y3" s="15" t="str">
        <f>AND(Chart!C42,"AAAAAH7T3xg=")</f>
        <v>#VALUE!:noResult:No valid cells found for operation.</v>
      </c>
      <c r="Z3" s="15" t="b">
        <f>AND(Chart!D42,"AAAAAH7T3xk=")</f>
        <v>0</v>
      </c>
      <c r="AA3" s="15" t="b">
        <f>AND(Chart!E42,"AAAAAH7T3xo=")</f>
        <v>0</v>
      </c>
      <c r="AB3" s="15" t="b">
        <f>AND(Chart!F42,"AAAAAH7T3xs=")</f>
        <v>0</v>
      </c>
      <c r="AC3" s="15" t="b">
        <f>AND(Chart!G42,"AAAAAH7T3xw=")</f>
        <v>0</v>
      </c>
      <c r="AD3" s="15" t="b">
        <f>AND(Chart!H42,"AAAAAH7T3x0=")</f>
        <v>0</v>
      </c>
      <c r="AE3" s="15" t="str">
        <f>AND(Chart!I42,"AAAAAH7T3x4=")</f>
        <v>#VALUE!:noResult:No valid cells found for operation.</v>
      </c>
      <c r="AF3" s="15" t="str">
        <f>AND(Chart!J42,"AAAAAH7T3x8=")</f>
        <v>#VALUE!:noResult:No valid cells found for operation.</v>
      </c>
      <c r="AG3" s="15" t="str">
        <f>AND(Chart!K42,"AAAAAH7T3yA=")</f>
        <v>#VALUE!:noResult:No valid cells found for operation.</v>
      </c>
      <c r="AH3" s="15" t="str">
        <f>AND(Chart!L42,"AAAAAH7T3yE=")</f>
        <v>#VALUE!:noResult:No valid cells found for operation.</v>
      </c>
      <c r="AI3" s="15">
        <f>IF(Chart!R[40],"AAAAAH7T3yI=",0)</f>
        <v>0</v>
      </c>
      <c r="AJ3" s="15" t="b">
        <f>AND(Chart!A43,"AAAAAH7T3yM=")</f>
        <v>1</v>
      </c>
      <c r="AK3" s="15" t="str">
        <f>AND(Chart!B43,"AAAAAH7T3yQ=")</f>
        <v>#VALUE!:noResult:No valid cells found for operation.</v>
      </c>
      <c r="AL3" s="15" t="str">
        <f>AND(Chart!C43,"AAAAAH7T3yU=")</f>
        <v>#VALUE!:noResult:No valid cells found for operation.</v>
      </c>
      <c r="AM3" s="15" t="b">
        <f>AND(Chart!D43,"AAAAAH7T3yY=")</f>
        <v>0</v>
      </c>
      <c r="AN3" s="15" t="b">
        <f>AND(Chart!E43,"AAAAAH7T3yc=")</f>
        <v>0</v>
      </c>
      <c r="AO3" s="15" t="b">
        <f>AND(Chart!F43,"AAAAAH7T3yg=")</f>
        <v>0</v>
      </c>
      <c r="AP3" s="15" t="b">
        <f>AND(Chart!G43,"AAAAAH7T3yk=")</f>
        <v>0</v>
      </c>
      <c r="AQ3" s="15" t="b">
        <f>AND(Chart!H43,"AAAAAH7T3yo=")</f>
        <v>0</v>
      </c>
      <c r="AR3" s="15" t="str">
        <f>AND(Chart!I43,"AAAAAH7T3ys=")</f>
        <v>#VALUE!:noResult:No valid cells found for operation.</v>
      </c>
      <c r="AS3" s="15" t="str">
        <f>AND(Chart!J43,"AAAAAH7T3yw=")</f>
        <v>#VALUE!:noResult:No valid cells found for operation.</v>
      </c>
      <c r="AT3" s="15" t="str">
        <f>AND(Chart!K43,"AAAAAH7T3y0=")</f>
        <v>#VALUE!:noResult:No valid cells found for operation.</v>
      </c>
      <c r="AU3" s="15" t="str">
        <f>AND(Chart!L43,"AAAAAH7T3y4=")</f>
        <v>#VALUE!:noResult:No valid cells found for operation.</v>
      </c>
      <c r="AV3" s="15">
        <f>IF(Chart!R[41],"AAAAAH7T3y8=",0)</f>
        <v>0</v>
      </c>
      <c r="AW3" s="15" t="b">
        <f>AND(Chart!A44,"AAAAAH7T3zA=")</f>
        <v>1</v>
      </c>
      <c r="AX3" s="15" t="str">
        <f>AND(Chart!B44,"AAAAAH7T3zE=")</f>
        <v>#VALUE!:noResult:No valid cells found for operation.</v>
      </c>
      <c r="AY3" s="15" t="str">
        <f>AND(Chart!C44,"AAAAAH7T3zI=")</f>
        <v>#VALUE!:noResult:No valid cells found for operation.</v>
      </c>
      <c r="AZ3" s="15" t="b">
        <f>AND(Chart!D44,"AAAAAH7T3zM=")</f>
        <v>0</v>
      </c>
      <c r="BA3" s="15" t="b">
        <f>AND(Chart!E44,"AAAAAH7T3zQ=")</f>
        <v>0</v>
      </c>
      <c r="BB3" s="15" t="b">
        <f>AND(Chart!F44,"AAAAAH7T3zU=")</f>
        <v>0</v>
      </c>
      <c r="BC3" s="15" t="b">
        <f>AND(Chart!G44,"AAAAAH7T3zY=")</f>
        <v>0</v>
      </c>
      <c r="BD3" s="15" t="b">
        <f>AND(Chart!H44,"AAAAAH7T3zc=")</f>
        <v>0</v>
      </c>
      <c r="BE3" s="15" t="str">
        <f>AND(Chart!I44,"AAAAAH7T3zg=")</f>
        <v>#VALUE!:noResult:No valid cells found for operation.</v>
      </c>
      <c r="BF3" s="15" t="str">
        <f>AND(Chart!J44,"AAAAAH7T3zk=")</f>
        <v>#VALUE!:noResult:No valid cells found for operation.</v>
      </c>
      <c r="BG3" s="15" t="str">
        <f>AND(Chart!K44,"AAAAAH7T3zo=")</f>
        <v>#VALUE!:noResult:No valid cells found for operation.</v>
      </c>
      <c r="BH3" s="15" t="str">
        <f>AND(Chart!L44,"AAAAAH7T3zs=")</f>
        <v>#VALUE!:noResult:No valid cells found for operation.</v>
      </c>
      <c r="BI3" s="15">
        <f>IF(Chart!R[42],"AAAAAH7T3zw=",0)</f>
        <v>0</v>
      </c>
      <c r="BJ3" s="15" t="b">
        <f>AND(Chart!A45,"AAAAAH7T3z0=")</f>
        <v>1</v>
      </c>
      <c r="BK3" s="15" t="str">
        <f>AND(Chart!B45,"AAAAAH7T3z4=")</f>
        <v>#VALUE!:noResult:No valid cells found for operation.</v>
      </c>
      <c r="BL3" s="15" t="str">
        <f>AND(Chart!C45,"AAAAAH7T3z8=")</f>
        <v>#VALUE!:noResult:No valid cells found for operation.</v>
      </c>
      <c r="BM3" s="15" t="b">
        <f>AND(Chart!D45,"AAAAAH7T30A=")</f>
        <v>1</v>
      </c>
      <c r="BN3" s="15" t="b">
        <f>AND(Chart!E45,"AAAAAH7T30E=")</f>
        <v>1</v>
      </c>
      <c r="BO3" s="15" t="b">
        <f>AND(Chart!F45,"AAAAAH7T30I=")</f>
        <v>1</v>
      </c>
      <c r="BP3" s="15" t="b">
        <f>AND(Chart!G45,"AAAAAH7T30M=")</f>
        <v>1</v>
      </c>
      <c r="BQ3" s="15" t="b">
        <f>AND(Chart!H45,"AAAAAH7T30Q=")</f>
        <v>1</v>
      </c>
      <c r="BR3" s="15" t="str">
        <f>AND(Chart!I45,"AAAAAH7T30U=")</f>
        <v>#VALUE!:noResult:No valid cells found for operation.</v>
      </c>
      <c r="BS3" s="15" t="str">
        <f>AND(Chart!J45,"AAAAAH7T30Y=")</f>
        <v>#VALUE!:noResult:No valid cells found for operation.</v>
      </c>
      <c r="BT3" s="15" t="str">
        <f>AND(Chart!K45,"AAAAAH7T30c=")</f>
        <v>#VALUE!:noResult:No valid cells found for operation.</v>
      </c>
      <c r="BU3" s="15" t="str">
        <f>AND(Chart!L45,"AAAAAH7T30g=")</f>
        <v>#VALUE!:noResult:No valid cells found for operation.</v>
      </c>
      <c r="BV3" s="15">
        <f>IF(Chart!R[43],"AAAAAH7T30k=",0)</f>
        <v>0</v>
      </c>
      <c r="BW3" s="15" t="b">
        <f>AND(Chart!A46,"AAAAAH7T30o=")</f>
        <v>1</v>
      </c>
      <c r="BX3" s="15" t="str">
        <f>AND(Chart!B46,"AAAAAH7T30s=")</f>
        <v>#VALUE!:noResult:No valid cells found for operation.</v>
      </c>
      <c r="BY3" s="15" t="str">
        <f>AND(Chart!C46,"AAAAAH7T30w=")</f>
        <v>#VALUE!:noResult:No valid cells found for operation.</v>
      </c>
      <c r="BZ3" s="15" t="b">
        <f>AND(Chart!D46,"AAAAAH7T300=")</f>
        <v>0</v>
      </c>
      <c r="CA3" s="15" t="b">
        <f>AND(Chart!E46,"AAAAAH7T304=")</f>
        <v>1</v>
      </c>
      <c r="CB3" s="15" t="b">
        <f>AND(Chart!F46,"AAAAAH7T308=")</f>
        <v>1</v>
      </c>
      <c r="CC3" s="15" t="b">
        <f>AND(Chart!G46,"AAAAAH7T31A=")</f>
        <v>0</v>
      </c>
      <c r="CD3" s="15" t="b">
        <f>AND(Chart!H46,"AAAAAH7T31E=")</f>
        <v>1</v>
      </c>
      <c r="CE3" s="15" t="str">
        <f>AND(Chart!I46,"AAAAAH7T31I=")</f>
        <v>#VALUE!:noResult:No valid cells found for operation.</v>
      </c>
      <c r="CF3" s="15" t="str">
        <f>AND(Chart!J46,"AAAAAH7T31M=")</f>
        <v>#VALUE!:noResult:No valid cells found for operation.</v>
      </c>
      <c r="CG3" s="15" t="str">
        <f>AND(Chart!K46,"AAAAAH7T31Q=")</f>
        <v>#VALUE!:noResult:No valid cells found for operation.</v>
      </c>
      <c r="CH3" s="15" t="str">
        <f>AND(Chart!L46,"AAAAAH7T31U=")</f>
        <v>#VALUE!:noResult:No valid cells found for operation.</v>
      </c>
      <c r="CI3" s="15">
        <f>IF(Chart!R[44],"AAAAAH7T31Y=",0)</f>
        <v>0</v>
      </c>
      <c r="CJ3" s="15" t="b">
        <f>AND(Chart!A47,"AAAAAH7T31c=")</f>
        <v>1</v>
      </c>
      <c r="CK3" s="15" t="str">
        <f>AND(Chart!B47,"AAAAAH7T31g=")</f>
        <v>#VALUE!:noResult:No valid cells found for operation.</v>
      </c>
      <c r="CL3" s="15" t="str">
        <f>AND(Chart!C47,"AAAAAH7T31k=")</f>
        <v>#VALUE!:noResult:No valid cells found for operation.</v>
      </c>
      <c r="CM3" s="15" t="b">
        <f>AND(Chart!D47,"AAAAAH7T31o=")</f>
        <v>0</v>
      </c>
      <c r="CN3" s="15" t="b">
        <f>AND(Chart!E47,"AAAAAH7T31s=")</f>
        <v>1</v>
      </c>
      <c r="CO3" s="15" t="b">
        <f>AND(Chart!F47,"AAAAAH7T31w=")</f>
        <v>1</v>
      </c>
      <c r="CP3" s="15" t="b">
        <f>AND(Chart!G47,"AAAAAH7T310=")</f>
        <v>0</v>
      </c>
      <c r="CQ3" s="15" t="b">
        <f>AND(Chart!H47,"AAAAAH7T314=")</f>
        <v>1</v>
      </c>
      <c r="CR3" s="15" t="str">
        <f>AND(Chart!I47,"AAAAAH7T318=")</f>
        <v>#VALUE!:noResult:No valid cells found for operation.</v>
      </c>
      <c r="CS3" s="15" t="str">
        <f>AND(Chart!J47,"AAAAAH7T32A=")</f>
        <v>#VALUE!:noResult:No valid cells found for operation.</v>
      </c>
      <c r="CT3" s="15" t="str">
        <f>AND(Chart!K47,"AAAAAH7T32E=")</f>
        <v>#VALUE!:noResult:No valid cells found for operation.</v>
      </c>
      <c r="CU3" s="15" t="str">
        <f>AND(Chart!L47,"AAAAAH7T32I=")</f>
        <v>#VALUE!:noResult:No valid cells found for operation.</v>
      </c>
      <c r="CV3" s="15">
        <f>IF(Chart!R[45],"AAAAAH7T32M=",0)</f>
        <v>0</v>
      </c>
      <c r="CW3" s="15" t="b">
        <f>AND(Chart!A48,"AAAAAH7T32Q=")</f>
        <v>1</v>
      </c>
      <c r="CX3" s="15" t="str">
        <f>AND(Chart!B48,"AAAAAH7T32U=")</f>
        <v>#VALUE!:noResult:No valid cells found for operation.</v>
      </c>
      <c r="CY3" s="15" t="str">
        <f>AND(Chart!C48,"AAAAAH7T32Y=")</f>
        <v>#VALUE!:noResult:No valid cells found for operation.</v>
      </c>
      <c r="CZ3" s="15" t="b">
        <f>AND(Chart!D48,"AAAAAH7T32c=")</f>
        <v>0</v>
      </c>
      <c r="DA3" s="15" t="b">
        <f>AND(Chart!E48,"AAAAAH7T32g=")</f>
        <v>1</v>
      </c>
      <c r="DB3" s="15" t="b">
        <f>AND(Chart!F48,"AAAAAH7T32k=")</f>
        <v>1</v>
      </c>
      <c r="DC3" s="15" t="b">
        <f>AND(Chart!G48,"AAAAAH7T32o=")</f>
        <v>0</v>
      </c>
      <c r="DD3" s="15" t="b">
        <f>AND(Chart!H48,"AAAAAH7T32s=")</f>
        <v>1</v>
      </c>
      <c r="DE3" s="15" t="str">
        <f>AND(Chart!I48,"AAAAAH7T32w=")</f>
        <v>#VALUE!:noResult:No valid cells found for operation.</v>
      </c>
      <c r="DF3" s="15" t="str">
        <f>AND(Chart!J48,"AAAAAH7T320=")</f>
        <v>#VALUE!:noResult:No valid cells found for operation.</v>
      </c>
      <c r="DG3" s="15" t="str">
        <f>AND(Chart!K48,"AAAAAH7T324=")</f>
        <v>#VALUE!:noResult:No valid cells found for operation.</v>
      </c>
      <c r="DH3" s="15" t="str">
        <f>AND(Chart!L48,"AAAAAH7T328=")</f>
        <v>#VALUE!:noResult:No valid cells found for operation.</v>
      </c>
      <c r="DI3" s="15">
        <f>IF(Chart!R[46],"AAAAAH7T33A=",0)</f>
        <v>0</v>
      </c>
      <c r="DJ3" s="15" t="b">
        <f>AND(Chart!A49,"AAAAAH7T33E=")</f>
        <v>1</v>
      </c>
      <c r="DK3" s="15" t="str">
        <f>AND(Chart!B49,"AAAAAH7T33I=")</f>
        <v>#VALUE!:noResult:No valid cells found for operation.</v>
      </c>
      <c r="DL3" s="15" t="str">
        <f>AND(Chart!C49,"AAAAAH7T33M=")</f>
        <v>#VALUE!:noResult:No valid cells found for operation.</v>
      </c>
      <c r="DM3" s="15" t="b">
        <f>AND(Chart!D49,"AAAAAH7T33Q=")</f>
        <v>0</v>
      </c>
      <c r="DN3" s="15" t="b">
        <f>AND(Chart!E49,"AAAAAH7T33U=")</f>
        <v>1</v>
      </c>
      <c r="DO3" s="15" t="b">
        <f>AND(Chart!F49,"AAAAAH7T33Y=")</f>
        <v>1</v>
      </c>
      <c r="DP3" s="15" t="b">
        <f>AND(Chart!G49,"AAAAAH7T33c=")</f>
        <v>0</v>
      </c>
      <c r="DQ3" s="15" t="b">
        <f>AND(Chart!H49,"AAAAAH7T33g=")</f>
        <v>1</v>
      </c>
      <c r="DR3" s="15" t="str">
        <f>AND(Chart!I49,"AAAAAH7T33k=")</f>
        <v>#VALUE!:noResult:No valid cells found for operation.</v>
      </c>
      <c r="DS3" s="15" t="str">
        <f>AND(Chart!J49,"AAAAAH7T33o=")</f>
        <v>#VALUE!:noResult:No valid cells found for operation.</v>
      </c>
      <c r="DT3" s="15" t="str">
        <f>AND(Chart!K49,"AAAAAH7T33s=")</f>
        <v>#VALUE!:noResult:No valid cells found for operation.</v>
      </c>
      <c r="DU3" s="15" t="str">
        <f>AND(Chart!L49,"AAAAAH7T33w=")</f>
        <v>#VALUE!:noResult:No valid cells found for operation.</v>
      </c>
      <c r="DV3" s="15">
        <f>IF(Chart!R[47],"AAAAAH7T330=",0)</f>
        <v>0</v>
      </c>
      <c r="DW3" s="15" t="b">
        <f>AND(Chart!A50,"AAAAAH7T334=")</f>
        <v>1</v>
      </c>
      <c r="DX3" s="15" t="str">
        <f>AND(Chart!B50,"AAAAAH7T338=")</f>
        <v>#VALUE!:noResult:No valid cells found for operation.</v>
      </c>
      <c r="DY3" s="15" t="str">
        <f>AND(Chart!C50,"AAAAAH7T34A=")</f>
        <v>#VALUE!:noResult:No valid cells found for operation.</v>
      </c>
      <c r="DZ3" s="15" t="b">
        <f>AND(Chart!D50,"AAAAAH7T34E=")</f>
        <v>1</v>
      </c>
      <c r="EA3" s="15" t="b">
        <f>AND(Chart!E50,"AAAAAH7T34I=")</f>
        <v>1</v>
      </c>
      <c r="EB3" s="15" t="b">
        <f>AND(Chart!F50,"AAAAAH7T34M=")</f>
        <v>1</v>
      </c>
      <c r="EC3" s="15" t="b">
        <f>AND(Chart!G50,"AAAAAH7T34Q=")</f>
        <v>1</v>
      </c>
      <c r="ED3" s="15" t="b">
        <f>AND(Chart!H50,"AAAAAH7T34U=")</f>
        <v>1</v>
      </c>
      <c r="EE3" s="15" t="str">
        <f>AND(Chart!I50,"AAAAAH7T34Y=")</f>
        <v>#VALUE!:noResult:No valid cells found for operation.</v>
      </c>
      <c r="EF3" s="15" t="str">
        <f>AND(Chart!J50,"AAAAAH7T34c=")</f>
        <v>#VALUE!:noResult:No valid cells found for operation.</v>
      </c>
      <c r="EG3" s="15" t="str">
        <f>AND(Chart!K50,"AAAAAH7T34g=")</f>
        <v>#VALUE!:noResult:No valid cells found for operation.</v>
      </c>
      <c r="EH3" s="15" t="str">
        <f>AND(Chart!L50,"AAAAAH7T34k=")</f>
        <v>#VALUE!:noResult:No valid cells found for operation.</v>
      </c>
      <c r="EI3" s="15">
        <f>IF(Chart!R[48],"AAAAAH7T34o=",0)</f>
        <v>0</v>
      </c>
      <c r="EJ3" s="15" t="b">
        <f>AND(Chart!A51,"AAAAAH7T34s=")</f>
        <v>1</v>
      </c>
      <c r="EK3" s="15" t="str">
        <f>AND(Chart!B51,"AAAAAH7T34w=")</f>
        <v>#VALUE!:noResult:No valid cells found for operation.</v>
      </c>
      <c r="EL3" s="15" t="str">
        <f>AND(Chart!C51,"AAAAAH7T340=")</f>
        <v>#VALUE!:noResult:No valid cells found for operation.</v>
      </c>
      <c r="EM3" s="15" t="b">
        <f>AND(Chart!D51,"AAAAAH7T344=")</f>
        <v>1</v>
      </c>
      <c r="EN3" s="15" t="b">
        <f>AND(Chart!E51,"AAAAAH7T348=")</f>
        <v>1</v>
      </c>
      <c r="EO3" s="15" t="b">
        <f>AND(Chart!F51,"AAAAAH7T35A=")</f>
        <v>1</v>
      </c>
      <c r="EP3" s="15" t="b">
        <f>AND(Chart!G51,"AAAAAH7T35E=")</f>
        <v>1</v>
      </c>
      <c r="EQ3" s="15" t="b">
        <f>AND(Chart!H51,"AAAAAH7T35I=")</f>
        <v>1</v>
      </c>
      <c r="ER3" s="15" t="str">
        <f>AND(Chart!I51,"AAAAAH7T35M=")</f>
        <v>#VALUE!:noResult:No valid cells found for operation.</v>
      </c>
      <c r="ES3" s="15" t="str">
        <f>AND(Chart!J51,"AAAAAH7T35Q=")</f>
        <v>#VALUE!:noResult:No valid cells found for operation.</v>
      </c>
      <c r="ET3" s="15" t="str">
        <f>AND(Chart!K51,"AAAAAH7T35U=")</f>
        <v>#VALUE!:noResult:No valid cells found for operation.</v>
      </c>
      <c r="EU3" s="15" t="str">
        <f>AND(Chart!L51,"AAAAAH7T35Y=")</f>
        <v>#VALUE!:noResult:No valid cells found for operation.</v>
      </c>
      <c r="EV3" s="15">
        <f>IF(Chart!R[52],"AAAAAH7T35c=",0)</f>
        <v>0</v>
      </c>
      <c r="EW3" s="15" t="b">
        <f>AND(Chart!A55,"AAAAAH7T35g=")</f>
        <v>1</v>
      </c>
      <c r="EX3" s="15" t="str">
        <f>AND(Chart!B55,"AAAAAH7T35k=")</f>
        <v>#VALUE!:noResult:No valid cells found for operation.</v>
      </c>
      <c r="EY3" s="15" t="str">
        <f>AND(Chart!C55,"AAAAAH7T35o=")</f>
        <v>#VALUE!:noResult:No valid cells found for operation.</v>
      </c>
      <c r="EZ3" s="15" t="b">
        <f>AND(Chart!D55,"AAAAAH7T35s=")</f>
        <v>1</v>
      </c>
      <c r="FA3" s="15" t="b">
        <f>AND(Chart!E55,"AAAAAH7T35w=")</f>
        <v>1</v>
      </c>
      <c r="FB3" s="15" t="b">
        <f>AND(Chart!F55,"AAAAAH7T350=")</f>
        <v>1</v>
      </c>
      <c r="FC3" s="15" t="b">
        <f>AND(Chart!G55,"AAAAAH7T354=")</f>
        <v>1</v>
      </c>
      <c r="FD3" s="15" t="b">
        <f>AND(Chart!H55,"AAAAAH7T358=")</f>
        <v>1</v>
      </c>
      <c r="FE3" s="15" t="str">
        <f>AND(Chart!I55,"AAAAAH7T36A=")</f>
        <v>#VALUE!:noResult:No valid cells found for operation.</v>
      </c>
      <c r="FF3" s="15" t="str">
        <f>AND(Chart!J55,"AAAAAH7T36E=")</f>
        <v>#VALUE!:noResult:No valid cells found for operation.</v>
      </c>
      <c r="FG3" s="15" t="str">
        <f>AND(Chart!K55,"AAAAAH7T36I=")</f>
        <v>#VALUE!:noResult:No valid cells found for operation.</v>
      </c>
      <c r="FH3" s="15" t="str">
        <f>AND(Chart!L55,"AAAAAH7T36M=")</f>
        <v>#VALUE!:noResult:No valid cells found for operation.</v>
      </c>
      <c r="FI3" s="15">
        <f>IF(Chart!R[53],"AAAAAH7T36Q=",0)</f>
        <v>0</v>
      </c>
      <c r="FJ3" s="15" t="b">
        <f>AND(Chart!A56,"AAAAAH7T36U=")</f>
        <v>1</v>
      </c>
      <c r="FK3" s="15" t="str">
        <f>AND(Chart!B56,"AAAAAH7T36Y=")</f>
        <v>#VALUE!:noResult:No valid cells found for operation.</v>
      </c>
      <c r="FL3" s="15" t="str">
        <f>AND(Chart!C56,"AAAAAH7T36c=")</f>
        <v>#VALUE!:noResult:No valid cells found for operation.</v>
      </c>
      <c r="FM3" s="15" t="b">
        <f>AND(Chart!D56,"AAAAAH7T36g=")</f>
        <v>1</v>
      </c>
      <c r="FN3" s="15" t="b">
        <f>AND(Chart!E56,"AAAAAH7T36k=")</f>
        <v>1</v>
      </c>
      <c r="FO3" s="15" t="b">
        <f>AND(Chart!F56,"AAAAAH7T36o=")</f>
        <v>1</v>
      </c>
      <c r="FP3" s="15" t="b">
        <f>AND(Chart!G56,"AAAAAH7T36s=")</f>
        <v>1</v>
      </c>
      <c r="FQ3" s="15" t="b">
        <f>AND(Chart!H56,"AAAAAH7T36w=")</f>
        <v>1</v>
      </c>
      <c r="FR3" s="15" t="str">
        <f>AND(Chart!I56,"AAAAAH7T360=")</f>
        <v>#VALUE!:noResult:No valid cells found for operation.</v>
      </c>
      <c r="FS3" s="15" t="str">
        <f>AND(Chart!J56,"AAAAAH7T364=")</f>
        <v>#VALUE!:noResult:No valid cells found for operation.</v>
      </c>
      <c r="FT3" s="15" t="str">
        <f>AND(Chart!K56,"AAAAAH7T368=")</f>
        <v>#VALUE!:noResult:No valid cells found for operation.</v>
      </c>
      <c r="FU3" s="15" t="str">
        <f>AND(Chart!L56,"AAAAAH7T37A=")</f>
        <v>#VALUE!:noResult:No valid cells found for operation.</v>
      </c>
      <c r="FV3" s="15">
        <f>IF(Chart!R[54],"AAAAAH7T37E=",0)</f>
        <v>0</v>
      </c>
      <c r="FW3" s="15" t="b">
        <f>AND(Chart!A57,"AAAAAH7T37I=")</f>
        <v>1</v>
      </c>
      <c r="FX3" s="15" t="str">
        <f>AND(Chart!B57,"AAAAAH7T37M=")</f>
        <v>#VALUE!:noResult:No valid cells found for operation.</v>
      </c>
      <c r="FY3" s="15" t="str">
        <f>AND(Chart!C57,"AAAAAH7T37Q=")</f>
        <v>#VALUE!:noResult:No valid cells found for operation.</v>
      </c>
      <c r="FZ3" s="15" t="b">
        <f>AND(Chart!D57,"AAAAAH7T37U=")</f>
        <v>1</v>
      </c>
      <c r="GA3" s="15" t="b">
        <f>AND(Chart!E57,"AAAAAH7T37Y=")</f>
        <v>1</v>
      </c>
      <c r="GB3" s="15" t="b">
        <f>AND(Chart!F57,"AAAAAH7T37c=")</f>
        <v>1</v>
      </c>
      <c r="GC3" s="15" t="b">
        <f>AND(Chart!G57,"AAAAAH7T37g=")</f>
        <v>1</v>
      </c>
      <c r="GD3" s="15" t="b">
        <f>AND(Chart!H57,"AAAAAH7T37k=")</f>
        <v>1</v>
      </c>
      <c r="GE3" s="15" t="str">
        <f>AND(Chart!I57,"AAAAAH7T37o=")</f>
        <v>#VALUE!:noResult:No valid cells found for operation.</v>
      </c>
      <c r="GF3" s="15" t="str">
        <f>AND(Chart!J57,"AAAAAH7T37s=")</f>
        <v>#VALUE!:noResult:No valid cells found for operation.</v>
      </c>
      <c r="GG3" s="15" t="str">
        <f>AND(Chart!K57,"AAAAAH7T37w=")</f>
        <v>#VALUE!:noResult:No valid cells found for operation.</v>
      </c>
      <c r="GH3" s="15" t="str">
        <f>AND(Chart!L57,"AAAAAH7T370=")</f>
        <v>#VALUE!:noResult:No valid cells found for operation.</v>
      </c>
      <c r="GI3" s="15">
        <f>IF(Chart!R[55],"AAAAAH7T374=",0)</f>
        <v>0</v>
      </c>
      <c r="GJ3" s="15" t="b">
        <f>AND(Chart!A58,"AAAAAH7T378=")</f>
        <v>1</v>
      </c>
      <c r="GK3" s="15" t="str">
        <f>AND(Chart!B58,"AAAAAH7T38A=")</f>
        <v>#VALUE!:noResult:No valid cells found for operation.</v>
      </c>
      <c r="GL3" s="15" t="str">
        <f>AND(Chart!C58,"AAAAAH7T38E=")</f>
        <v>#VALUE!:noResult:No valid cells found for operation.</v>
      </c>
      <c r="GM3" s="15" t="b">
        <f>AND(Chart!D58,"AAAAAH7T38I=")</f>
        <v>1</v>
      </c>
      <c r="GN3" s="15" t="b">
        <f>AND(Chart!E58,"AAAAAH7T38M=")</f>
        <v>1</v>
      </c>
      <c r="GO3" s="15" t="b">
        <f>AND(Chart!F58,"AAAAAH7T38Q=")</f>
        <v>1</v>
      </c>
      <c r="GP3" s="15" t="b">
        <f>AND(Chart!G58,"AAAAAH7T38U=")</f>
        <v>1</v>
      </c>
      <c r="GQ3" s="15" t="b">
        <f>AND(Chart!H58,"AAAAAH7T38Y=")</f>
        <v>1</v>
      </c>
      <c r="GR3" s="15" t="str">
        <f>AND(Chart!I58,"AAAAAH7T38c=")</f>
        <v>#VALUE!:noResult:No valid cells found for operation.</v>
      </c>
      <c r="GS3" s="15" t="str">
        <f>AND(Chart!J58,"AAAAAH7T38g=")</f>
        <v>#VALUE!:noResult:No valid cells found for operation.</v>
      </c>
      <c r="GT3" s="15" t="str">
        <f>AND(Chart!K58,"AAAAAH7T38k=")</f>
        <v>#VALUE!:noResult:No valid cells found for operation.</v>
      </c>
      <c r="GU3" s="15" t="str">
        <f>AND(Chart!L58,"AAAAAH7T38o=")</f>
        <v>#VALUE!:noResult:No valid cells found for operation.</v>
      </c>
      <c r="GV3" s="15">
        <f>IF(Chart!R[56],"AAAAAH7T38s=",0)</f>
        <v>0</v>
      </c>
      <c r="GW3" s="15" t="b">
        <f>AND(Chart!A59,"AAAAAH7T38w=")</f>
        <v>1</v>
      </c>
      <c r="GX3" s="15" t="str">
        <f>AND(Chart!B59,"AAAAAH7T380=")</f>
        <v>#VALUE!:noResult:No valid cells found for operation.</v>
      </c>
      <c r="GY3" s="15" t="str">
        <f>AND(Chart!C59,"AAAAAH7T384=")</f>
        <v>#VALUE!:noResult:No valid cells found for operation.</v>
      </c>
      <c r="GZ3" s="15" t="b">
        <f>AND(Chart!D59,"AAAAAH7T388=")</f>
        <v>0</v>
      </c>
      <c r="HA3" s="15" t="b">
        <f>AND(Chart!E59,"AAAAAH7T39A=")</f>
        <v>1</v>
      </c>
      <c r="HB3" s="15" t="b">
        <f>AND(Chart!F59,"AAAAAH7T39E=")</f>
        <v>1</v>
      </c>
      <c r="HC3" s="15" t="b">
        <f>AND(Chart!G59,"AAAAAH7T39I=")</f>
        <v>0</v>
      </c>
      <c r="HD3" s="15" t="b">
        <f>AND(Chart!H59,"AAAAAH7T39M=")</f>
        <v>1</v>
      </c>
      <c r="HE3" s="15" t="str">
        <f>AND(Chart!I59,"AAAAAH7T39Q=")</f>
        <v>#VALUE!:noResult:No valid cells found for operation.</v>
      </c>
      <c r="HF3" s="15" t="str">
        <f>AND(Chart!J59,"AAAAAH7T39U=")</f>
        <v>#VALUE!:noResult:No valid cells found for operation.</v>
      </c>
      <c r="HG3" s="15" t="str">
        <f>AND(Chart!K59,"AAAAAH7T39Y=")</f>
        <v>#VALUE!:noResult:No valid cells found for operation.</v>
      </c>
      <c r="HH3" s="15" t="str">
        <f>AND(Chart!L59,"AAAAAH7T39c=")</f>
        <v>#VALUE!:noResult:No valid cells found for operation.</v>
      </c>
      <c r="HI3" s="15">
        <f>IF(Chart!R[57],"AAAAAH7T39g=",0)</f>
        <v>0</v>
      </c>
      <c r="HJ3" s="15" t="b">
        <f>AND(Chart!A60,"AAAAAH7T39k=")</f>
        <v>1</v>
      </c>
      <c r="HK3" s="15" t="str">
        <f>AND(Chart!B60,"AAAAAH7T39o=")</f>
        <v>#VALUE!:noResult:No valid cells found for operation.</v>
      </c>
      <c r="HL3" s="15" t="str">
        <f>AND(Chart!C60,"AAAAAH7T39s=")</f>
        <v>#VALUE!:noResult:No valid cells found for operation.</v>
      </c>
      <c r="HM3" s="15" t="b">
        <f>AND(Chart!D60,"AAAAAH7T39w=")</f>
        <v>1</v>
      </c>
      <c r="HN3" s="15" t="b">
        <f>AND(Chart!E60,"AAAAAH7T390=")</f>
        <v>1</v>
      </c>
      <c r="HO3" s="15" t="b">
        <f>AND(Chart!F60,"AAAAAH7T394=")</f>
        <v>1</v>
      </c>
      <c r="HP3" s="15" t="b">
        <f>AND(Chart!G60,"AAAAAH7T398=")</f>
        <v>1</v>
      </c>
      <c r="HQ3" s="15" t="b">
        <f>AND(Chart!H60,"AAAAAH7T3+A=")</f>
        <v>1</v>
      </c>
      <c r="HR3" s="15" t="str">
        <f>AND(Chart!I60,"AAAAAH7T3+E=")</f>
        <v>#VALUE!:noResult:No valid cells found for operation.</v>
      </c>
      <c r="HS3" s="15" t="str">
        <f>AND(Chart!J60,"AAAAAH7T3+I=")</f>
        <v>#VALUE!:noResult:No valid cells found for operation.</v>
      </c>
      <c r="HT3" s="15" t="str">
        <f>AND(Chart!K60,"AAAAAH7T3+M=")</f>
        <v>#VALUE!:noResult:No valid cells found for operation.</v>
      </c>
      <c r="HU3" s="15" t="str">
        <f>AND(Chart!L60,"AAAAAH7T3+Q=")</f>
        <v>#VALUE!:noResult:No valid cells found for operation.</v>
      </c>
      <c r="HV3" s="15">
        <f>IF(Chart!R[58],"AAAAAH7T3+U=",0)</f>
        <v>0</v>
      </c>
      <c r="HW3" s="15" t="b">
        <f>AND(Chart!A61,"AAAAAH7T3+Y=")</f>
        <v>1</v>
      </c>
      <c r="HX3" s="15" t="str">
        <f>AND(Chart!B61,"AAAAAH7T3+c=")</f>
        <v>#VALUE!:noResult:No valid cells found for operation.</v>
      </c>
      <c r="HY3" s="15" t="str">
        <f>AND(Chart!C61,"AAAAAH7T3+g=")</f>
        <v>#VALUE!:noResult:No valid cells found for operation.</v>
      </c>
      <c r="HZ3" s="15" t="b">
        <f>AND(Chart!D61,"AAAAAH7T3+k=")</f>
        <v>0</v>
      </c>
      <c r="IA3" s="15" t="b">
        <f>AND(Chart!E61,"AAAAAH7T3+o=")</f>
        <v>1</v>
      </c>
      <c r="IB3" s="15" t="b">
        <f>AND(Chart!F61,"AAAAAH7T3+s=")</f>
        <v>1</v>
      </c>
      <c r="IC3" s="15" t="b">
        <f>AND(Chart!G61,"AAAAAH7T3+w=")</f>
        <v>0</v>
      </c>
      <c r="ID3" s="15" t="b">
        <f>AND(Chart!H61,"AAAAAH7T3+0=")</f>
        <v>1</v>
      </c>
      <c r="IE3" s="15" t="str">
        <f>AND(Chart!I61,"AAAAAH7T3+4=")</f>
        <v>#VALUE!:noResult:No valid cells found for operation.</v>
      </c>
      <c r="IF3" s="15" t="str">
        <f>AND(Chart!J61,"AAAAAH7T3+8=")</f>
        <v>#VALUE!:noResult:No valid cells found for operation.</v>
      </c>
      <c r="IG3" s="15" t="str">
        <f>AND(Chart!K61,"AAAAAH7T3/A=")</f>
        <v>#VALUE!:noResult:No valid cells found for operation.</v>
      </c>
      <c r="IH3" s="15" t="str">
        <f>AND(Chart!L61,"AAAAAH7T3/E=")</f>
        <v>#VALUE!:noResult:No valid cells found for operation.</v>
      </c>
      <c r="II3" s="15">
        <f>IF(Chart!R[59],"AAAAAH7T3/I=",0)</f>
        <v>0</v>
      </c>
      <c r="IJ3" s="15" t="b">
        <f>AND(Chart!A62,"AAAAAH7T3/M=")</f>
        <v>1</v>
      </c>
      <c r="IK3" s="15" t="str">
        <f>AND(Chart!B62,"AAAAAH7T3/Q=")</f>
        <v>#VALUE!:noResult:No valid cells found for operation.</v>
      </c>
      <c r="IL3" s="15" t="str">
        <f>AND(Chart!C62,"AAAAAH7T3/U=")</f>
        <v>#VALUE!:noResult:No valid cells found for operation.</v>
      </c>
      <c r="IM3" s="15" t="b">
        <f>AND(Chart!D62,"AAAAAH7T3/Y=")</f>
        <v>0</v>
      </c>
      <c r="IN3" s="15" t="b">
        <f>AND(Chart!E62,"AAAAAH7T3/c=")</f>
        <v>0</v>
      </c>
      <c r="IO3" s="15" t="b">
        <f>AND(Chart!F62,"AAAAAH7T3/g=")</f>
        <v>0</v>
      </c>
      <c r="IP3" s="15" t="b">
        <f>AND(Chart!G62,"AAAAAH7T3/k=")</f>
        <v>0</v>
      </c>
      <c r="IQ3" s="15" t="b">
        <f>AND(Chart!H62,"AAAAAH7T3/o=")</f>
        <v>0</v>
      </c>
      <c r="IR3" s="15" t="str">
        <f>AND(Chart!I62,"AAAAAH7T3/s=")</f>
        <v>#VALUE!:noResult:No valid cells found for operation.</v>
      </c>
      <c r="IS3" s="15" t="str">
        <f>AND(Chart!J62,"AAAAAH7T3/w=")</f>
        <v>#VALUE!:noResult:No valid cells found for operation.</v>
      </c>
      <c r="IT3" s="15" t="str">
        <f>AND(Chart!K62,"AAAAAH7T3/0=")</f>
        <v>#VALUE!:noResult:No valid cells found for operation.</v>
      </c>
      <c r="IU3" s="15" t="str">
        <f>AND(Chart!L62,"AAAAAH7T3/4=")</f>
        <v>#VALUE!:noResult:No valid cells found for operation.</v>
      </c>
      <c r="IV3" s="15">
        <f>IF(Chart!R[60],"AAAAAH7T3/8=",0)</f>
        <v>0</v>
      </c>
    </row>
    <row r="4">
      <c r="A4" s="15" t="b">
        <f>AND(Chart!A63,"AAAAAH0d9wA=")</f>
        <v>1</v>
      </c>
      <c r="B4" s="15" t="str">
        <f>AND(Chart!B63,"AAAAAH0d9wE=")</f>
        <v>#VALUE!:noResult:No valid cells found for operation.</v>
      </c>
      <c r="C4" s="15" t="str">
        <f>AND(Chart!C63,"AAAAAH0d9wI=")</f>
        <v>#VALUE!:noResult:No valid cells found for operation.</v>
      </c>
      <c r="D4" s="15" t="b">
        <f>AND(Chart!D63,"AAAAAH0d9wM=")</f>
        <v>0</v>
      </c>
      <c r="E4" s="15" t="b">
        <f>AND(Chart!E63,"AAAAAH0d9wQ=")</f>
        <v>1</v>
      </c>
      <c r="F4" s="15" t="b">
        <f>AND(Chart!F63,"AAAAAH0d9wU=")</f>
        <v>1</v>
      </c>
      <c r="G4" s="15" t="b">
        <f>AND(Chart!G63,"AAAAAH0d9wY=")</f>
        <v>0</v>
      </c>
      <c r="H4" s="15" t="b">
        <f>AND(Chart!H63,"AAAAAH0d9wc=")</f>
        <v>1</v>
      </c>
      <c r="I4" s="15" t="str">
        <f>AND(Chart!I63,"AAAAAH0d9wg=")</f>
        <v>#VALUE!:noResult:No valid cells found for operation.</v>
      </c>
      <c r="J4" s="15" t="str">
        <f>AND(Chart!J63,"AAAAAH0d9wk=")</f>
        <v>#VALUE!:noResult:No valid cells found for operation.</v>
      </c>
      <c r="K4" s="15" t="str">
        <f>AND(Chart!K63,"AAAAAH0d9wo=")</f>
        <v>#VALUE!:noResult:No valid cells found for operation.</v>
      </c>
      <c r="L4" s="15" t="str">
        <f>AND(Chart!L63,"AAAAAH0d9ws=")</f>
        <v>#VALUE!:noResult:No valid cells found for operation.</v>
      </c>
      <c r="M4" s="15">
        <f>IF(Chart!R[61],"AAAAAH0d9ww=",0)</f>
        <v>0</v>
      </c>
      <c r="N4" s="15" t="b">
        <f>AND(Chart!A65,"AAAAAH0d9w0=")</f>
        <v>1</v>
      </c>
      <c r="O4" s="15" t="str">
        <f>AND(Chart!B65,"AAAAAH0d9w4=")</f>
        <v>#VALUE!:noResult:No valid cells found for operation.</v>
      </c>
      <c r="P4" s="15" t="str">
        <f>AND(Chart!C65,"AAAAAH0d9w8=")</f>
        <v>#VALUE!:noResult:No valid cells found for operation.</v>
      </c>
      <c r="Q4" s="15" t="b">
        <f>AND(Chart!D65,"AAAAAH0d9xA=")</f>
        <v>1</v>
      </c>
      <c r="R4" s="15" t="b">
        <f>AND(Chart!E65,"AAAAAH0d9xE=")</f>
        <v>1</v>
      </c>
      <c r="S4" s="15" t="b">
        <f>AND(Chart!F65,"AAAAAH0d9xI=")</f>
        <v>1</v>
      </c>
      <c r="T4" s="15" t="b">
        <f>AND(Chart!G65,"AAAAAH0d9xM=")</f>
        <v>1</v>
      </c>
      <c r="U4" s="15" t="b">
        <f>AND(Chart!H65,"AAAAAH0d9xQ=")</f>
        <v>1</v>
      </c>
      <c r="V4" s="15" t="str">
        <f>AND(Chart!I65,"AAAAAH0d9xU=")</f>
        <v>#VALUE!:noResult:No valid cells found for operation.</v>
      </c>
      <c r="W4" s="15" t="str">
        <f>AND(Chart!J65,"AAAAAH0d9xY=")</f>
        <v>#VALUE!:noResult:No valid cells found for operation.</v>
      </c>
      <c r="X4" s="15" t="str">
        <f>AND(Chart!K65,"AAAAAH0d9xc=")</f>
        <v>#VALUE!:noResult:No valid cells found for operation.</v>
      </c>
      <c r="Y4" s="15" t="str">
        <f>AND(Chart!L65,"AAAAAH0d9xg=")</f>
        <v>#VALUE!:noResult:No valid cells found for operation.</v>
      </c>
      <c r="Z4" s="15">
        <f>IF(Chart!R[62],"AAAAAH0d9xk=",0)</f>
        <v>0</v>
      </c>
      <c r="AA4" s="15" t="b">
        <f>AND(Chart!A66,"AAAAAH0d9xo=")</f>
        <v>1</v>
      </c>
      <c r="AB4" s="15" t="str">
        <f>AND(Chart!B66,"AAAAAH0d9xs=")</f>
        <v>#VALUE!:noResult:No valid cells found for operation.</v>
      </c>
      <c r="AC4" s="15" t="str">
        <f>AND(Chart!C66,"AAAAAH0d9xw=")</f>
        <v>#VALUE!:noResult:No valid cells found for operation.</v>
      </c>
      <c r="AD4" s="15" t="b">
        <f>AND(Chart!D66,"AAAAAH0d9x0=")</f>
        <v>1</v>
      </c>
      <c r="AE4" s="15" t="b">
        <f>AND(Chart!E66,"AAAAAH0d9x4=")</f>
        <v>1</v>
      </c>
      <c r="AF4" s="15" t="b">
        <f>AND(Chart!F66,"AAAAAH0d9x8=")</f>
        <v>1</v>
      </c>
      <c r="AG4" s="15" t="b">
        <f>AND(Chart!G66,"AAAAAH0d9yA=")</f>
        <v>1</v>
      </c>
      <c r="AH4" s="15" t="b">
        <f>AND(Chart!H66,"AAAAAH0d9yE=")</f>
        <v>1</v>
      </c>
      <c r="AI4" s="15" t="str">
        <f>AND(Chart!I66,"AAAAAH0d9yI=")</f>
        <v>#VALUE!:noResult:No valid cells found for operation.</v>
      </c>
      <c r="AJ4" s="15" t="str">
        <f>AND(Chart!J66,"AAAAAH0d9yM=")</f>
        <v>#VALUE!:noResult:No valid cells found for operation.</v>
      </c>
      <c r="AK4" s="15" t="str">
        <f>AND(Chart!K66,"AAAAAH0d9yQ=")</f>
        <v>#VALUE!:noResult:No valid cells found for operation.</v>
      </c>
      <c r="AL4" s="15" t="str">
        <f>AND(Chart!L66,"AAAAAH0d9yU=")</f>
        <v>#VALUE!:noResult:No valid cells found for operation.</v>
      </c>
      <c r="AM4" s="15" t="str">
        <f>#REF!</f>
        <v>#REF!:refOutOfRange</v>
      </c>
      <c r="AN4" s="15" t="b">
        <f>AND(Chart!A64,"AAAAAH0d9yc=")</f>
        <v>1</v>
      </c>
      <c r="AO4" s="15" t="str">
        <f>AND(Chart!B64,"AAAAAH0d9yg=")</f>
        <v>#VALUE!:noResult:No valid cells found for operation.</v>
      </c>
      <c r="AP4" s="15" t="str">
        <f>AND(Chart!C64,"AAAAAH0d9yk=")</f>
        <v>#VALUE!:noResult:No valid cells found for operation.</v>
      </c>
      <c r="AQ4" s="15" t="b">
        <f>AND(Chart!D64,"AAAAAH0d9yo=")</f>
        <v>1</v>
      </c>
      <c r="AR4" s="15" t="b">
        <f>AND(Chart!E64,"AAAAAH0d9ys=")</f>
        <v>1</v>
      </c>
      <c r="AS4" s="15" t="b">
        <f>AND(Chart!F64,"AAAAAH0d9yw=")</f>
        <v>1</v>
      </c>
      <c r="AT4" s="15" t="b">
        <f>AND(Chart!G64,"AAAAAH0d9y0=")</f>
        <v>1</v>
      </c>
      <c r="AU4" s="15" t="b">
        <f>AND(Chart!H64,"AAAAAH0d9y4=")</f>
        <v>1</v>
      </c>
      <c r="AV4" s="15" t="str">
        <f>#REF!</f>
        <v>#VALUE!:noResult:No valid cells found for operation.</v>
      </c>
      <c r="AW4" s="15" t="str">
        <f>#REF!</f>
        <v>#VALUE!:noResult:No valid cells found for operation.</v>
      </c>
      <c r="AX4" s="15" t="str">
        <f>#REF!</f>
        <v>#VALUE!:noResult:No valid cells found for operation.</v>
      </c>
      <c r="AY4" s="15" t="str">
        <f>#REF!</f>
        <v>#VALUE!:noResult:No valid cells found for operation.</v>
      </c>
      <c r="AZ4" s="15">
        <f>IF(Chart!R[63],"AAAAAH0d9zM=",0)</f>
        <v>0</v>
      </c>
      <c r="BA4" s="15" t="b">
        <f>AND(Chart!A67,"AAAAAH0d9zQ=")</f>
        <v>1</v>
      </c>
      <c r="BB4" s="15" t="str">
        <f>AND(Chart!B67,"AAAAAH0d9zU=")</f>
        <v>#VALUE!:noResult:No valid cells found for operation.</v>
      </c>
      <c r="BC4" s="15" t="str">
        <f>AND(Chart!C67,"AAAAAH0d9zY=")</f>
        <v>#VALUE!:noResult:No valid cells found for operation.</v>
      </c>
      <c r="BD4" s="15" t="b">
        <f>AND(Chart!D67,"AAAAAH0d9zc=")</f>
        <v>1</v>
      </c>
      <c r="BE4" s="15" t="b">
        <f>AND(Chart!E67,"AAAAAH0d9zg=")</f>
        <v>1</v>
      </c>
      <c r="BF4" s="15" t="b">
        <f>AND(Chart!F67,"AAAAAH0d9zk=")</f>
        <v>1</v>
      </c>
      <c r="BG4" s="15" t="b">
        <f>AND(Chart!G67,"AAAAAH0d9zo=")</f>
        <v>1</v>
      </c>
      <c r="BH4" s="15" t="b">
        <f>AND(Chart!H67,"AAAAAH0d9zs=")</f>
        <v>1</v>
      </c>
      <c r="BI4" s="15" t="str">
        <f>AND(Chart!I67,"AAAAAH0d9zw=")</f>
        <v>#VALUE!:noResult:No valid cells found for operation.</v>
      </c>
      <c r="BJ4" s="15" t="str">
        <f>AND(Chart!J67,"AAAAAH0d9z0=")</f>
        <v>#VALUE!:noResult:No valid cells found for operation.</v>
      </c>
      <c r="BK4" s="15" t="str">
        <f>AND(Chart!K67,"AAAAAH0d9z4=")</f>
        <v>#VALUE!:noResult:No valid cells found for operation.</v>
      </c>
      <c r="BL4" s="15" t="str">
        <f>AND(Chart!L67,"AAAAAH0d9z8=")</f>
        <v>#VALUE!:noResult:No valid cells found for operation.</v>
      </c>
      <c r="BM4" s="15">
        <f>IF(Chart!R[64],"AAAAAH0d90A=",0)</f>
        <v>0</v>
      </c>
      <c r="BN4" s="15" t="b">
        <f>AND(Chart!A68,"AAAAAH0d90E=")</f>
        <v>1</v>
      </c>
      <c r="BO4" s="15" t="str">
        <f>AND(Chart!B68,"AAAAAH0d90I=")</f>
        <v>#VALUE!:noResult:No valid cells found for operation.</v>
      </c>
      <c r="BP4" s="15" t="str">
        <f>AND(Chart!C68,"AAAAAH0d90M=")</f>
        <v>#VALUE!:noResult:No valid cells found for operation.</v>
      </c>
      <c r="BQ4" s="15" t="b">
        <f>AND(Chart!D68,"AAAAAH0d90Q=")</f>
        <v>0</v>
      </c>
      <c r="BR4" s="15" t="b">
        <f>AND(Chart!E68,"AAAAAH0d90U=")</f>
        <v>0</v>
      </c>
      <c r="BS4" s="15" t="b">
        <f>AND(Chart!F68,"AAAAAH0d90Y=")</f>
        <v>0</v>
      </c>
      <c r="BT4" s="15" t="b">
        <f>AND(Chart!G68,"AAAAAH0d90c=")</f>
        <v>0</v>
      </c>
      <c r="BU4" s="15" t="b">
        <f>AND(Chart!H68,"AAAAAH0d90g=")</f>
        <v>0</v>
      </c>
      <c r="BV4" s="15" t="str">
        <f>AND(Chart!I68,"AAAAAH0d90k=")</f>
        <v>#VALUE!:noResult:No valid cells found for operation.</v>
      </c>
      <c r="BW4" s="15" t="str">
        <f>AND(Chart!J68,"AAAAAH0d90o=")</f>
        <v>#VALUE!:noResult:No valid cells found for operation.</v>
      </c>
      <c r="BX4" s="15" t="str">
        <f>AND(Chart!K68,"AAAAAH0d90s=")</f>
        <v>#VALUE!:noResult:No valid cells found for operation.</v>
      </c>
      <c r="BY4" s="15" t="str">
        <f>AND(Chart!L68,"AAAAAH0d90w=")</f>
        <v>#VALUE!:noResult:No valid cells found for operation.</v>
      </c>
      <c r="BZ4" s="15">
        <f>IF(Chart!R[67],"AAAAAH0d900=",0)</f>
        <v>0</v>
      </c>
      <c r="CA4" s="15" t="b">
        <f>AND(Chart!A71,"AAAAAH0d904=")</f>
        <v>1</v>
      </c>
      <c r="CB4" s="15" t="str">
        <f>AND(Chart!B71,"AAAAAH0d908=")</f>
        <v>#VALUE!:noResult:No valid cells found for operation.</v>
      </c>
      <c r="CC4" s="15" t="str">
        <f>AND(Chart!C71,"AAAAAH0d91A=")</f>
        <v>#VALUE!:noResult:No valid cells found for operation.</v>
      </c>
      <c r="CD4" s="15" t="b">
        <f>AND(Chart!D71,"AAAAAH0d91E=")</f>
        <v>0</v>
      </c>
      <c r="CE4" s="15" t="b">
        <f>AND(Chart!E71,"AAAAAH0d91I=")</f>
        <v>1</v>
      </c>
      <c r="CF4" s="15" t="b">
        <f>AND(Chart!F71,"AAAAAH0d91M=")</f>
        <v>1</v>
      </c>
      <c r="CG4" s="15" t="b">
        <f>AND(Chart!G71,"AAAAAH0d91Q=")</f>
        <v>0</v>
      </c>
      <c r="CH4" s="15" t="b">
        <f>AND(Chart!H71,"AAAAAH0d91U=")</f>
        <v>1</v>
      </c>
      <c r="CI4" s="15" t="str">
        <f>AND(Chart!I71,"AAAAAH0d91Y=")</f>
        <v>#VALUE!:noResult:No valid cells found for operation.</v>
      </c>
      <c r="CJ4" s="15" t="str">
        <f>AND(Chart!J71,"AAAAAH0d91c=")</f>
        <v>#VALUE!:noResult:No valid cells found for operation.</v>
      </c>
      <c r="CK4" s="15" t="str">
        <f>AND(Chart!K71,"AAAAAH0d91g=")</f>
        <v>#VALUE!:noResult:No valid cells found for operation.</v>
      </c>
      <c r="CL4" s="15" t="str">
        <f>AND(Chart!L71,"AAAAAH0d91k=")</f>
        <v>#VALUE!:noResult:No valid cells found for operation.</v>
      </c>
      <c r="CM4" s="15">
        <f>IF(Chart!R[68],"AAAAAH0d91o=",0)</f>
        <v>0</v>
      </c>
      <c r="CN4" s="15" t="str">
        <f>AND(Chart!A72,"AAAAAH0d91s=")</f>
        <v>#VALUE!:noResult:No valid cells found for operation.</v>
      </c>
      <c r="CO4" s="15" t="str">
        <f>AND(Chart!B72,"AAAAAH0d91w=")</f>
        <v>#VALUE!:noResult:No valid cells found for operation.</v>
      </c>
      <c r="CP4" s="15" t="str">
        <f>AND(Chart!C72,"AAAAAH0d910=")</f>
        <v>#VALUE!:noResult:No valid cells found for operation.</v>
      </c>
      <c r="CQ4" s="15" t="str">
        <f>AND(Chart!D72,"AAAAAH0d914=")</f>
        <v>#VALUE!:noResult:No valid cells found for operation.</v>
      </c>
      <c r="CR4" s="15" t="str">
        <f>AND(Chart!E72,"AAAAAH0d918=")</f>
        <v>#VALUE!:noResult:No valid cells found for operation.</v>
      </c>
      <c r="CS4" s="15" t="str">
        <f>AND(Chart!F72,"AAAAAH0d92A=")</f>
        <v>#VALUE!:noResult:No valid cells found for operation.</v>
      </c>
      <c r="CT4" s="15">
        <f>IF(Chart!R[69],"AAAAAH0d92E=",0)</f>
        <v>0</v>
      </c>
      <c r="CU4" s="15" t="str">
        <f>AND(Chart!A73,"AAAAAH0d92I=")</f>
        <v>#VALUE!:noResult:No valid cells found for operation.</v>
      </c>
      <c r="CV4" s="15" t="str">
        <f>AND(Chart!B73,"AAAAAH0d92M=")</f>
        <v>#VALUE!:noResult:No valid cells found for operation.</v>
      </c>
      <c r="CW4" s="15" t="str">
        <f>AND(Chart!C73,"AAAAAH0d92Q=")</f>
        <v>#VALUE!:noResult:No valid cells found for operation.</v>
      </c>
      <c r="CX4" s="15" t="str">
        <f>AND(Chart!D73,"AAAAAH0d92U=")</f>
        <v>#VALUE!:noResult:No valid cells found for operation.</v>
      </c>
      <c r="CY4" s="15" t="str">
        <f>AND(Chart!E73,"AAAAAH0d92Y=")</f>
        <v>#VALUE!:noResult:No valid cells found for operation.</v>
      </c>
      <c r="CZ4" s="15" t="str">
        <f>AND(Chart!F73,"AAAAAH0d92c=")</f>
        <v>#VALUE!:noResult:No valid cells found for operation.</v>
      </c>
      <c r="DA4" s="15">
        <f>IF(Chart!R[70],"AAAAAH0d92g=",0)</f>
        <v>0</v>
      </c>
      <c r="DB4" s="15" t="str">
        <f>AND(Chart!A74,"AAAAAH0d92k=")</f>
        <v>#VALUE!:noResult:No valid cells found for operation.</v>
      </c>
      <c r="DC4" s="15" t="str">
        <f>AND(Chart!B74,"AAAAAH0d92o=")</f>
        <v>#VALUE!:noResult:No valid cells found for operation.</v>
      </c>
      <c r="DD4" s="15" t="str">
        <f>AND(Chart!C74,"AAAAAH0d92s=")</f>
        <v>#VALUE!:noResult:No valid cells found for operation.</v>
      </c>
      <c r="DE4" s="15" t="str">
        <f>AND(Chart!D74,"AAAAAH0d92w=")</f>
        <v>#VALUE!:noResult:No valid cells found for operation.</v>
      </c>
      <c r="DF4" s="15" t="str">
        <f>AND(Chart!E74,"AAAAAH0d920=")</f>
        <v>#VALUE!:noResult:No valid cells found for operation.</v>
      </c>
      <c r="DG4" s="15" t="str">
        <f>AND(Chart!F74,"AAAAAH0d924=")</f>
        <v>#VALUE!:noResult:No valid cells found for operation.</v>
      </c>
      <c r="DH4" s="15">
        <f>IF(Chart!R[71],"AAAAAH0d928=",0)</f>
        <v>0</v>
      </c>
      <c r="DI4" s="15" t="str">
        <f>AND(Chart!A75,"AAAAAH0d93A=")</f>
        <v>#VALUE!:noResult:No valid cells found for operation.</v>
      </c>
      <c r="DJ4" s="15" t="str">
        <f>AND(Chart!B75,"AAAAAH0d93E=")</f>
        <v>#VALUE!:noResult:No valid cells found for operation.</v>
      </c>
      <c r="DK4" s="15" t="str">
        <f>AND(Chart!C75,"AAAAAH0d93I=")</f>
        <v>#VALUE!:noResult:No valid cells found for operation.</v>
      </c>
      <c r="DL4" s="15" t="b">
        <f>AND(Chart!D75,"AAAAAH0d93M=")</f>
        <v>1</v>
      </c>
      <c r="DM4" s="15" t="b">
        <f>AND(Chart!E75,"AAAAAH0d93Q=")</f>
        <v>1</v>
      </c>
      <c r="DN4" s="15" t="b">
        <f>AND(Chart!F75,"AAAAAH0d93U=")</f>
        <v>1</v>
      </c>
      <c r="DO4" s="15">
        <f>IF(Chart!R[72],"AAAAAH0d93Y=",0)</f>
        <v>0</v>
      </c>
      <c r="DP4" s="15" t="str">
        <f>AND(Chart!A76,"AAAAAH0d93c=")</f>
        <v>#VALUE!:noResult:No valid cells found for operation.</v>
      </c>
      <c r="DQ4" s="15" t="str">
        <f>AND(Chart!B76,"AAAAAH0d93g=")</f>
        <v>#VALUE!:noResult:No valid cells found for operation.</v>
      </c>
      <c r="DR4" s="15" t="str">
        <f>AND(Chart!C76,"AAAAAH0d93k=")</f>
        <v>#VALUE!:noResult:No valid cells found for operation.</v>
      </c>
      <c r="DS4" s="15" t="b">
        <f>AND(Chart!D76,"AAAAAH0d93o=")</f>
        <v>0</v>
      </c>
      <c r="DT4" s="15" t="b">
        <f>AND(Chart!E76,"AAAAAH0d93s=")</f>
        <v>1</v>
      </c>
      <c r="DU4" s="15" t="b">
        <f>AND(Chart!F76,"AAAAAH0d93w=")</f>
        <v>1</v>
      </c>
      <c r="DV4" s="15">
        <f>IF(Chart!R[73],"AAAAAH0d930=",0)</f>
        <v>0</v>
      </c>
      <c r="DW4" s="15" t="str">
        <f>AND(Chart!A77,"AAAAAH0d934=")</f>
        <v>#VALUE!:noResult:No valid cells found for operation.</v>
      </c>
      <c r="DX4" s="15" t="str">
        <f>AND(Chart!B77,"AAAAAH0d938=")</f>
        <v>#VALUE!:noResult:No valid cells found for operation.</v>
      </c>
      <c r="DY4" s="15" t="str">
        <f>AND(Chart!C77,"AAAAAH0d94A=")</f>
        <v>#VALUE!:noResult:No valid cells found for operation.</v>
      </c>
      <c r="DZ4" s="15" t="b">
        <f>AND(Chart!D77,"AAAAAH0d94E=")</f>
        <v>1</v>
      </c>
      <c r="EA4" s="15" t="b">
        <f>AND(Chart!E77,"AAAAAH0d94I=")</f>
        <v>1</v>
      </c>
      <c r="EB4" s="15" t="b">
        <f>AND(Chart!F77,"AAAAAH0d94M=")</f>
        <v>1</v>
      </c>
      <c r="EC4" s="15">
        <f>IF(Chart!R[74],"AAAAAH0d94Q=",0)</f>
        <v>0</v>
      </c>
      <c r="ED4" s="15" t="str">
        <f>AND(Chart!A78,"AAAAAH0d94U=")</f>
        <v>#VALUE!:noResult:No valid cells found for operation.</v>
      </c>
      <c r="EE4" s="15" t="str">
        <f>AND(Chart!B78,"AAAAAH0d94Y=")</f>
        <v>#VALUE!:noResult:No valid cells found for operation.</v>
      </c>
      <c r="EF4" s="15" t="str">
        <f>AND(Chart!C78,"AAAAAH0d94c=")</f>
        <v>#VALUE!:noResult:No valid cells found for operation.</v>
      </c>
      <c r="EG4" s="15" t="b">
        <f>AND(Chart!D78,"AAAAAH0d94g=")</f>
        <v>1</v>
      </c>
      <c r="EH4" s="15" t="b">
        <f>AND(Chart!E78,"AAAAAH0d94k=")</f>
        <v>1</v>
      </c>
      <c r="EI4" s="15" t="b">
        <f>AND(Chart!F78,"AAAAAH0d94o=")</f>
        <v>1</v>
      </c>
      <c r="EJ4" s="15">
        <f>IF(Chart!R[75],"AAAAAH0d94s=",0)</f>
        <v>0</v>
      </c>
      <c r="EK4" s="15" t="str">
        <f>AND(Chart!A79,"AAAAAH0d94w=")</f>
        <v>#VALUE!:noResult:No valid cells found for operation.</v>
      </c>
      <c r="EL4" s="15" t="str">
        <f>AND(Chart!B79,"AAAAAH0d940=")</f>
        <v>#VALUE!:noResult:No valid cells found for operation.</v>
      </c>
      <c r="EM4" s="15" t="str">
        <f>AND(Chart!C79,"AAAAAH0d944=")</f>
        <v>#VALUE!:noResult:No valid cells found for operation.</v>
      </c>
      <c r="EN4" s="15" t="b">
        <f>AND(Chart!D79,"AAAAAH0d948=")</f>
        <v>0</v>
      </c>
      <c r="EO4" s="15" t="b">
        <f>AND(Chart!E79,"AAAAAH0d95A=")</f>
        <v>1</v>
      </c>
      <c r="EP4" s="15" t="b">
        <f>AND(Chart!F79,"AAAAAH0d95E=")</f>
        <v>1</v>
      </c>
      <c r="EQ4" s="15">
        <f>IF(Chart!R[76],"AAAAAH0d95I=",0)</f>
        <v>0</v>
      </c>
      <c r="ER4" s="15" t="str">
        <f>AND(Chart!A80,"AAAAAH0d95M=")</f>
        <v>#VALUE!:noResult:No valid cells found for operation.</v>
      </c>
      <c r="ES4" s="15" t="str">
        <f>AND(Chart!B80,"AAAAAH0d95Q=")</f>
        <v>#VALUE!:noResult:No valid cells found for operation.</v>
      </c>
      <c r="ET4" s="15" t="str">
        <f>AND(Chart!C80,"AAAAAH0d95U=")</f>
        <v>#VALUE!:noResult:No valid cells found for operation.</v>
      </c>
      <c r="EU4" s="15" t="b">
        <f>AND(Chart!D80,"AAAAAH0d95Y=")</f>
        <v>1</v>
      </c>
      <c r="EV4" s="15" t="b">
        <f>AND(Chart!E80,"AAAAAH0d95c=")</f>
        <v>1</v>
      </c>
      <c r="EW4" s="15" t="b">
        <f>AND(Chart!F80,"AAAAAH0d95g=")</f>
        <v>1</v>
      </c>
      <c r="EX4" s="15">
        <f>IF(Chart!R[77],"AAAAAH0d95k=",0)</f>
        <v>0</v>
      </c>
      <c r="EY4" s="15" t="str">
        <f>AND(Chart!A81,"AAAAAH0d95o=")</f>
        <v>#VALUE!:noResult:No valid cells found for operation.</v>
      </c>
      <c r="EZ4" s="15" t="str">
        <f>AND(Chart!B81,"AAAAAH0d95s=")</f>
        <v>#VALUE!:noResult:No valid cells found for operation.</v>
      </c>
      <c r="FA4" s="15" t="str">
        <f>AND(Chart!C81,"AAAAAH0d95w=")</f>
        <v>#VALUE!:noResult:No valid cells found for operation.</v>
      </c>
      <c r="FB4" s="15" t="b">
        <f>AND(Chart!D81,"AAAAAH0d950=")</f>
        <v>1</v>
      </c>
      <c r="FC4" s="15" t="b">
        <f>AND(Chart!E81,"AAAAAH0d954=")</f>
        <v>1</v>
      </c>
      <c r="FD4" s="15" t="b">
        <f>AND(Chart!F81,"AAAAAH0d958=")</f>
        <v>1</v>
      </c>
      <c r="FE4" s="15">
        <f>IF(Chart!R[78],"AAAAAH0d96A=",0)</f>
        <v>0</v>
      </c>
      <c r="FF4" s="15" t="str">
        <f>AND(Chart!A82,"AAAAAH0d96E=")</f>
        <v>#VALUE!:noResult:No valid cells found for operation.</v>
      </c>
      <c r="FG4" s="15" t="str">
        <f>AND(Chart!B82,"AAAAAH0d96I=")</f>
        <v>#VALUE!:noResult:No valid cells found for operation.</v>
      </c>
      <c r="FH4" s="15" t="str">
        <f>AND(Chart!C82,"AAAAAH0d96M=")</f>
        <v>#VALUE!:noResult:No valid cells found for operation.</v>
      </c>
      <c r="FI4" s="15" t="b">
        <f>AND(Chart!D82,"AAAAAH0d96Q=")</f>
        <v>1</v>
      </c>
      <c r="FJ4" s="15" t="b">
        <f>AND(Chart!E82,"AAAAAH0d96U=")</f>
        <v>1</v>
      </c>
      <c r="FK4" s="15" t="b">
        <f>AND(Chart!F82,"AAAAAH0d96Y=")</f>
        <v>1</v>
      </c>
      <c r="FL4" s="15" t="str">
        <f>IF(Chart!C[-167],"AAAAAH0d96c=",0)</f>
        <v>AAAAAH0d96c=</v>
      </c>
      <c r="FM4" s="15" t="str">
        <f>IF(Chart!C[-167],"AAAAAH0d96g=",0)</f>
        <v>#VALUE!:notNumber</v>
      </c>
      <c r="FN4" s="15" t="str">
        <f>IF(Chart!C[-167],"AAAAAH0d96k=",0)</f>
        <v>#VALUE!:notNumber</v>
      </c>
      <c r="FO4" s="15">
        <f>IF(Chart!C[-167],"AAAAAH0d96o=",0)</f>
        <v>0</v>
      </c>
      <c r="FP4" s="15" t="str">
        <f>IF(Chart!C[-167],"AAAAAH0d96s=",0)</f>
        <v>AAAAAH0d96s=</v>
      </c>
      <c r="FQ4" s="15" t="str">
        <f>IF(Chart!C[-167],"AAAAAH0d96w=",0)</f>
        <v>AAAAAH0d96w=</v>
      </c>
      <c r="FR4" s="15">
        <f>IF(Chart!C[-167],"AAAAAH0d960=",0)</f>
        <v>0</v>
      </c>
      <c r="FS4" s="15" t="str">
        <f>IF(Chart!C[-167],"AAAAAH0d964=",0)</f>
        <v>AAAAAH0d964=</v>
      </c>
      <c r="FT4" s="15">
        <f>IF(Chart!C[-167],"AAAAAH0d968=",0)</f>
        <v>0</v>
      </c>
      <c r="FU4" s="15">
        <f>IF(Chart!C[-167],"AAAAAH0d97A=",0)</f>
        <v>0</v>
      </c>
      <c r="FV4" s="15">
        <f>IF(Chart!C[-167],"AAAAAH0d97E=",0)</f>
        <v>0</v>
      </c>
      <c r="FW4" s="15">
        <f>IF(Chart!C[-167],"AAAAAH0d97I=",0)</f>
        <v>0</v>
      </c>
      <c r="FX4" s="15">
        <f>IF(Trans!R[-3],"AAAAAH0d97M=",0)</f>
        <v>0</v>
      </c>
      <c r="FY4" s="15" t="str">
        <f>AND(Trans!A1,"AAAAAH0d97Q=")</f>
        <v>#VALUE!:noResult:No valid cells found for operation.</v>
      </c>
      <c r="FZ4" s="15" t="str">
        <f>AND(Trans!B1,"AAAAAH0d97U=")</f>
        <v>#VALUE!:noResult:No valid cells found for operation.</v>
      </c>
      <c r="GA4" s="15" t="str">
        <f>AND(Trans!C1,"AAAAAH0d97Y=")</f>
        <v>#VALUE!:noResult:No valid cells found for operation.</v>
      </c>
      <c r="GB4" s="15" t="str">
        <f>AND(Trans!D1,"AAAAAH0d97c=")</f>
        <v>#VALUE!:noResult:No valid cells found for operation.</v>
      </c>
      <c r="GC4" s="15" t="str">
        <f>AND(Trans!E1,"AAAAAH0d97g=")</f>
        <v>#VALUE!:noResult:No valid cells found for operation.</v>
      </c>
      <c r="GD4" s="15" t="str">
        <f>AND(Trans!F1,"AAAAAH0d97k=")</f>
        <v>#VALUE!:noResult:No valid cells found for operation.</v>
      </c>
      <c r="GE4" s="15" t="str">
        <f>AND(Trans!G1,"AAAAAH0d97o=")</f>
        <v>#VALUE!:noResult:No valid cells found for operation.</v>
      </c>
      <c r="GF4" s="15" t="str">
        <f>#REF!</f>
        <v>#VALUE!:noResult:No valid cells found for operation.</v>
      </c>
      <c r="GG4" s="15" t="str">
        <f>AND(Trans!H1,"AAAAAH0d97w=")</f>
        <v>#VALUE!:noResult:No valid cells found for operation.</v>
      </c>
      <c r="GH4" s="15" t="str">
        <f>#REF!</f>
        <v>#VALUE!:noResult:No valid cells found for operation.</v>
      </c>
      <c r="GI4" s="15" t="str">
        <f>#REF!</f>
        <v>#VALUE!:noResult:No valid cells found for operation.</v>
      </c>
      <c r="GJ4" s="15" t="str">
        <f>#REF!</f>
        <v>#VALUE!:noResult:No valid cells found for operation.</v>
      </c>
      <c r="GK4" s="15" t="str">
        <f>#REF!</f>
        <v>#VALUE!:noResult:No valid cells found for operation.</v>
      </c>
      <c r="GL4" s="15" t="str">
        <f>#REF!</f>
        <v>#VALUE!:noResult:No valid cells found for operation.</v>
      </c>
      <c r="GM4" s="15" t="str">
        <f>#REF!</f>
        <v>#VALUE!:noResult:No valid cells found for operation.</v>
      </c>
      <c r="GN4" s="15">
        <f>IF(Trans!R[-2],"AAAAAH0d98M=",0)</f>
        <v>0</v>
      </c>
      <c r="GO4" s="15" t="b">
        <f>AND(Trans!A2,"AAAAAH0d98Q=")</f>
        <v>1</v>
      </c>
      <c r="GP4" s="15" t="str">
        <f>AND(Trans!B2,"AAAAAH0d98U=")</f>
        <v>#VALUE!:noResult:No valid cells found for operation.</v>
      </c>
      <c r="GQ4" s="15" t="b">
        <f>AND(Trans!C2,"AAAAAH0d98Y=")</f>
        <v>1</v>
      </c>
      <c r="GR4" s="15" t="b">
        <f>AND(Trans!D2,"AAAAAH0d98c=")</f>
        <v>1</v>
      </c>
      <c r="GS4" s="15" t="str">
        <f>AND(Trans!E2,"AAAAAH0d98g=")</f>
        <v>#VALUE!:noResult:No valid cells found for operation.</v>
      </c>
      <c r="GT4" s="15" t="str">
        <f>AND(Trans!F2,"AAAAAH0d98k=")</f>
        <v>#VALUE!:noResult:No valid cells found for operation.</v>
      </c>
      <c r="GU4" s="15" t="str">
        <f>AND(Trans!G2,"AAAAAH0d98o=")</f>
        <v>#VALUE!:noResult:No valid cells found for operation.</v>
      </c>
      <c r="GV4" s="15" t="str">
        <f>#REF!</f>
        <v>#VALUE!:noResult:No valid cells found for operation.</v>
      </c>
      <c r="GW4" s="15" t="str">
        <f>AND(Trans!H2,"AAAAAH0d98w=")</f>
        <v>#VALUE!:noResult:No valid cells found for operation.</v>
      </c>
      <c r="GX4" s="15" t="str">
        <f>#REF!</f>
        <v>#VALUE!:noResult:No valid cells found for operation.</v>
      </c>
      <c r="GY4" s="15" t="str">
        <f>#REF!</f>
        <v>#VALUE!:noResult:No valid cells found for operation.</v>
      </c>
      <c r="GZ4" s="15" t="str">
        <f>#REF!</f>
        <v>#VALUE!:noResult:No valid cells found for operation.</v>
      </c>
      <c r="HA4" s="15" t="str">
        <f>#REF!</f>
        <v>#VALUE!:noResult:No valid cells found for operation.</v>
      </c>
      <c r="HB4" s="15" t="str">
        <f>#REF!</f>
        <v>#VALUE!:noResult:No valid cells found for operation.</v>
      </c>
      <c r="HC4" s="15" t="str">
        <f>#REF!</f>
        <v>#VALUE!:noResult:No valid cells found for operation.</v>
      </c>
      <c r="HD4" s="15">
        <f>IF(Trans!R[-1],"AAAAAH0d99M=",0)</f>
        <v>0</v>
      </c>
      <c r="HE4" s="15" t="b">
        <f>AND(Trans!A3,"AAAAAH0d99Q=")</f>
        <v>1</v>
      </c>
      <c r="HF4" s="15" t="str">
        <f>AND(Trans!B3,"AAAAAH0d99U=")</f>
        <v>#VALUE!:noResult:No valid cells found for operation.</v>
      </c>
      <c r="HG4" s="15" t="b">
        <f>AND(Trans!C3,"AAAAAH0d99Y=")</f>
        <v>1</v>
      </c>
      <c r="HH4" s="15" t="b">
        <f>AND(Trans!D3,"AAAAAH0d99c=")</f>
        <v>1</v>
      </c>
      <c r="HI4" s="15" t="str">
        <f>AND(Trans!E3,"AAAAAH0d99g=")</f>
        <v>#VALUE!:noResult:No valid cells found for operation.</v>
      </c>
      <c r="HJ4" s="15" t="str">
        <f>AND(Trans!F3,"AAAAAH0d99k=")</f>
        <v>#VALUE!:noResult:No valid cells found for operation.</v>
      </c>
      <c r="HK4" s="15" t="str">
        <f>AND(Trans!G3,"AAAAAH0d99o=")</f>
        <v>#VALUE!:noResult:No valid cells found for operation.</v>
      </c>
      <c r="HL4" s="15" t="str">
        <f>#REF!</f>
        <v>#VALUE!:noResult:No valid cells found for operation.</v>
      </c>
      <c r="HM4" s="15" t="str">
        <f>AND(Trans!H3,"AAAAAH0d99w=")</f>
        <v>#VALUE!:noResult:No valid cells found for operation.</v>
      </c>
      <c r="HN4" s="15" t="str">
        <f>#REF!</f>
        <v>#VALUE!:noResult:No valid cells found for operation.</v>
      </c>
      <c r="HO4" s="15" t="str">
        <f>#REF!</f>
        <v>#VALUE!:noResult:No valid cells found for operation.</v>
      </c>
      <c r="HP4" s="15" t="str">
        <f>#REF!</f>
        <v>#VALUE!:noResult:No valid cells found for operation.</v>
      </c>
      <c r="HQ4" s="15" t="str">
        <f>#REF!</f>
        <v>#VALUE!:noResult:No valid cells found for operation.</v>
      </c>
      <c r="HR4" s="15" t="str">
        <f>#REF!</f>
        <v>#VALUE!:noResult:No valid cells found for operation.</v>
      </c>
      <c r="HS4" s="15" t="str">
        <f>#REF!</f>
        <v>#VALUE!:noResult:No valid cells found for operation.</v>
      </c>
      <c r="HT4" s="15">
        <f>IF(Trans!R,"AAAAAH0d9+M=",0)</f>
        <v>0</v>
      </c>
      <c r="HU4" s="15" t="b">
        <f>AND(Trans!A4,"AAAAAH0d9+Q=")</f>
        <v>1</v>
      </c>
      <c r="HV4" s="15" t="str">
        <f>AND(Trans!B4,"AAAAAH0d9+U=")</f>
        <v>#VALUE!:noResult:No valid cells found for operation.</v>
      </c>
      <c r="HW4" s="15" t="b">
        <f>AND(Trans!C4,"AAAAAH0d9+Y=")</f>
        <v>1</v>
      </c>
      <c r="HX4" s="15" t="b">
        <f>AND(Trans!D4,"AAAAAH0d9+c=")</f>
        <v>1</v>
      </c>
      <c r="HY4" s="15" t="str">
        <f>AND(Trans!E4,"AAAAAH0d9+g=")</f>
        <v>#VALUE!:noResult:No valid cells found for operation.</v>
      </c>
      <c r="HZ4" s="15" t="str">
        <f>AND(Trans!F4,"AAAAAH0d9+k=")</f>
        <v>#VALUE!:noResult:No valid cells found for operation.</v>
      </c>
      <c r="IA4" s="15" t="str">
        <f>AND(Trans!G4,"AAAAAH0d9+o=")</f>
        <v>#VALUE!:noResult:No valid cells found for operation.</v>
      </c>
      <c r="IB4" s="15" t="str">
        <f>#REF!</f>
        <v>#VALUE!:noResult:No valid cells found for operation.</v>
      </c>
      <c r="IC4" s="15" t="str">
        <f>AND(Trans!H4,"AAAAAH0d9+w=")</f>
        <v>#VALUE!:noResult:No valid cells found for operation.</v>
      </c>
      <c r="ID4" s="15" t="str">
        <f>#REF!</f>
        <v>#VALUE!:noResult:No valid cells found for operation.</v>
      </c>
      <c r="IE4" s="15" t="str">
        <f>#REF!</f>
        <v>#VALUE!:noResult:No valid cells found for operation.</v>
      </c>
      <c r="IF4" s="15" t="str">
        <f>#REF!</f>
        <v>#VALUE!:noResult:No valid cells found for operation.</v>
      </c>
      <c r="IG4" s="15" t="str">
        <f>#REF!</f>
        <v>#VALUE!:noResult:No valid cells found for operation.</v>
      </c>
      <c r="IH4" s="15" t="str">
        <f>#REF!</f>
        <v>#VALUE!:noResult:No valid cells found for operation.</v>
      </c>
      <c r="II4" s="15" t="str">
        <f>#REF!</f>
        <v>#VALUE!:noResult:No valid cells found for operation.</v>
      </c>
      <c r="IJ4" s="15">
        <f>IF(Trans!R[1],"AAAAAH0d9/M=",0)</f>
        <v>0</v>
      </c>
      <c r="IK4" s="15" t="b">
        <f>AND(Trans!A5,"AAAAAH0d9/Q=")</f>
        <v>1</v>
      </c>
      <c r="IL4" s="15" t="str">
        <f>AND(Trans!B5,"AAAAAH0d9/U=")</f>
        <v>#VALUE!:noResult:No valid cells found for operation.</v>
      </c>
      <c r="IM4" s="15" t="b">
        <f>AND(Trans!C5,"AAAAAH0d9/Y=")</f>
        <v>1</v>
      </c>
      <c r="IN4" s="15" t="b">
        <f>AND(Trans!D5,"AAAAAH0d9/c=")</f>
        <v>1</v>
      </c>
      <c r="IO4" s="15" t="str">
        <f>AND(Trans!E5,"AAAAAH0d9/g=")</f>
        <v>#VALUE!:noResult:No valid cells found for operation.</v>
      </c>
      <c r="IP4" s="15" t="str">
        <f>AND(Trans!F5,"AAAAAH0d9/k=")</f>
        <v>#VALUE!:noResult:No valid cells found for operation.</v>
      </c>
      <c r="IQ4" s="15" t="str">
        <f>AND(Trans!G5,"AAAAAH0d9/o=")</f>
        <v>#VALUE!:noResult:No valid cells found for operation.</v>
      </c>
      <c r="IR4" s="15" t="str">
        <f>#REF!</f>
        <v>#VALUE!:noResult:No valid cells found for operation.</v>
      </c>
      <c r="IS4" s="15" t="str">
        <f>AND(Trans!H5,"AAAAAH0d9/w=")</f>
        <v>#VALUE!:noResult:No valid cells found for operation.</v>
      </c>
      <c r="IT4" s="15" t="str">
        <f>#REF!</f>
        <v>#VALUE!:noResult:No valid cells found for operation.</v>
      </c>
      <c r="IU4" s="15" t="str">
        <f>#REF!</f>
        <v>#VALUE!:noResult:No valid cells found for operation.</v>
      </c>
      <c r="IV4" s="15" t="str">
        <f>#REF!</f>
        <v>#VALUE!:noResult:No valid cells found for operation.</v>
      </c>
    </row>
    <row r="5">
      <c r="A5" s="15" t="str">
        <f>#REF!</f>
        <v>#VALUE!:noResult:No valid cells found for operation.</v>
      </c>
      <c r="B5" s="15" t="str">
        <f>#REF!</f>
        <v>#VALUE!:noResult:No valid cells found for operation.</v>
      </c>
      <c r="C5" s="15" t="str">
        <f>#REF!</f>
        <v>#VALUE!:noResult:No valid cells found for operation.</v>
      </c>
      <c r="D5" s="15" t="str">
        <f>IF(Trans!R[1],"AAAAAG19XwM=",0)</f>
        <v>AAAAAG19XwM=</v>
      </c>
      <c r="E5" s="15" t="b">
        <f>AND(Trans!A6,"AAAAAG19XwQ=")</f>
        <v>1</v>
      </c>
      <c r="F5" s="15" t="str">
        <f>AND(Trans!B6,"AAAAAG19XwU=")</f>
        <v>#VALUE!:noResult:No valid cells found for operation.</v>
      </c>
      <c r="G5" s="15" t="b">
        <f>AND(Trans!C6,"AAAAAG19XwY=")</f>
        <v>1</v>
      </c>
      <c r="H5" s="15" t="b">
        <f>AND(Trans!D6,"AAAAAG19Xwc=")</f>
        <v>1</v>
      </c>
      <c r="I5" s="15" t="str">
        <f>AND(Trans!E6,"AAAAAG19Xwg=")</f>
        <v>#VALUE!:noResult:No valid cells found for operation.</v>
      </c>
      <c r="J5" s="15" t="str">
        <f>AND(Trans!F6,"AAAAAG19Xwk=")</f>
        <v>#VALUE!:noResult:No valid cells found for operation.</v>
      </c>
      <c r="K5" s="15" t="str">
        <f>AND(Trans!G6,"AAAAAG19Xwo=")</f>
        <v>#VALUE!:noResult:No valid cells found for operation.</v>
      </c>
      <c r="L5" s="15" t="str">
        <f>#REF!</f>
        <v>#VALUE!:noResult:No valid cells found for operation.</v>
      </c>
      <c r="M5" s="15" t="str">
        <f>AND(Trans!H6,"AAAAAG19Xww=")</f>
        <v>#VALUE!:noResult:No valid cells found for operation.</v>
      </c>
      <c r="N5" s="15" t="str">
        <f>#REF!</f>
        <v>#VALUE!:noResult:No valid cells found for operation.</v>
      </c>
      <c r="O5" s="15" t="str">
        <f>#REF!</f>
        <v>#VALUE!:noResult:No valid cells found for operation.</v>
      </c>
      <c r="P5" s="15" t="str">
        <f>#REF!</f>
        <v>#VALUE!:noResult:No valid cells found for operation.</v>
      </c>
      <c r="Q5" s="15" t="str">
        <f>#REF!</f>
        <v>#VALUE!:noResult:No valid cells found for operation.</v>
      </c>
      <c r="R5" s="15" t="str">
        <f>#REF!</f>
        <v>#VALUE!:noResult:No valid cells found for operation.</v>
      </c>
      <c r="S5" s="15" t="str">
        <f>#REF!</f>
        <v>#VALUE!:noResult:No valid cells found for operation.</v>
      </c>
      <c r="T5" s="15">
        <f>IF(Trans!R[2],"AAAAAG19XxM=",0)</f>
        <v>0</v>
      </c>
      <c r="U5" s="15" t="b">
        <f>AND(Trans!A7,"AAAAAG19XxQ=")</f>
        <v>1</v>
      </c>
      <c r="V5" s="15" t="str">
        <f>AND(Trans!B7,"AAAAAG19XxU=")</f>
        <v>#VALUE!:noResult:No valid cells found for operation.</v>
      </c>
      <c r="W5" s="15" t="b">
        <f>AND(Trans!C7,"AAAAAG19XxY=")</f>
        <v>1</v>
      </c>
      <c r="X5" s="15" t="b">
        <f>AND(Trans!D7,"AAAAAG19Xxc=")</f>
        <v>1</v>
      </c>
      <c r="Y5" s="15" t="str">
        <f>AND(Trans!E7,"AAAAAG19Xxg=")</f>
        <v>#VALUE!:noResult:No valid cells found for operation.</v>
      </c>
      <c r="Z5" s="15" t="str">
        <f>AND(Trans!F7,"AAAAAG19Xxk=")</f>
        <v>#VALUE!:noResult:No valid cells found for operation.</v>
      </c>
      <c r="AA5" s="15" t="str">
        <f>AND(Trans!G7,"AAAAAG19Xxo=")</f>
        <v>#VALUE!:noResult:No valid cells found for operation.</v>
      </c>
      <c r="AB5" s="15" t="str">
        <f>#REF!</f>
        <v>#VALUE!:noResult:No valid cells found for operation.</v>
      </c>
      <c r="AC5" s="15" t="str">
        <f>AND(Trans!H7,"AAAAAG19Xxw=")</f>
        <v>#VALUE!:noResult:No valid cells found for operation.</v>
      </c>
      <c r="AD5" s="15" t="str">
        <f>#REF!</f>
        <v>#VALUE!:noResult:No valid cells found for operation.</v>
      </c>
      <c r="AE5" s="15" t="str">
        <f>#REF!</f>
        <v>#VALUE!:noResult:No valid cells found for operation.</v>
      </c>
      <c r="AF5" s="15" t="str">
        <f>#REF!</f>
        <v>#VALUE!:noResult:No valid cells found for operation.</v>
      </c>
      <c r="AG5" s="15" t="str">
        <f>#REF!</f>
        <v>#VALUE!:noResult:No valid cells found for operation.</v>
      </c>
      <c r="AH5" s="15" t="str">
        <f>#REF!</f>
        <v>#VALUE!:noResult:No valid cells found for operation.</v>
      </c>
      <c r="AI5" s="15" t="str">
        <f>#REF!</f>
        <v>#VALUE!:noResult:No valid cells found for operation.</v>
      </c>
      <c r="AJ5" s="15">
        <f>IF(Trans!R[3],"AAAAAG19XyM=",0)</f>
        <v>0</v>
      </c>
      <c r="AK5" s="15" t="b">
        <f>AND(Trans!A8,"AAAAAG19XyQ=")</f>
        <v>1</v>
      </c>
      <c r="AL5" s="15" t="str">
        <f>AND(Trans!B8,"AAAAAG19XyU=")</f>
        <v>#VALUE!:noResult:No valid cells found for operation.</v>
      </c>
      <c r="AM5" s="15" t="b">
        <f>AND(Trans!C8,"AAAAAG19XyY=")</f>
        <v>1</v>
      </c>
      <c r="AN5" s="15" t="b">
        <f>AND(Trans!D8,"AAAAAG19Xyc=")</f>
        <v>1</v>
      </c>
      <c r="AO5" s="15" t="str">
        <f>AND(Trans!E8,"AAAAAG19Xyg=")</f>
        <v>#VALUE!:noResult:No valid cells found for operation.</v>
      </c>
      <c r="AP5" s="15" t="str">
        <f>AND(Trans!F8,"AAAAAG19Xyk=")</f>
        <v>#VALUE!:noResult:No valid cells found for operation.</v>
      </c>
      <c r="AQ5" s="15" t="str">
        <f>AND(Trans!G8,"AAAAAG19Xyo=")</f>
        <v>#VALUE!:noResult:No valid cells found for operation.</v>
      </c>
      <c r="AR5" s="15" t="str">
        <f>#REF!</f>
        <v>#VALUE!:noResult:No valid cells found for operation.</v>
      </c>
      <c r="AS5" s="15" t="str">
        <f>AND(Trans!H8,"AAAAAG19Xyw=")</f>
        <v>#VALUE!:noResult:No valid cells found for operation.</v>
      </c>
      <c r="AT5" s="15" t="str">
        <f>#REF!</f>
        <v>#VALUE!:noResult:No valid cells found for operation.</v>
      </c>
      <c r="AU5" s="15" t="str">
        <f>#REF!</f>
        <v>#VALUE!:noResult:No valid cells found for operation.</v>
      </c>
      <c r="AV5" s="15" t="str">
        <f>#REF!</f>
        <v>#VALUE!:noResult:No valid cells found for operation.</v>
      </c>
      <c r="AW5" s="15" t="str">
        <f>#REF!</f>
        <v>#VALUE!:noResult:No valid cells found for operation.</v>
      </c>
      <c r="AX5" s="15" t="str">
        <f>#REF!</f>
        <v>#VALUE!:noResult:No valid cells found for operation.</v>
      </c>
      <c r="AY5" s="15" t="str">
        <f>#REF!</f>
        <v>#VALUE!:noResult:No valid cells found for operation.</v>
      </c>
      <c r="AZ5" s="15">
        <f>IF(Trans!R[4],"AAAAAG19XzM=",0)</f>
        <v>0</v>
      </c>
      <c r="BA5" s="15" t="b">
        <f>AND(Trans!A9,"AAAAAG19XzQ=")</f>
        <v>1</v>
      </c>
      <c r="BB5" s="15" t="str">
        <f>AND(Trans!B9,"AAAAAG19XzU=")</f>
        <v>#VALUE!:noResult:No valid cells found for operation.</v>
      </c>
      <c r="BC5" s="15" t="b">
        <f>AND(Trans!C9,"AAAAAG19XzY=")</f>
        <v>1</v>
      </c>
      <c r="BD5" s="15" t="b">
        <f>AND(Trans!D9,"AAAAAG19Xzc=")</f>
        <v>1</v>
      </c>
      <c r="BE5" s="15" t="str">
        <f>AND(Trans!E9,"AAAAAG19Xzg=")</f>
        <v>#VALUE!:noResult:No valid cells found for operation.</v>
      </c>
      <c r="BF5" s="15" t="str">
        <f>AND(Trans!F9,"AAAAAG19Xzk=")</f>
        <v>#VALUE!:noResult:No valid cells found for operation.</v>
      </c>
      <c r="BG5" s="15" t="str">
        <f>AND(Trans!G9,"AAAAAG19Xzo=")</f>
        <v>#VALUE!:noResult:No valid cells found for operation.</v>
      </c>
      <c r="BH5" s="15" t="str">
        <f>#REF!</f>
        <v>#VALUE!:noResult:No valid cells found for operation.</v>
      </c>
      <c r="BI5" s="15" t="str">
        <f>AND(Trans!H9,"AAAAAG19Xzw=")</f>
        <v>#VALUE!:noResult:No valid cells found for operation.</v>
      </c>
      <c r="BJ5" s="15" t="str">
        <f>#REF!</f>
        <v>#VALUE!:noResult:No valid cells found for operation.</v>
      </c>
      <c r="BK5" s="15" t="str">
        <f>#REF!</f>
        <v>#VALUE!:noResult:No valid cells found for operation.</v>
      </c>
      <c r="BL5" s="15" t="str">
        <f>#REF!</f>
        <v>#VALUE!:noResult:No valid cells found for operation.</v>
      </c>
      <c r="BM5" s="15" t="str">
        <f>#REF!</f>
        <v>#VALUE!:noResult:No valid cells found for operation.</v>
      </c>
      <c r="BN5" s="15" t="str">
        <f>#REF!</f>
        <v>#VALUE!:noResult:No valid cells found for operation.</v>
      </c>
      <c r="BO5" s="15" t="str">
        <f>#REF!</f>
        <v>#VALUE!:noResult:No valid cells found for operation.</v>
      </c>
      <c r="BP5" s="15">
        <f>IF(Trans!R[5],"AAAAAG19X0M=",0)</f>
        <v>0</v>
      </c>
      <c r="BQ5" s="15" t="b">
        <f>AND(Trans!A10,"AAAAAG19X0Q=")</f>
        <v>1</v>
      </c>
      <c r="BR5" s="15" t="str">
        <f>AND(Trans!B10,"AAAAAG19X0U=")</f>
        <v>#VALUE!:noResult:No valid cells found for operation.</v>
      </c>
      <c r="BS5" s="15" t="b">
        <f>AND(Trans!C10,"AAAAAG19X0Y=")</f>
        <v>1</v>
      </c>
      <c r="BT5" s="15" t="b">
        <f>AND(Trans!D10,"AAAAAG19X0c=")</f>
        <v>1</v>
      </c>
      <c r="BU5" s="15" t="str">
        <f>AND(Trans!E10,"AAAAAG19X0g=")</f>
        <v>#VALUE!:noResult:No valid cells found for operation.</v>
      </c>
      <c r="BV5" s="15" t="str">
        <f>AND(Trans!F10,"AAAAAG19X0k=")</f>
        <v>#VALUE!:noResult:No valid cells found for operation.</v>
      </c>
      <c r="BW5" s="15" t="str">
        <f>AND(Trans!G10,"AAAAAG19X0o=")</f>
        <v>#VALUE!:noResult:No valid cells found for operation.</v>
      </c>
      <c r="BX5" s="15" t="str">
        <f>#REF!</f>
        <v>#VALUE!:noResult:No valid cells found for operation.</v>
      </c>
      <c r="BY5" s="15" t="str">
        <f>AND(Trans!H10,"AAAAAG19X0w=")</f>
        <v>#VALUE!:noResult:No valid cells found for operation.</v>
      </c>
      <c r="BZ5" s="15" t="str">
        <f>#REF!</f>
        <v>#VALUE!:noResult:No valid cells found for operation.</v>
      </c>
      <c r="CA5" s="15" t="str">
        <f>#REF!</f>
        <v>#VALUE!:noResult:No valid cells found for operation.</v>
      </c>
      <c r="CB5" s="15" t="str">
        <f>#REF!</f>
        <v>#VALUE!:noResult:No valid cells found for operation.</v>
      </c>
      <c r="CC5" s="15" t="str">
        <f>#REF!</f>
        <v>#VALUE!:noResult:No valid cells found for operation.</v>
      </c>
      <c r="CD5" s="15" t="str">
        <f>#REF!</f>
        <v>#VALUE!:noResult:No valid cells found for operation.</v>
      </c>
      <c r="CE5" s="15" t="str">
        <f>#REF!</f>
        <v>#VALUE!:noResult:No valid cells found for operation.</v>
      </c>
      <c r="CF5" s="15">
        <f>IF(Trans!R[6],"AAAAAG19X1M=",0)</f>
        <v>0</v>
      </c>
      <c r="CG5" s="15" t="b">
        <f>AND(Trans!A11,"AAAAAG19X1Q=")</f>
        <v>1</v>
      </c>
      <c r="CH5" s="15" t="str">
        <f>AND(Trans!B11,"AAAAAG19X1U=")</f>
        <v>#VALUE!:noResult:No valid cells found for operation.</v>
      </c>
      <c r="CI5" s="15" t="b">
        <f>AND(Trans!C11,"AAAAAG19X1Y=")</f>
        <v>1</v>
      </c>
      <c r="CJ5" s="15" t="b">
        <f>AND(Trans!D11,"AAAAAG19X1c=")</f>
        <v>1</v>
      </c>
      <c r="CK5" s="15" t="str">
        <f>AND(Trans!E11,"AAAAAG19X1g=")</f>
        <v>#VALUE!:noResult:No valid cells found for operation.</v>
      </c>
      <c r="CL5" s="15" t="str">
        <f>AND(Trans!F11,"AAAAAG19X1k=")</f>
        <v>#VALUE!:noResult:No valid cells found for operation.</v>
      </c>
      <c r="CM5" s="15" t="str">
        <f>AND(Trans!G11,"AAAAAG19X1o=")</f>
        <v>#VALUE!:noResult:No valid cells found for operation.</v>
      </c>
      <c r="CN5" s="15" t="str">
        <f>#REF!</f>
        <v>#VALUE!:noResult:No valid cells found for operation.</v>
      </c>
      <c r="CO5" s="15" t="str">
        <f>AND(Trans!H11,"AAAAAG19X1w=")</f>
        <v>#VALUE!:noResult:No valid cells found for operation.</v>
      </c>
      <c r="CP5" s="15" t="str">
        <f>#REF!</f>
        <v>#VALUE!:noResult:No valid cells found for operation.</v>
      </c>
      <c r="CQ5" s="15" t="str">
        <f>#REF!</f>
        <v>#VALUE!:noResult:No valid cells found for operation.</v>
      </c>
      <c r="CR5" s="15" t="str">
        <f>#REF!</f>
        <v>#VALUE!:noResult:No valid cells found for operation.</v>
      </c>
      <c r="CS5" s="15" t="str">
        <f>#REF!</f>
        <v>#VALUE!:noResult:No valid cells found for operation.</v>
      </c>
      <c r="CT5" s="15" t="str">
        <f>#REF!</f>
        <v>#VALUE!:noResult:No valid cells found for operation.</v>
      </c>
      <c r="CU5" s="15" t="str">
        <f>#REF!</f>
        <v>#VALUE!:noResult:No valid cells found for operation.</v>
      </c>
      <c r="CV5" s="15">
        <f>IF(Trans!R[7],"AAAAAG19X2M=",0)</f>
        <v>0</v>
      </c>
      <c r="CW5" s="15" t="b">
        <f>AND(Trans!A12,"AAAAAG19X2Q=")</f>
        <v>1</v>
      </c>
      <c r="CX5" s="15" t="str">
        <f>AND(Trans!B12,"AAAAAG19X2U=")</f>
        <v>#VALUE!:noResult:No valid cells found for operation.</v>
      </c>
      <c r="CY5" s="15" t="b">
        <f>AND(Trans!C12,"AAAAAG19X2Y=")</f>
        <v>1</v>
      </c>
      <c r="CZ5" s="15" t="b">
        <f>AND(Trans!D12,"AAAAAG19X2c=")</f>
        <v>1</v>
      </c>
      <c r="DA5" s="15" t="str">
        <f>AND(Trans!E12,"AAAAAG19X2g=")</f>
        <v>#VALUE!:noResult:No valid cells found for operation.</v>
      </c>
      <c r="DB5" s="15" t="str">
        <f>AND(Trans!F12,"AAAAAG19X2k=")</f>
        <v>#VALUE!:noResult:No valid cells found for operation.</v>
      </c>
      <c r="DC5" s="15" t="str">
        <f>AND(Trans!G12,"AAAAAG19X2o=")</f>
        <v>#VALUE!:noResult:No valid cells found for operation.</v>
      </c>
      <c r="DD5" s="15" t="str">
        <f>#REF!</f>
        <v>#VALUE!:noResult:No valid cells found for operation.</v>
      </c>
      <c r="DE5" s="15" t="str">
        <f>AND(Trans!H12,"AAAAAG19X2w=")</f>
        <v>#VALUE!:noResult:No valid cells found for operation.</v>
      </c>
      <c r="DF5" s="15" t="str">
        <f>#REF!</f>
        <v>#VALUE!:noResult:No valid cells found for operation.</v>
      </c>
      <c r="DG5" s="15" t="str">
        <f>#REF!</f>
        <v>#VALUE!:noResult:No valid cells found for operation.</v>
      </c>
      <c r="DH5" s="15" t="str">
        <f>#REF!</f>
        <v>#VALUE!:noResult:No valid cells found for operation.</v>
      </c>
      <c r="DI5" s="15" t="str">
        <f>#REF!</f>
        <v>#VALUE!:noResult:No valid cells found for operation.</v>
      </c>
      <c r="DJ5" s="15" t="str">
        <f>#REF!</f>
        <v>#VALUE!:noResult:No valid cells found for operation.</v>
      </c>
      <c r="DK5" s="15" t="str">
        <f>#REF!</f>
        <v>#VALUE!:noResult:No valid cells found for operation.</v>
      </c>
      <c r="DL5" s="15">
        <f>IF(Trans!R[8],"AAAAAG19X3M=",0)</f>
        <v>0</v>
      </c>
      <c r="DM5" s="15" t="b">
        <f>AND(Trans!A13,"AAAAAG19X3Q=")</f>
        <v>1</v>
      </c>
      <c r="DN5" s="15" t="str">
        <f>AND(Trans!B13,"AAAAAG19X3U=")</f>
        <v>#VALUE!:noResult:No valid cells found for operation.</v>
      </c>
      <c r="DO5" s="15" t="b">
        <f>AND(Trans!C13,"AAAAAG19X3Y=")</f>
        <v>1</v>
      </c>
      <c r="DP5" s="15" t="b">
        <f>AND(Trans!D13,"AAAAAG19X3c=")</f>
        <v>1</v>
      </c>
      <c r="DQ5" s="15" t="str">
        <f>AND(Trans!E13,"AAAAAG19X3g=")</f>
        <v>#VALUE!:noResult:No valid cells found for operation.</v>
      </c>
      <c r="DR5" s="15" t="str">
        <f>AND(Trans!F13,"AAAAAG19X3k=")</f>
        <v>#VALUE!:noResult:No valid cells found for operation.</v>
      </c>
      <c r="DS5" s="15" t="str">
        <f>AND(Trans!G13,"AAAAAG19X3o=")</f>
        <v>#VALUE!:noResult:No valid cells found for operation.</v>
      </c>
      <c r="DT5" s="15" t="str">
        <f>#REF!</f>
        <v>#VALUE!:noResult:No valid cells found for operation.</v>
      </c>
      <c r="DU5" s="15" t="str">
        <f>AND(Trans!H13,"AAAAAG19X3w=")</f>
        <v>#VALUE!:noResult:No valid cells found for operation.</v>
      </c>
      <c r="DV5" s="15" t="str">
        <f>#REF!</f>
        <v>#VALUE!:noResult:No valid cells found for operation.</v>
      </c>
      <c r="DW5" s="15" t="str">
        <f>#REF!</f>
        <v>#VALUE!:noResult:No valid cells found for operation.</v>
      </c>
      <c r="DX5" s="15" t="str">
        <f>#REF!</f>
        <v>#VALUE!:noResult:No valid cells found for operation.</v>
      </c>
      <c r="DY5" s="15" t="str">
        <f>#REF!</f>
        <v>#VALUE!:noResult:No valid cells found for operation.</v>
      </c>
      <c r="DZ5" s="15" t="str">
        <f>#REF!</f>
        <v>#VALUE!:noResult:No valid cells found for operation.</v>
      </c>
      <c r="EA5" s="15" t="str">
        <f>#REF!</f>
        <v>#VALUE!:noResult:No valid cells found for operation.</v>
      </c>
      <c r="EB5" s="15">
        <f>IF(Trans!R[9],"AAAAAG19X4M=",0)</f>
        <v>0</v>
      </c>
      <c r="EC5" s="15" t="b">
        <f>AND(Trans!A14,"AAAAAG19X4Q=")</f>
        <v>1</v>
      </c>
      <c r="ED5" s="15" t="str">
        <f>AND(Trans!B14,"AAAAAG19X4U=")</f>
        <v>#VALUE!:noResult:No valid cells found for operation.</v>
      </c>
      <c r="EE5" s="15" t="b">
        <f>AND(Trans!C14,"AAAAAG19X4Y=")</f>
        <v>1</v>
      </c>
      <c r="EF5" s="15" t="b">
        <f>AND(Trans!D14,"AAAAAG19X4c=")</f>
        <v>1</v>
      </c>
      <c r="EG5" s="15" t="str">
        <f>AND(Trans!E14,"AAAAAG19X4g=")</f>
        <v>#VALUE!:noResult:No valid cells found for operation.</v>
      </c>
      <c r="EH5" s="15" t="str">
        <f>AND(Trans!F14,"AAAAAG19X4k=")</f>
        <v>#VALUE!:noResult:No valid cells found for operation.</v>
      </c>
      <c r="EI5" s="15" t="str">
        <f>AND(Trans!G14,"AAAAAG19X4o=")</f>
        <v>#VALUE!:noResult:No valid cells found for operation.</v>
      </c>
      <c r="EJ5" s="15" t="str">
        <f>#REF!</f>
        <v>#VALUE!:noResult:No valid cells found for operation.</v>
      </c>
      <c r="EK5" s="15" t="str">
        <f>AND(Trans!H14,"AAAAAG19X4w=")</f>
        <v>#VALUE!:noResult:No valid cells found for operation.</v>
      </c>
      <c r="EL5" s="15" t="str">
        <f>#REF!</f>
        <v>#VALUE!:noResult:No valid cells found for operation.</v>
      </c>
      <c r="EM5" s="15" t="str">
        <f>#REF!</f>
        <v>#VALUE!:noResult:No valid cells found for operation.</v>
      </c>
      <c r="EN5" s="15" t="str">
        <f>#REF!</f>
        <v>#VALUE!:noResult:No valid cells found for operation.</v>
      </c>
      <c r="EO5" s="15" t="str">
        <f>#REF!</f>
        <v>#VALUE!:noResult:No valid cells found for operation.</v>
      </c>
      <c r="EP5" s="15" t="str">
        <f>#REF!</f>
        <v>#VALUE!:noResult:No valid cells found for operation.</v>
      </c>
      <c r="EQ5" s="15" t="str">
        <f>#REF!</f>
        <v>#VALUE!:noResult:No valid cells found for operation.</v>
      </c>
      <c r="ER5" s="15">
        <f>IF(Trans!R[10],"AAAAAG19X5M=",0)</f>
        <v>0</v>
      </c>
      <c r="ES5" s="15" t="b">
        <f>AND(Trans!A15,"AAAAAG19X5Q=")</f>
        <v>1</v>
      </c>
      <c r="ET5" s="15" t="str">
        <f>AND(Trans!B15,"AAAAAG19X5U=")</f>
        <v>#VALUE!:noResult:No valid cells found for operation.</v>
      </c>
      <c r="EU5" s="15" t="b">
        <f>AND(Trans!C15,"AAAAAG19X5Y=")</f>
        <v>1</v>
      </c>
      <c r="EV5" s="15" t="b">
        <f>AND(Trans!D15,"AAAAAG19X5c=")</f>
        <v>1</v>
      </c>
      <c r="EW5" s="15" t="str">
        <f>AND(Trans!E15,"AAAAAG19X5g=")</f>
        <v>#VALUE!:noResult:No valid cells found for operation.</v>
      </c>
      <c r="EX5" s="15" t="str">
        <f>AND(Trans!F15,"AAAAAG19X5k=")</f>
        <v>#VALUE!:noResult:No valid cells found for operation.</v>
      </c>
      <c r="EY5" s="15" t="str">
        <f>AND(Trans!G15,"AAAAAG19X5o=")</f>
        <v>#VALUE!:noResult:No valid cells found for operation.</v>
      </c>
      <c r="EZ5" s="15" t="str">
        <f>#REF!</f>
        <v>#VALUE!:noResult:No valid cells found for operation.</v>
      </c>
      <c r="FA5" s="15" t="str">
        <f>AND(Trans!H15,"AAAAAG19X5w=")</f>
        <v>#VALUE!:noResult:No valid cells found for operation.</v>
      </c>
      <c r="FB5" s="15" t="str">
        <f>#REF!</f>
        <v>#VALUE!:noResult:No valid cells found for operation.</v>
      </c>
      <c r="FC5" s="15" t="str">
        <f>#REF!</f>
        <v>#VALUE!:noResult:No valid cells found for operation.</v>
      </c>
      <c r="FD5" s="15" t="str">
        <f>#REF!</f>
        <v>#VALUE!:noResult:No valid cells found for operation.</v>
      </c>
      <c r="FE5" s="15" t="str">
        <f>#REF!</f>
        <v>#VALUE!:noResult:No valid cells found for operation.</v>
      </c>
      <c r="FF5" s="15" t="str">
        <f>#REF!</f>
        <v>#VALUE!:noResult:No valid cells found for operation.</v>
      </c>
      <c r="FG5" s="15" t="str">
        <f>#REF!</f>
        <v>#VALUE!:noResult:No valid cells found for operation.</v>
      </c>
      <c r="FH5" s="15">
        <f>IF(Trans!R[11],"AAAAAG19X6M=",0)</f>
        <v>0</v>
      </c>
      <c r="FI5" s="15" t="b">
        <f>AND(Trans!A16,"AAAAAG19X6Q=")</f>
        <v>1</v>
      </c>
      <c r="FJ5" s="15" t="str">
        <f>AND(Trans!B16,"AAAAAG19X6U=")</f>
        <v>#VALUE!:noResult:No valid cells found for operation.</v>
      </c>
      <c r="FK5" s="15" t="b">
        <f>AND(Trans!C16,"AAAAAG19X6Y=")</f>
        <v>1</v>
      </c>
      <c r="FL5" s="15" t="b">
        <f>AND(Trans!D16,"AAAAAG19X6c=")</f>
        <v>1</v>
      </c>
      <c r="FM5" s="15" t="str">
        <f>AND(Trans!E16,"AAAAAG19X6g=")</f>
        <v>#VALUE!:noResult:No valid cells found for operation.</v>
      </c>
      <c r="FN5" s="15" t="str">
        <f>AND(Trans!F16,"AAAAAG19X6k=")</f>
        <v>#VALUE!:noResult:No valid cells found for operation.</v>
      </c>
      <c r="FO5" s="15" t="str">
        <f>AND(Trans!G16,"AAAAAG19X6o=")</f>
        <v>#VALUE!:noResult:No valid cells found for operation.</v>
      </c>
      <c r="FP5" s="15" t="str">
        <f>#REF!</f>
        <v>#VALUE!:noResult:No valid cells found for operation.</v>
      </c>
      <c r="FQ5" s="15" t="str">
        <f>AND(Trans!H16,"AAAAAG19X6w=")</f>
        <v>#VALUE!:noResult:No valid cells found for operation.</v>
      </c>
      <c r="FR5" s="15" t="str">
        <f>#REF!</f>
        <v>#VALUE!:noResult:No valid cells found for operation.</v>
      </c>
      <c r="FS5" s="15" t="str">
        <f>#REF!</f>
        <v>#VALUE!:noResult:No valid cells found for operation.</v>
      </c>
      <c r="FT5" s="15" t="str">
        <f>#REF!</f>
        <v>#VALUE!:noResult:No valid cells found for operation.</v>
      </c>
      <c r="FU5" s="15" t="str">
        <f>#REF!</f>
        <v>#VALUE!:noResult:No valid cells found for operation.</v>
      </c>
      <c r="FV5" s="15" t="str">
        <f>#REF!</f>
        <v>#VALUE!:noResult:No valid cells found for operation.</v>
      </c>
      <c r="FW5" s="15" t="str">
        <f>#REF!</f>
        <v>#VALUE!:noResult:No valid cells found for operation.</v>
      </c>
      <c r="FX5" s="15">
        <f>IF(Trans!R[12],"AAAAAG19X7M=",0)</f>
        <v>0</v>
      </c>
      <c r="FY5" s="15" t="b">
        <f>AND(Trans!A17,"AAAAAG19X7Q=")</f>
        <v>1</v>
      </c>
      <c r="FZ5" s="15" t="str">
        <f>AND(Trans!B17,"AAAAAG19X7U=")</f>
        <v>#VALUE!:noResult:No valid cells found for operation.</v>
      </c>
      <c r="GA5" s="15" t="b">
        <f>AND(Trans!C17,"AAAAAG19X7Y=")</f>
        <v>1</v>
      </c>
      <c r="GB5" s="15" t="b">
        <f>AND(Trans!D17,"AAAAAG19X7c=")</f>
        <v>1</v>
      </c>
      <c r="GC5" s="15" t="str">
        <f>AND(Trans!E17,"AAAAAG19X7g=")</f>
        <v>#VALUE!:noResult:No valid cells found for operation.</v>
      </c>
      <c r="GD5" s="15" t="str">
        <f>AND(Trans!F17,"AAAAAG19X7k=")</f>
        <v>#VALUE!:noResult:No valid cells found for operation.</v>
      </c>
      <c r="GE5" s="15" t="str">
        <f>AND(Trans!G17,"AAAAAG19X7o=")</f>
        <v>#VALUE!:noResult:No valid cells found for operation.</v>
      </c>
      <c r="GF5" s="15" t="str">
        <f>#REF!</f>
        <v>#VALUE!:noResult:No valid cells found for operation.</v>
      </c>
      <c r="GG5" s="15" t="str">
        <f>AND(Trans!H17,"AAAAAG19X7w=")</f>
        <v>#VALUE!:noResult:No valid cells found for operation.</v>
      </c>
      <c r="GH5" s="15" t="str">
        <f>#REF!</f>
        <v>#VALUE!:noResult:No valid cells found for operation.</v>
      </c>
      <c r="GI5" s="15" t="str">
        <f>#REF!</f>
        <v>#VALUE!:noResult:No valid cells found for operation.</v>
      </c>
      <c r="GJ5" s="15" t="str">
        <f>#REF!</f>
        <v>#VALUE!:noResult:No valid cells found for operation.</v>
      </c>
      <c r="GK5" s="15" t="str">
        <f>#REF!</f>
        <v>#VALUE!:noResult:No valid cells found for operation.</v>
      </c>
      <c r="GL5" s="15" t="str">
        <f>#REF!</f>
        <v>#VALUE!:noResult:No valid cells found for operation.</v>
      </c>
      <c r="GM5" s="15" t="str">
        <f>#REF!</f>
        <v>#VALUE!:noResult:No valid cells found for operation.</v>
      </c>
      <c r="GN5" s="15">
        <f>IF(Trans!R[13],"AAAAAG19X8M=",0)</f>
        <v>0</v>
      </c>
      <c r="GO5" s="15" t="b">
        <f>AND(Trans!A18,"AAAAAG19X8Q=")</f>
        <v>1</v>
      </c>
      <c r="GP5" s="15" t="str">
        <f>AND(Trans!B18,"AAAAAG19X8U=")</f>
        <v>#VALUE!:noResult:No valid cells found for operation.</v>
      </c>
      <c r="GQ5" s="15" t="b">
        <f>AND(Trans!C18,"AAAAAG19X8Y=")</f>
        <v>1</v>
      </c>
      <c r="GR5" s="15" t="b">
        <f>AND(Trans!D18,"AAAAAG19X8c=")</f>
        <v>1</v>
      </c>
      <c r="GS5" s="15" t="str">
        <f>AND(Trans!E18,"AAAAAG19X8g=")</f>
        <v>#VALUE!:noResult:No valid cells found for operation.</v>
      </c>
      <c r="GT5" s="15" t="str">
        <f>AND(Trans!F18,"AAAAAG19X8k=")</f>
        <v>#VALUE!:noResult:No valid cells found for operation.</v>
      </c>
      <c r="GU5" s="15" t="str">
        <f>AND(Trans!G18,"AAAAAG19X8o=")</f>
        <v>#VALUE!:noResult:No valid cells found for operation.</v>
      </c>
      <c r="GV5" s="15" t="str">
        <f>#REF!</f>
        <v>#VALUE!:noResult:No valid cells found for operation.</v>
      </c>
      <c r="GW5" s="15" t="str">
        <f>AND(Trans!H18,"AAAAAG19X8w=")</f>
        <v>#VALUE!:noResult:No valid cells found for operation.</v>
      </c>
      <c r="GX5" s="15" t="str">
        <f>#REF!</f>
        <v>#VALUE!:noResult:No valid cells found for operation.</v>
      </c>
      <c r="GY5" s="15" t="str">
        <f>#REF!</f>
        <v>#VALUE!:noResult:No valid cells found for operation.</v>
      </c>
      <c r="GZ5" s="15" t="str">
        <f>#REF!</f>
        <v>#VALUE!:noResult:No valid cells found for operation.</v>
      </c>
      <c r="HA5" s="15" t="str">
        <f>#REF!</f>
        <v>#VALUE!:noResult:No valid cells found for operation.</v>
      </c>
      <c r="HB5" s="15" t="str">
        <f>#REF!</f>
        <v>#VALUE!:noResult:No valid cells found for operation.</v>
      </c>
      <c r="HC5" s="15" t="str">
        <f>#REF!</f>
        <v>#VALUE!:noResult:No valid cells found for operation.</v>
      </c>
      <c r="HD5" s="15">
        <f>IF(Trans!R[14],"AAAAAG19X9M=",0)</f>
        <v>0</v>
      </c>
      <c r="HE5" s="15" t="b">
        <f>AND(Trans!A19,"AAAAAG19X9Q=")</f>
        <v>1</v>
      </c>
      <c r="HF5" s="15" t="str">
        <f>AND(Trans!B19,"AAAAAG19X9U=")</f>
        <v>#VALUE!:noResult:No valid cells found for operation.</v>
      </c>
      <c r="HG5" s="15" t="b">
        <f>AND(Trans!C19,"AAAAAG19X9Y=")</f>
        <v>1</v>
      </c>
      <c r="HH5" s="15" t="b">
        <f>AND(Trans!D19,"AAAAAG19X9c=")</f>
        <v>1</v>
      </c>
      <c r="HI5" s="15" t="str">
        <f>AND(Trans!E19,"AAAAAG19X9g=")</f>
        <v>#VALUE!:noResult:No valid cells found for operation.</v>
      </c>
      <c r="HJ5" s="15" t="str">
        <f>AND(Trans!F19,"AAAAAG19X9k=")</f>
        <v>#VALUE!:noResult:No valid cells found for operation.</v>
      </c>
      <c r="HK5" s="15" t="str">
        <f>AND(Trans!G19,"AAAAAG19X9o=")</f>
        <v>#VALUE!:noResult:No valid cells found for operation.</v>
      </c>
      <c r="HL5" s="15" t="str">
        <f>#REF!</f>
        <v>#VALUE!:noResult:No valid cells found for operation.</v>
      </c>
      <c r="HM5" s="15" t="str">
        <f>AND(Trans!H19,"AAAAAG19X9w=")</f>
        <v>#VALUE!:noResult:No valid cells found for operation.</v>
      </c>
      <c r="HN5" s="15" t="str">
        <f>#REF!</f>
        <v>#VALUE!:noResult:No valid cells found for operation.</v>
      </c>
      <c r="HO5" s="15" t="str">
        <f>#REF!</f>
        <v>#VALUE!:noResult:No valid cells found for operation.</v>
      </c>
      <c r="HP5" s="15" t="str">
        <f>#REF!</f>
        <v>#VALUE!:noResult:No valid cells found for operation.</v>
      </c>
      <c r="HQ5" s="15" t="str">
        <f>#REF!</f>
        <v>#VALUE!:noResult:No valid cells found for operation.</v>
      </c>
      <c r="HR5" s="15" t="str">
        <f>#REF!</f>
        <v>#VALUE!:noResult:No valid cells found for operation.</v>
      </c>
      <c r="HS5" s="15" t="str">
        <f>#REF!</f>
        <v>#VALUE!:noResult:No valid cells found for operation.</v>
      </c>
      <c r="HT5" s="15">
        <f>IF(Trans!R[15],"AAAAAG19X+M=",0)</f>
        <v>0</v>
      </c>
      <c r="HU5" s="15" t="b">
        <f>AND(Trans!A20,"AAAAAG19X+Q=")</f>
        <v>1</v>
      </c>
      <c r="HV5" s="15" t="str">
        <f>AND(Trans!B20,"AAAAAG19X+U=")</f>
        <v>#VALUE!:noResult:No valid cells found for operation.</v>
      </c>
      <c r="HW5" s="15" t="b">
        <f>AND(Trans!C20,"AAAAAG19X+Y=")</f>
        <v>1</v>
      </c>
      <c r="HX5" s="15" t="b">
        <f>AND(Trans!D20,"AAAAAG19X+c=")</f>
        <v>1</v>
      </c>
      <c r="HY5" s="15" t="str">
        <f>AND(Trans!E20,"AAAAAG19X+g=")</f>
        <v>#VALUE!:noResult:No valid cells found for operation.</v>
      </c>
      <c r="HZ5" s="15" t="str">
        <f>AND(Trans!F20,"AAAAAG19X+k=")</f>
        <v>#VALUE!:noResult:No valid cells found for operation.</v>
      </c>
      <c r="IA5" s="15" t="str">
        <f>AND(Trans!G20,"AAAAAG19X+o=")</f>
        <v>#VALUE!:noResult:No valid cells found for operation.</v>
      </c>
      <c r="IB5" s="15" t="str">
        <f>#REF!</f>
        <v>#VALUE!:noResult:No valid cells found for operation.</v>
      </c>
      <c r="IC5" s="15" t="str">
        <f>AND(Trans!H20,"AAAAAG19X+w=")</f>
        <v>#VALUE!:noResult:No valid cells found for operation.</v>
      </c>
      <c r="ID5" s="15" t="str">
        <f>#REF!</f>
        <v>#VALUE!:noResult:No valid cells found for operation.</v>
      </c>
      <c r="IE5" s="15" t="str">
        <f>#REF!</f>
        <v>#VALUE!:noResult:No valid cells found for operation.</v>
      </c>
      <c r="IF5" s="15" t="str">
        <f>#REF!</f>
        <v>#VALUE!:noResult:No valid cells found for operation.</v>
      </c>
      <c r="IG5" s="15" t="str">
        <f>#REF!</f>
        <v>#VALUE!:noResult:No valid cells found for operation.</v>
      </c>
      <c r="IH5" s="15" t="str">
        <f>#REF!</f>
        <v>#VALUE!:noResult:No valid cells found for operation.</v>
      </c>
      <c r="II5" s="15" t="str">
        <f>#REF!</f>
        <v>#VALUE!:noResult:No valid cells found for operation.</v>
      </c>
      <c r="IJ5" s="15">
        <f>IF(Trans!R[16],"AAAAAG19X/M=",0)</f>
        <v>0</v>
      </c>
      <c r="IK5" s="15" t="b">
        <f>AND(Trans!A21,"AAAAAG19X/Q=")</f>
        <v>1</v>
      </c>
      <c r="IL5" s="15" t="str">
        <f>AND(Trans!B21,"AAAAAG19X/U=")</f>
        <v>#VALUE!:noResult:No valid cells found for operation.</v>
      </c>
      <c r="IM5" s="15" t="b">
        <f>AND(Trans!C21,"AAAAAG19X/Y=")</f>
        <v>1</v>
      </c>
      <c r="IN5" s="15" t="b">
        <f>AND(Trans!D21,"AAAAAG19X/c=")</f>
        <v>1</v>
      </c>
      <c r="IO5" s="15" t="str">
        <f>AND(Trans!E21,"AAAAAG19X/g=")</f>
        <v>#VALUE!:noResult:No valid cells found for operation.</v>
      </c>
      <c r="IP5" s="15" t="str">
        <f>AND(Trans!F21,"AAAAAG19X/k=")</f>
        <v>#VALUE!:noResult:No valid cells found for operation.</v>
      </c>
      <c r="IQ5" s="15" t="str">
        <f>AND(Trans!G21,"AAAAAG19X/o=")</f>
        <v>#VALUE!:noResult:No valid cells found for operation.</v>
      </c>
      <c r="IR5" s="15" t="str">
        <f>#REF!</f>
        <v>#VALUE!:noResult:No valid cells found for operation.</v>
      </c>
      <c r="IS5" s="15" t="str">
        <f>AND(Trans!H21,"AAAAAG19X/w=")</f>
        <v>#VALUE!:noResult:No valid cells found for operation.</v>
      </c>
      <c r="IT5" s="15" t="str">
        <f>#REF!</f>
        <v>#VALUE!:noResult:No valid cells found for operation.</v>
      </c>
      <c r="IU5" s="15" t="str">
        <f>#REF!</f>
        <v>#VALUE!:noResult:No valid cells found for operation.</v>
      </c>
      <c r="IV5" s="15" t="str">
        <f>#REF!</f>
        <v>#VALUE!:noResult:No valid cells found for operation.</v>
      </c>
    </row>
    <row r="6">
      <c r="A6" s="15" t="str">
        <f>#REF!</f>
        <v>#VALUE!:noResult:No valid cells found for operation.</v>
      </c>
      <c r="B6" s="15" t="str">
        <f>#REF!</f>
        <v>#VALUE!:noResult:No valid cells found for operation.</v>
      </c>
      <c r="C6" s="15" t="str">
        <f>#REF!</f>
        <v>#VALUE!:noResult:No valid cells found for operation.</v>
      </c>
      <c r="D6" s="15" t="str">
        <f>IF(Trans!R[16],"AAAAAHje7QM=",0)</f>
        <v>AAAAAHje7QM=</v>
      </c>
      <c r="E6" s="15" t="b">
        <f>AND(Trans!A22,"AAAAAHje7QQ=")</f>
        <v>1</v>
      </c>
      <c r="F6" s="15" t="str">
        <f>AND(Trans!B22,"AAAAAHje7QU=")</f>
        <v>#VALUE!:noResult:No valid cells found for operation.</v>
      </c>
      <c r="G6" s="15" t="b">
        <f>AND(Trans!C22,"AAAAAHje7QY=")</f>
        <v>1</v>
      </c>
      <c r="H6" s="15" t="b">
        <f>AND(Trans!D22,"AAAAAHje7Qc=")</f>
        <v>1</v>
      </c>
      <c r="I6" s="15" t="str">
        <f>AND(Trans!E22,"AAAAAHje7Qg=")</f>
        <v>#VALUE!:noResult:No valid cells found for operation.</v>
      </c>
      <c r="J6" s="15" t="str">
        <f>AND(Trans!F22,"AAAAAHje7Qk=")</f>
        <v>#VALUE!:noResult:No valid cells found for operation.</v>
      </c>
      <c r="K6" s="15" t="str">
        <f>AND(Trans!G22,"AAAAAHje7Qo=")</f>
        <v>#VALUE!:noResult:No valid cells found for operation.</v>
      </c>
      <c r="L6" s="15" t="str">
        <f>#REF!</f>
        <v>#VALUE!:noResult:No valid cells found for operation.</v>
      </c>
      <c r="M6" s="15" t="str">
        <f>AND(Trans!H22,"AAAAAHje7Qw=")</f>
        <v>#VALUE!:noResult:No valid cells found for operation.</v>
      </c>
      <c r="N6" s="15" t="str">
        <f>#REF!</f>
        <v>#VALUE!:noResult:No valid cells found for operation.</v>
      </c>
      <c r="O6" s="15" t="str">
        <f>#REF!</f>
        <v>#VALUE!:noResult:No valid cells found for operation.</v>
      </c>
      <c r="P6" s="15" t="str">
        <f>#REF!</f>
        <v>#VALUE!:noResult:No valid cells found for operation.</v>
      </c>
      <c r="Q6" s="15" t="str">
        <f>#REF!</f>
        <v>#VALUE!:noResult:No valid cells found for operation.</v>
      </c>
      <c r="R6" s="15" t="str">
        <f>#REF!</f>
        <v>#VALUE!:noResult:No valid cells found for operation.</v>
      </c>
      <c r="S6" s="15" t="str">
        <f>#REF!</f>
        <v>#VALUE!:noResult:No valid cells found for operation.</v>
      </c>
      <c r="T6" s="15">
        <f>IF(Trans!R[17],"AAAAAHje7RM=",0)</f>
        <v>0</v>
      </c>
      <c r="U6" s="15" t="b">
        <f>AND(Trans!A23,"AAAAAHje7RQ=")</f>
        <v>1</v>
      </c>
      <c r="V6" s="15" t="str">
        <f>AND(Trans!B23,"AAAAAHje7RU=")</f>
        <v>#VALUE!:noResult:No valid cells found for operation.</v>
      </c>
      <c r="W6" s="15" t="b">
        <f>AND(Trans!C23,"AAAAAHje7RY=")</f>
        <v>1</v>
      </c>
      <c r="X6" s="15" t="b">
        <f>AND(Trans!D23,"AAAAAHje7Rc=")</f>
        <v>1</v>
      </c>
      <c r="Y6" s="15" t="str">
        <f>AND(Trans!E23,"AAAAAHje7Rg=")</f>
        <v>#VALUE!:noResult:No valid cells found for operation.</v>
      </c>
      <c r="Z6" s="15" t="str">
        <f>AND(Trans!F23,"AAAAAHje7Rk=")</f>
        <v>#VALUE!:noResult:No valid cells found for operation.</v>
      </c>
      <c r="AA6" s="15" t="str">
        <f>AND(Trans!G23,"AAAAAHje7Ro=")</f>
        <v>#VALUE!:noResult:No valid cells found for operation.</v>
      </c>
      <c r="AB6" s="15" t="str">
        <f>#REF!</f>
        <v>#VALUE!:noResult:No valid cells found for operation.</v>
      </c>
      <c r="AC6" s="15" t="str">
        <f>AND(Trans!H23,"AAAAAHje7Rw=")</f>
        <v>#VALUE!:noResult:No valid cells found for operation.</v>
      </c>
      <c r="AD6" s="15" t="str">
        <f>#REF!</f>
        <v>#VALUE!:noResult:No valid cells found for operation.</v>
      </c>
      <c r="AE6" s="15" t="str">
        <f>#REF!</f>
        <v>#VALUE!:noResult:No valid cells found for operation.</v>
      </c>
      <c r="AF6" s="15" t="str">
        <f>#REF!</f>
        <v>#VALUE!:noResult:No valid cells found for operation.</v>
      </c>
      <c r="AG6" s="15" t="str">
        <f>#REF!</f>
        <v>#VALUE!:noResult:No valid cells found for operation.</v>
      </c>
      <c r="AH6" s="15" t="str">
        <f>#REF!</f>
        <v>#VALUE!:noResult:No valid cells found for operation.</v>
      </c>
      <c r="AI6" s="15" t="str">
        <f>#REF!</f>
        <v>#VALUE!:noResult:No valid cells found for operation.</v>
      </c>
      <c r="AJ6" s="15">
        <f>IF(Trans!R[18],"AAAAAHje7SM=",0)</f>
        <v>0</v>
      </c>
      <c r="AK6" s="15" t="b">
        <f>AND(Trans!A24,"AAAAAHje7SQ=")</f>
        <v>1</v>
      </c>
      <c r="AL6" s="15" t="str">
        <f>AND(Trans!B24,"AAAAAHje7SU=")</f>
        <v>#VALUE!:noResult:No valid cells found for operation.</v>
      </c>
      <c r="AM6" s="15" t="b">
        <f>AND(Trans!C24,"AAAAAHje7SY=")</f>
        <v>1</v>
      </c>
      <c r="AN6" s="15" t="b">
        <f>AND(Trans!D24,"AAAAAHje7Sc=")</f>
        <v>1</v>
      </c>
      <c r="AO6" s="15" t="str">
        <f>AND(Trans!E24,"AAAAAHje7Sg=")</f>
        <v>#VALUE!:noResult:No valid cells found for operation.</v>
      </c>
      <c r="AP6" s="15" t="str">
        <f>AND(Trans!F24,"AAAAAHje7Sk=")</f>
        <v>#VALUE!:noResult:No valid cells found for operation.</v>
      </c>
      <c r="AQ6" s="15" t="str">
        <f>AND(Trans!G24,"AAAAAHje7So=")</f>
        <v>#VALUE!:noResult:No valid cells found for operation.</v>
      </c>
      <c r="AR6" s="15" t="str">
        <f>#REF!</f>
        <v>#VALUE!:noResult:No valid cells found for operation.</v>
      </c>
      <c r="AS6" s="15" t="str">
        <f>AND(Trans!H24,"AAAAAHje7Sw=")</f>
        <v>#VALUE!:noResult:No valid cells found for operation.</v>
      </c>
      <c r="AT6" s="15" t="str">
        <f>#REF!</f>
        <v>#VALUE!:noResult:No valid cells found for operation.</v>
      </c>
      <c r="AU6" s="15" t="str">
        <f>#REF!</f>
        <v>#VALUE!:noResult:No valid cells found for operation.</v>
      </c>
      <c r="AV6" s="15" t="str">
        <f>#REF!</f>
        <v>#VALUE!:noResult:No valid cells found for operation.</v>
      </c>
      <c r="AW6" s="15" t="str">
        <f>#REF!</f>
        <v>#VALUE!:noResult:No valid cells found for operation.</v>
      </c>
      <c r="AX6" s="15" t="str">
        <f>#REF!</f>
        <v>#VALUE!:noResult:No valid cells found for operation.</v>
      </c>
      <c r="AY6" s="15" t="str">
        <f>#REF!</f>
        <v>#VALUE!:noResult:No valid cells found for operation.</v>
      </c>
      <c r="AZ6" s="15">
        <f>IF(Trans!R[19],"AAAAAHje7TM=",0)</f>
        <v>0</v>
      </c>
      <c r="BA6" s="15" t="b">
        <f>AND(Trans!A25,"AAAAAHje7TQ=")</f>
        <v>1</v>
      </c>
      <c r="BB6" s="15" t="str">
        <f>AND(Trans!B25,"AAAAAHje7TU=")</f>
        <v>#VALUE!:noResult:No valid cells found for operation.</v>
      </c>
      <c r="BC6" s="15" t="b">
        <f>AND(Trans!C25,"AAAAAHje7TY=")</f>
        <v>1</v>
      </c>
      <c r="BD6" s="15" t="b">
        <f>AND(Trans!D25,"AAAAAHje7Tc=")</f>
        <v>1</v>
      </c>
      <c r="BE6" s="15" t="str">
        <f>AND(Trans!E25,"AAAAAHje7Tg=")</f>
        <v>#VALUE!:noResult:No valid cells found for operation.</v>
      </c>
      <c r="BF6" s="15" t="str">
        <f>AND(Trans!F25,"AAAAAHje7Tk=")</f>
        <v>#VALUE!:noResult:No valid cells found for operation.</v>
      </c>
      <c r="BG6" s="15" t="str">
        <f>AND(Trans!G25,"AAAAAHje7To=")</f>
        <v>#VALUE!:noResult:No valid cells found for operation.</v>
      </c>
      <c r="BH6" s="15" t="str">
        <f>#REF!</f>
        <v>#VALUE!:noResult:No valid cells found for operation.</v>
      </c>
      <c r="BI6" s="15" t="str">
        <f>AND(Trans!H25,"AAAAAHje7Tw=")</f>
        <v>#VALUE!:noResult:No valid cells found for operation.</v>
      </c>
      <c r="BJ6" s="15" t="str">
        <f>#REF!</f>
        <v>#VALUE!:noResult:No valid cells found for operation.</v>
      </c>
      <c r="BK6" s="15" t="str">
        <f>#REF!</f>
        <v>#VALUE!:noResult:No valid cells found for operation.</v>
      </c>
      <c r="BL6" s="15" t="str">
        <f>#REF!</f>
        <v>#VALUE!:noResult:No valid cells found for operation.</v>
      </c>
      <c r="BM6" s="15" t="str">
        <f>#REF!</f>
        <v>#VALUE!:noResult:No valid cells found for operation.</v>
      </c>
      <c r="BN6" s="15" t="str">
        <f>#REF!</f>
        <v>#VALUE!:noResult:No valid cells found for operation.</v>
      </c>
      <c r="BO6" s="15" t="str">
        <f>#REF!</f>
        <v>#VALUE!:noResult:No valid cells found for operation.</v>
      </c>
      <c r="BP6" s="15">
        <f>IF(Trans!R[20],"AAAAAHje7UM=",0)</f>
        <v>0</v>
      </c>
      <c r="BQ6" s="15" t="b">
        <f>AND(Trans!A26,"AAAAAHje7UQ=")</f>
        <v>1</v>
      </c>
      <c r="BR6" s="15" t="str">
        <f>AND(Trans!B26,"AAAAAHje7UU=")</f>
        <v>#VALUE!:noResult:No valid cells found for operation.</v>
      </c>
      <c r="BS6" s="15" t="b">
        <f>AND(Trans!C26,"AAAAAHje7UY=")</f>
        <v>1</v>
      </c>
      <c r="BT6" s="15" t="b">
        <f>AND(Trans!D26,"AAAAAHje7Uc=")</f>
        <v>1</v>
      </c>
      <c r="BU6" s="15" t="str">
        <f>AND(Trans!E26,"AAAAAHje7Ug=")</f>
        <v>#VALUE!:noResult:No valid cells found for operation.</v>
      </c>
      <c r="BV6" s="15" t="str">
        <f>AND(Trans!F26,"AAAAAHje7Uk=")</f>
        <v>#VALUE!:noResult:No valid cells found for operation.</v>
      </c>
      <c r="BW6" s="15" t="str">
        <f>AND(Trans!G26,"AAAAAHje7Uo=")</f>
        <v>#VALUE!:noResult:No valid cells found for operation.</v>
      </c>
      <c r="BX6" s="15" t="str">
        <f>#REF!</f>
        <v>#VALUE!:noResult:No valid cells found for operation.</v>
      </c>
      <c r="BY6" s="15" t="str">
        <f>AND(Trans!H26,"AAAAAHje7Uw=")</f>
        <v>#VALUE!:noResult:No valid cells found for operation.</v>
      </c>
      <c r="BZ6" s="15" t="str">
        <f>#REF!</f>
        <v>#VALUE!:noResult:No valid cells found for operation.</v>
      </c>
      <c r="CA6" s="15" t="str">
        <f>#REF!</f>
        <v>#VALUE!:noResult:No valid cells found for operation.</v>
      </c>
      <c r="CB6" s="15" t="str">
        <f>#REF!</f>
        <v>#VALUE!:noResult:No valid cells found for operation.</v>
      </c>
      <c r="CC6" s="15" t="str">
        <f>#REF!</f>
        <v>#VALUE!:noResult:No valid cells found for operation.</v>
      </c>
      <c r="CD6" s="15" t="str">
        <f>#REF!</f>
        <v>#VALUE!:noResult:No valid cells found for operation.</v>
      </c>
      <c r="CE6" s="15" t="str">
        <f>#REF!</f>
        <v>#VALUE!:noResult:No valid cells found for operation.</v>
      </c>
      <c r="CF6" s="15">
        <f>IF(Trans!R[21],"AAAAAHje7VM=",0)</f>
        <v>0</v>
      </c>
      <c r="CG6" s="15" t="b">
        <f>AND(Trans!A27,"AAAAAHje7VQ=")</f>
        <v>1</v>
      </c>
      <c r="CH6" s="15" t="str">
        <f>AND(Trans!B27,"AAAAAHje7VU=")</f>
        <v>#VALUE!:noResult:No valid cells found for operation.</v>
      </c>
      <c r="CI6" s="15" t="b">
        <f>AND(Trans!C27,"AAAAAHje7VY=")</f>
        <v>1</v>
      </c>
      <c r="CJ6" s="15" t="b">
        <f>AND(Trans!D27,"AAAAAHje7Vc=")</f>
        <v>1</v>
      </c>
      <c r="CK6" s="15" t="str">
        <f>AND(Trans!E27,"AAAAAHje7Vg=")</f>
        <v>#VALUE!:noResult:No valid cells found for operation.</v>
      </c>
      <c r="CL6" s="15" t="str">
        <f>AND(Trans!F27,"AAAAAHje7Vk=")</f>
        <v>#VALUE!:noResult:No valid cells found for operation.</v>
      </c>
      <c r="CM6" s="15" t="str">
        <f>AND(Trans!G27,"AAAAAHje7Vo=")</f>
        <v>#VALUE!:noResult:No valid cells found for operation.</v>
      </c>
      <c r="CN6" s="15" t="str">
        <f>#REF!</f>
        <v>#VALUE!:noResult:No valid cells found for operation.</v>
      </c>
      <c r="CO6" s="15" t="str">
        <f>AND(Trans!H27,"AAAAAHje7Vw=")</f>
        <v>#VALUE!:noResult:No valid cells found for operation.</v>
      </c>
      <c r="CP6" s="15" t="str">
        <f>#REF!</f>
        <v>#VALUE!:noResult:No valid cells found for operation.</v>
      </c>
      <c r="CQ6" s="15" t="str">
        <f>#REF!</f>
        <v>#VALUE!:noResult:No valid cells found for operation.</v>
      </c>
      <c r="CR6" s="15" t="str">
        <f>#REF!</f>
        <v>#VALUE!:noResult:No valid cells found for operation.</v>
      </c>
      <c r="CS6" s="15" t="str">
        <f>#REF!</f>
        <v>#VALUE!:noResult:No valid cells found for operation.</v>
      </c>
      <c r="CT6" s="15" t="str">
        <f>#REF!</f>
        <v>#VALUE!:noResult:No valid cells found for operation.</v>
      </c>
      <c r="CU6" s="15" t="str">
        <f>#REF!</f>
        <v>#VALUE!:noResult:No valid cells found for operation.</v>
      </c>
      <c r="CV6" s="15">
        <f>IF(Trans!R[22],"AAAAAHje7WM=",0)</f>
        <v>0</v>
      </c>
      <c r="CW6" s="15" t="b">
        <f>AND(Trans!A28,"AAAAAHje7WQ=")</f>
        <v>1</v>
      </c>
      <c r="CX6" s="15" t="str">
        <f>AND(Trans!B28,"AAAAAHje7WU=")</f>
        <v>#VALUE!:noResult:No valid cells found for operation.</v>
      </c>
      <c r="CY6" s="15" t="b">
        <f>AND(Trans!C28,"AAAAAHje7WY=")</f>
        <v>1</v>
      </c>
      <c r="CZ6" s="15" t="b">
        <f>AND(Trans!D28,"AAAAAHje7Wc=")</f>
        <v>1</v>
      </c>
      <c r="DA6" s="15" t="str">
        <f>AND(Trans!E28,"AAAAAHje7Wg=")</f>
        <v>#VALUE!:noResult:No valid cells found for operation.</v>
      </c>
      <c r="DB6" s="15" t="str">
        <f>AND(Trans!F28,"AAAAAHje7Wk=")</f>
        <v>#VALUE!:noResult:No valid cells found for operation.</v>
      </c>
      <c r="DC6" s="15" t="str">
        <f>AND(Trans!G28,"AAAAAHje7Wo=")</f>
        <v>#VALUE!:noResult:No valid cells found for operation.</v>
      </c>
      <c r="DD6" s="15" t="str">
        <f>#REF!</f>
        <v>#VALUE!:noResult:No valid cells found for operation.</v>
      </c>
      <c r="DE6" s="15" t="str">
        <f>AND(Trans!H28,"AAAAAHje7Ww=")</f>
        <v>#VALUE!:noResult:No valid cells found for operation.</v>
      </c>
      <c r="DF6" s="15" t="str">
        <f>#REF!</f>
        <v>#VALUE!:noResult:No valid cells found for operation.</v>
      </c>
      <c r="DG6" s="15" t="str">
        <f>#REF!</f>
        <v>#VALUE!:noResult:No valid cells found for operation.</v>
      </c>
      <c r="DH6" s="15" t="str">
        <f>#REF!</f>
        <v>#VALUE!:noResult:No valid cells found for operation.</v>
      </c>
      <c r="DI6" s="15" t="str">
        <f>#REF!</f>
        <v>#VALUE!:noResult:No valid cells found for operation.</v>
      </c>
      <c r="DJ6" s="15" t="str">
        <f>#REF!</f>
        <v>#VALUE!:noResult:No valid cells found for operation.</v>
      </c>
      <c r="DK6" s="15" t="str">
        <f>#REF!</f>
        <v>#VALUE!:noResult:No valid cells found for operation.</v>
      </c>
      <c r="DL6" s="15">
        <f>IF(Trans!R[23],"AAAAAHje7XM=",0)</f>
        <v>0</v>
      </c>
      <c r="DM6" s="15" t="b">
        <f>AND(Trans!A29,"AAAAAHje7XQ=")</f>
        <v>1</v>
      </c>
      <c r="DN6" s="15" t="str">
        <f>AND(Trans!B29,"AAAAAHje7XU=")</f>
        <v>#VALUE!:noResult:No valid cells found for operation.</v>
      </c>
      <c r="DO6" s="15" t="b">
        <f>AND(Trans!C29,"AAAAAHje7XY=")</f>
        <v>1</v>
      </c>
      <c r="DP6" s="15" t="b">
        <f>AND(Trans!D29,"AAAAAHje7Xc=")</f>
        <v>1</v>
      </c>
      <c r="DQ6" s="15" t="str">
        <f>AND(Trans!E29,"AAAAAHje7Xg=")</f>
        <v>#VALUE!:noResult:No valid cells found for operation.</v>
      </c>
      <c r="DR6" s="15" t="str">
        <f>AND(Trans!F29,"AAAAAHje7Xk=")</f>
        <v>#VALUE!:noResult:No valid cells found for operation.</v>
      </c>
      <c r="DS6" s="15" t="str">
        <f>AND(Trans!G29,"AAAAAHje7Xo=")</f>
        <v>#VALUE!:noResult:No valid cells found for operation.</v>
      </c>
      <c r="DT6" s="15" t="str">
        <f>#REF!</f>
        <v>#VALUE!:noResult:No valid cells found for operation.</v>
      </c>
      <c r="DU6" s="15" t="str">
        <f>AND(Trans!H29,"AAAAAHje7Xw=")</f>
        <v>#VALUE!:noResult:No valid cells found for operation.</v>
      </c>
      <c r="DV6" s="15" t="str">
        <f>#REF!</f>
        <v>#VALUE!:noResult:No valid cells found for operation.</v>
      </c>
      <c r="DW6" s="15" t="str">
        <f>#REF!</f>
        <v>#VALUE!:noResult:No valid cells found for operation.</v>
      </c>
      <c r="DX6" s="15" t="str">
        <f>#REF!</f>
        <v>#VALUE!:noResult:No valid cells found for operation.</v>
      </c>
      <c r="DY6" s="15" t="str">
        <f>#REF!</f>
        <v>#VALUE!:noResult:No valid cells found for operation.</v>
      </c>
      <c r="DZ6" s="15" t="str">
        <f>#REF!</f>
        <v>#VALUE!:noResult:No valid cells found for operation.</v>
      </c>
      <c r="EA6" s="15" t="str">
        <f>#REF!</f>
        <v>#VALUE!:noResult:No valid cells found for operation.</v>
      </c>
      <c r="EB6" s="15">
        <f>IF(Trans!R[24],"AAAAAHje7YM=",0)</f>
        <v>0</v>
      </c>
      <c r="EC6" s="15" t="b">
        <f>AND(Trans!A30,"AAAAAHje7YQ=")</f>
        <v>1</v>
      </c>
      <c r="ED6" s="15" t="str">
        <f>AND(Trans!B30,"AAAAAHje7YU=")</f>
        <v>#VALUE!:noResult:No valid cells found for operation.</v>
      </c>
      <c r="EE6" s="15" t="b">
        <f>AND(Trans!C30,"AAAAAHje7YY=")</f>
        <v>1</v>
      </c>
      <c r="EF6" s="15" t="b">
        <f>AND(Trans!D30,"AAAAAHje7Yc=")</f>
        <v>1</v>
      </c>
      <c r="EG6" s="15" t="str">
        <f>AND(Trans!E30,"AAAAAHje7Yg=")</f>
        <v>#VALUE!:noResult:No valid cells found for operation.</v>
      </c>
      <c r="EH6" s="15" t="str">
        <f>AND(Trans!F30,"AAAAAHje7Yk=")</f>
        <v>#VALUE!:noResult:No valid cells found for operation.</v>
      </c>
      <c r="EI6" s="15" t="str">
        <f>AND(Trans!G30,"AAAAAHje7Yo=")</f>
        <v>#VALUE!:noResult:No valid cells found for operation.</v>
      </c>
      <c r="EJ6" s="15" t="str">
        <f>#REF!</f>
        <v>#VALUE!:noResult:No valid cells found for operation.</v>
      </c>
      <c r="EK6" s="15" t="str">
        <f>AND(Trans!H30,"AAAAAHje7Yw=")</f>
        <v>#VALUE!:noResult:No valid cells found for operation.</v>
      </c>
      <c r="EL6" s="15" t="str">
        <f>#REF!</f>
        <v>#VALUE!:noResult:No valid cells found for operation.</v>
      </c>
      <c r="EM6" s="15" t="str">
        <f>#REF!</f>
        <v>#VALUE!:noResult:No valid cells found for operation.</v>
      </c>
      <c r="EN6" s="15" t="str">
        <f>#REF!</f>
        <v>#VALUE!:noResult:No valid cells found for operation.</v>
      </c>
      <c r="EO6" s="15" t="str">
        <f>#REF!</f>
        <v>#VALUE!:noResult:No valid cells found for operation.</v>
      </c>
      <c r="EP6" s="15" t="str">
        <f>#REF!</f>
        <v>#VALUE!:noResult:No valid cells found for operation.</v>
      </c>
      <c r="EQ6" s="15" t="str">
        <f>#REF!</f>
        <v>#VALUE!:noResult:No valid cells found for operation.</v>
      </c>
      <c r="ER6" s="15">
        <f>IF(Trans!R[25],"AAAAAHje7ZM=",0)</f>
        <v>0</v>
      </c>
      <c r="ES6" s="15" t="b">
        <f>AND(Trans!A31,"AAAAAHje7ZQ=")</f>
        <v>1</v>
      </c>
      <c r="ET6" s="15" t="str">
        <f>AND(Trans!B31,"AAAAAHje7ZU=")</f>
        <v>#VALUE!:noResult:No valid cells found for operation.</v>
      </c>
      <c r="EU6" s="15" t="b">
        <f>AND(Trans!C31,"AAAAAHje7ZY=")</f>
        <v>1</v>
      </c>
      <c r="EV6" s="15" t="b">
        <f>AND(Trans!D31,"AAAAAHje7Zc=")</f>
        <v>1</v>
      </c>
      <c r="EW6" s="15" t="str">
        <f>AND(Trans!E31,"AAAAAHje7Zg=")</f>
        <v>#VALUE!:noResult:No valid cells found for operation.</v>
      </c>
      <c r="EX6" s="15" t="str">
        <f>AND(Trans!F31,"AAAAAHje7Zk=")</f>
        <v>#VALUE!:noResult:No valid cells found for operation.</v>
      </c>
      <c r="EY6" s="15" t="str">
        <f>AND(Trans!G31,"AAAAAHje7Zo=")</f>
        <v>#VALUE!:noResult:No valid cells found for operation.</v>
      </c>
      <c r="EZ6" s="15" t="str">
        <f>#REF!</f>
        <v>#VALUE!:noResult:No valid cells found for operation.</v>
      </c>
      <c r="FA6" s="15" t="str">
        <f>AND(Trans!H31,"AAAAAHje7Zw=")</f>
        <v>#VALUE!:noResult:No valid cells found for operation.</v>
      </c>
      <c r="FB6" s="15" t="str">
        <f>#REF!</f>
        <v>#VALUE!:noResult:No valid cells found for operation.</v>
      </c>
      <c r="FC6" s="15" t="str">
        <f>#REF!</f>
        <v>#VALUE!:noResult:No valid cells found for operation.</v>
      </c>
      <c r="FD6" s="15" t="str">
        <f>#REF!</f>
        <v>#VALUE!:noResult:No valid cells found for operation.</v>
      </c>
      <c r="FE6" s="15" t="str">
        <f>#REF!</f>
        <v>#VALUE!:noResult:No valid cells found for operation.</v>
      </c>
      <c r="FF6" s="15" t="str">
        <f>#REF!</f>
        <v>#VALUE!:noResult:No valid cells found for operation.</v>
      </c>
      <c r="FG6" s="15" t="str">
        <f>#REF!</f>
        <v>#VALUE!:noResult:No valid cells found for operation.</v>
      </c>
      <c r="FH6" s="15">
        <f>IF(Trans!R[26],"AAAAAHje7aM=",0)</f>
        <v>0</v>
      </c>
      <c r="FI6" s="15" t="b">
        <f>AND(Trans!A32,"AAAAAHje7aQ=")</f>
        <v>1</v>
      </c>
      <c r="FJ6" s="15" t="str">
        <f>AND(Trans!B32,"AAAAAHje7aU=")</f>
        <v>#VALUE!:noResult:No valid cells found for operation.</v>
      </c>
      <c r="FK6" s="15" t="b">
        <f>AND(Trans!C32,"AAAAAHje7aY=")</f>
        <v>1</v>
      </c>
      <c r="FL6" s="15" t="b">
        <f>AND(Trans!D32,"AAAAAHje7ac=")</f>
        <v>1</v>
      </c>
      <c r="FM6" s="15" t="str">
        <f>AND(Trans!E32,"AAAAAHje7ag=")</f>
        <v>#VALUE!:noResult:No valid cells found for operation.</v>
      </c>
      <c r="FN6" s="15" t="str">
        <f>AND(Trans!F32,"AAAAAHje7ak=")</f>
        <v>#VALUE!:noResult:No valid cells found for operation.</v>
      </c>
      <c r="FO6" s="15" t="str">
        <f>AND(Trans!G32,"AAAAAHje7ao=")</f>
        <v>#VALUE!:noResult:No valid cells found for operation.</v>
      </c>
      <c r="FP6" s="15" t="str">
        <f>#REF!</f>
        <v>#VALUE!:noResult:No valid cells found for operation.</v>
      </c>
      <c r="FQ6" s="15" t="str">
        <f>AND(Trans!H32,"AAAAAHje7aw=")</f>
        <v>#VALUE!:noResult:No valid cells found for operation.</v>
      </c>
      <c r="FR6" s="15" t="str">
        <f>#REF!</f>
        <v>#VALUE!:noResult:No valid cells found for operation.</v>
      </c>
      <c r="FS6" s="15" t="str">
        <f>#REF!</f>
        <v>#VALUE!:noResult:No valid cells found for operation.</v>
      </c>
      <c r="FT6" s="15" t="str">
        <f>#REF!</f>
        <v>#VALUE!:noResult:No valid cells found for operation.</v>
      </c>
      <c r="FU6" s="15" t="str">
        <f>#REF!</f>
        <v>#VALUE!:noResult:No valid cells found for operation.</v>
      </c>
      <c r="FV6" s="15" t="str">
        <f>#REF!</f>
        <v>#VALUE!:noResult:No valid cells found for operation.</v>
      </c>
      <c r="FW6" s="15" t="str">
        <f>#REF!</f>
        <v>#VALUE!:noResult:No valid cells found for operation.</v>
      </c>
      <c r="FX6" s="15">
        <f>IF(Trans!R[27],"AAAAAHje7bM=",0)</f>
        <v>0</v>
      </c>
      <c r="FY6" s="15" t="b">
        <f>AND(Trans!A33,"AAAAAHje7bQ=")</f>
        <v>1</v>
      </c>
      <c r="FZ6" s="15" t="str">
        <f>AND(Trans!B33,"AAAAAHje7bU=")</f>
        <v>#VALUE!:noResult:No valid cells found for operation.</v>
      </c>
      <c r="GA6" s="15" t="b">
        <f>AND(Trans!C33,"AAAAAHje7bY=")</f>
        <v>1</v>
      </c>
      <c r="GB6" s="15" t="b">
        <f>AND(Trans!D33,"AAAAAHje7bc=")</f>
        <v>1</v>
      </c>
      <c r="GC6" s="15" t="str">
        <f>AND(Trans!E33,"AAAAAHje7bg=")</f>
        <v>#VALUE!:noResult:No valid cells found for operation.</v>
      </c>
      <c r="GD6" s="15" t="str">
        <f>AND(Trans!F33,"AAAAAHje7bk=")</f>
        <v>#VALUE!:noResult:No valid cells found for operation.</v>
      </c>
      <c r="GE6" s="15" t="str">
        <f>AND(Trans!G33,"AAAAAHje7bo=")</f>
        <v>#VALUE!:noResult:No valid cells found for operation.</v>
      </c>
      <c r="GF6" s="15" t="str">
        <f>#REF!</f>
        <v>#VALUE!:noResult:No valid cells found for operation.</v>
      </c>
      <c r="GG6" s="15" t="str">
        <f>AND(Trans!H33,"AAAAAHje7bw=")</f>
        <v>#VALUE!:noResult:No valid cells found for operation.</v>
      </c>
      <c r="GH6" s="15" t="str">
        <f>#REF!</f>
        <v>#VALUE!:noResult:No valid cells found for operation.</v>
      </c>
      <c r="GI6" s="15" t="str">
        <f>#REF!</f>
        <v>#VALUE!:noResult:No valid cells found for operation.</v>
      </c>
      <c r="GJ6" s="15" t="str">
        <f>#REF!</f>
        <v>#VALUE!:noResult:No valid cells found for operation.</v>
      </c>
      <c r="GK6" s="15" t="str">
        <f>#REF!</f>
        <v>#VALUE!:noResult:No valid cells found for operation.</v>
      </c>
      <c r="GL6" s="15" t="str">
        <f>#REF!</f>
        <v>#VALUE!:noResult:No valid cells found for operation.</v>
      </c>
      <c r="GM6" s="15" t="str">
        <f>#REF!</f>
        <v>#VALUE!:noResult:No valid cells found for operation.</v>
      </c>
      <c r="GN6" s="15">
        <f>IF(Trans!R[28],"AAAAAHje7cM=",0)</f>
        <v>0</v>
      </c>
      <c r="GO6" s="15" t="b">
        <f>AND(Trans!A34,"AAAAAHje7cQ=")</f>
        <v>1</v>
      </c>
      <c r="GP6" s="15" t="str">
        <f>AND(Trans!B34,"AAAAAHje7cU=")</f>
        <v>#VALUE!:noResult:No valid cells found for operation.</v>
      </c>
      <c r="GQ6" s="15" t="b">
        <f>AND(Trans!C34,"AAAAAHje7cY=")</f>
        <v>1</v>
      </c>
      <c r="GR6" s="15" t="b">
        <f>AND(Trans!D34,"AAAAAHje7cc=")</f>
        <v>1</v>
      </c>
      <c r="GS6" s="15" t="str">
        <f>AND(Trans!E34,"AAAAAHje7cg=")</f>
        <v>#VALUE!:noResult:No valid cells found for operation.</v>
      </c>
      <c r="GT6" s="15" t="str">
        <f>AND(Trans!F34,"AAAAAHje7ck=")</f>
        <v>#VALUE!:noResult:No valid cells found for operation.</v>
      </c>
      <c r="GU6" s="15" t="str">
        <f>AND(Trans!G34,"AAAAAHje7co=")</f>
        <v>#VALUE!:noResult:No valid cells found for operation.</v>
      </c>
      <c r="GV6" s="15" t="str">
        <f>#REF!</f>
        <v>#VALUE!:noResult:No valid cells found for operation.</v>
      </c>
      <c r="GW6" s="15" t="str">
        <f>AND(Trans!H34,"AAAAAHje7cw=")</f>
        <v>#VALUE!:noResult:No valid cells found for operation.</v>
      </c>
      <c r="GX6" s="15" t="str">
        <f>#REF!</f>
        <v>#VALUE!:noResult:No valid cells found for operation.</v>
      </c>
      <c r="GY6" s="15" t="str">
        <f>#REF!</f>
        <v>#VALUE!:noResult:No valid cells found for operation.</v>
      </c>
      <c r="GZ6" s="15" t="str">
        <f>#REF!</f>
        <v>#VALUE!:noResult:No valid cells found for operation.</v>
      </c>
      <c r="HA6" s="15" t="str">
        <f>#REF!</f>
        <v>#VALUE!:noResult:No valid cells found for operation.</v>
      </c>
      <c r="HB6" s="15" t="str">
        <f>#REF!</f>
        <v>#VALUE!:noResult:No valid cells found for operation.</v>
      </c>
      <c r="HC6" s="15" t="str">
        <f>#REF!</f>
        <v>#VALUE!:noResult:No valid cells found for operation.</v>
      </c>
      <c r="HD6" s="15">
        <f>IF(Trans!R[29],"AAAAAHje7dM=",0)</f>
        <v>0</v>
      </c>
      <c r="HE6" s="15" t="b">
        <f>AND(Trans!A35,"AAAAAHje7dQ=")</f>
        <v>1</v>
      </c>
      <c r="HF6" s="15" t="str">
        <f>AND(Trans!B35,"AAAAAHje7dU=")</f>
        <v>#VALUE!:noResult:No valid cells found for operation.</v>
      </c>
      <c r="HG6" s="15" t="b">
        <f>AND(Trans!C35,"AAAAAHje7dY=")</f>
        <v>1</v>
      </c>
      <c r="HH6" s="15" t="b">
        <f>AND(Trans!D35,"AAAAAHje7dc=")</f>
        <v>1</v>
      </c>
      <c r="HI6" s="15" t="str">
        <f>AND(Trans!E35,"AAAAAHje7dg=")</f>
        <v>#VALUE!:noResult:No valid cells found for operation.</v>
      </c>
      <c r="HJ6" s="15" t="str">
        <f>AND(Trans!F35,"AAAAAHje7dk=")</f>
        <v>#VALUE!:noResult:No valid cells found for operation.</v>
      </c>
      <c r="HK6" s="15" t="str">
        <f>AND(Trans!G35,"AAAAAHje7do=")</f>
        <v>#VALUE!:noResult:No valid cells found for operation.</v>
      </c>
      <c r="HL6" s="15" t="str">
        <f>#REF!</f>
        <v>#VALUE!:noResult:No valid cells found for operation.</v>
      </c>
      <c r="HM6" s="15" t="str">
        <f>AND(Trans!H35,"AAAAAHje7dw=")</f>
        <v>#VALUE!:noResult:No valid cells found for operation.</v>
      </c>
      <c r="HN6" s="15" t="str">
        <f>#REF!</f>
        <v>#VALUE!:noResult:No valid cells found for operation.</v>
      </c>
      <c r="HO6" s="15" t="str">
        <f>#REF!</f>
        <v>#VALUE!:noResult:No valid cells found for operation.</v>
      </c>
      <c r="HP6" s="15" t="str">
        <f>#REF!</f>
        <v>#VALUE!:noResult:No valid cells found for operation.</v>
      </c>
      <c r="HQ6" s="15" t="str">
        <f>#REF!</f>
        <v>#VALUE!:noResult:No valid cells found for operation.</v>
      </c>
      <c r="HR6" s="15" t="str">
        <f>#REF!</f>
        <v>#VALUE!:noResult:No valid cells found for operation.</v>
      </c>
      <c r="HS6" s="15" t="str">
        <f>#REF!</f>
        <v>#VALUE!:noResult:No valid cells found for operation.</v>
      </c>
      <c r="HT6" s="15">
        <f>IF(Trans!R[30],"AAAAAHje7eM=",0)</f>
        <v>0</v>
      </c>
      <c r="HU6" s="15" t="b">
        <f>AND(Trans!A36,"AAAAAHje7eQ=")</f>
        <v>1</v>
      </c>
      <c r="HV6" s="15" t="str">
        <f>AND(Trans!B36,"AAAAAHje7eU=")</f>
        <v>#VALUE!:noResult:No valid cells found for operation.</v>
      </c>
      <c r="HW6" s="15" t="b">
        <f>AND(Trans!C36,"AAAAAHje7eY=")</f>
        <v>1</v>
      </c>
      <c r="HX6" s="15" t="b">
        <f>AND(Trans!D36,"AAAAAHje7ec=")</f>
        <v>1</v>
      </c>
      <c r="HY6" s="15" t="str">
        <f>AND(Trans!E36,"AAAAAHje7eg=")</f>
        <v>#VALUE!:noResult:No valid cells found for operation.</v>
      </c>
      <c r="HZ6" s="15" t="str">
        <f>AND(Trans!F36,"AAAAAHje7ek=")</f>
        <v>#VALUE!:noResult:No valid cells found for operation.</v>
      </c>
      <c r="IA6" s="15" t="str">
        <f>AND(Trans!G36,"AAAAAHje7eo=")</f>
        <v>#VALUE!:noResult:No valid cells found for operation.</v>
      </c>
      <c r="IB6" s="15" t="str">
        <f>#REF!</f>
        <v>#VALUE!:noResult:No valid cells found for operation.</v>
      </c>
      <c r="IC6" s="15" t="str">
        <f>AND(Trans!H36,"AAAAAHje7ew=")</f>
        <v>#VALUE!:noResult:No valid cells found for operation.</v>
      </c>
      <c r="ID6" s="15" t="str">
        <f>#REF!</f>
        <v>#VALUE!:noResult:No valid cells found for operation.</v>
      </c>
      <c r="IE6" s="15" t="str">
        <f>#REF!</f>
        <v>#VALUE!:noResult:No valid cells found for operation.</v>
      </c>
      <c r="IF6" s="15" t="str">
        <f>#REF!</f>
        <v>#VALUE!:noResult:No valid cells found for operation.</v>
      </c>
      <c r="IG6" s="15" t="str">
        <f>#REF!</f>
        <v>#VALUE!:noResult:No valid cells found for operation.</v>
      </c>
      <c r="IH6" s="15" t="str">
        <f>#REF!</f>
        <v>#VALUE!:noResult:No valid cells found for operation.</v>
      </c>
      <c r="II6" s="15" t="str">
        <f>#REF!</f>
        <v>#VALUE!:noResult:No valid cells found for operation.</v>
      </c>
      <c r="IJ6" s="15">
        <f>IF(Trans!R[31],"AAAAAHje7fM=",0)</f>
        <v>0</v>
      </c>
      <c r="IK6" s="15" t="b">
        <f>AND(Trans!A37,"AAAAAHje7fQ=")</f>
        <v>1</v>
      </c>
      <c r="IL6" s="15" t="str">
        <f>AND(Trans!B37,"AAAAAHje7fU=")</f>
        <v>#VALUE!:noResult:No valid cells found for operation.</v>
      </c>
      <c r="IM6" s="15" t="b">
        <f>AND(Trans!C37,"AAAAAHje7fY=")</f>
        <v>1</v>
      </c>
      <c r="IN6" s="15" t="b">
        <f>AND(Trans!D37,"AAAAAHje7fc=")</f>
        <v>1</v>
      </c>
      <c r="IO6" s="15" t="str">
        <f>AND(Trans!E37,"AAAAAHje7fg=")</f>
        <v>#VALUE!:noResult:No valid cells found for operation.</v>
      </c>
      <c r="IP6" s="15" t="str">
        <f>AND(Trans!F37,"AAAAAHje7fk=")</f>
        <v>#VALUE!:noResult:No valid cells found for operation.</v>
      </c>
      <c r="IQ6" s="15" t="str">
        <f>AND(Trans!G37,"AAAAAHje7fo=")</f>
        <v>#VALUE!:noResult:No valid cells found for operation.</v>
      </c>
      <c r="IR6" s="15" t="str">
        <f>#REF!</f>
        <v>#VALUE!:noResult:No valid cells found for operation.</v>
      </c>
      <c r="IS6" s="15" t="str">
        <f>AND(Trans!H37,"AAAAAHje7fw=")</f>
        <v>#VALUE!:noResult:No valid cells found for operation.</v>
      </c>
      <c r="IT6" s="15" t="str">
        <f>#REF!</f>
        <v>#VALUE!:noResult:No valid cells found for operation.</v>
      </c>
      <c r="IU6" s="15" t="str">
        <f>#REF!</f>
        <v>#VALUE!:noResult:No valid cells found for operation.</v>
      </c>
      <c r="IV6" s="15" t="str">
        <f>#REF!</f>
        <v>#VALUE!:noResult:No valid cells found for operation.</v>
      </c>
    </row>
    <row r="7">
      <c r="A7" s="15" t="str">
        <f>#REF!</f>
        <v>#VALUE!:noResult:No valid cells found for operation.</v>
      </c>
      <c r="B7" s="15" t="str">
        <f>#REF!</f>
        <v>#VALUE!:noResult:No valid cells found for operation.</v>
      </c>
      <c r="C7" s="15" t="str">
        <f>#REF!</f>
        <v>#VALUE!:noResult:No valid cells found for operation.</v>
      </c>
      <c r="D7" s="15" t="str">
        <f>IF(Trans!R[31],"AAAAAH/fUgM=",0)</f>
        <v>AAAAAH/fUgM=</v>
      </c>
      <c r="E7" s="15" t="b">
        <f>AND(Trans!A38,"AAAAAH/fUgQ=")</f>
        <v>1</v>
      </c>
      <c r="F7" s="15" t="str">
        <f>AND(Trans!B38,"AAAAAH/fUgU=")</f>
        <v>#VALUE!:noResult:No valid cells found for operation.</v>
      </c>
      <c r="G7" s="15" t="b">
        <f>AND(Trans!C38,"AAAAAH/fUgY=")</f>
        <v>1</v>
      </c>
      <c r="H7" s="15" t="b">
        <f>AND(Trans!D38,"AAAAAH/fUgc=")</f>
        <v>1</v>
      </c>
      <c r="I7" s="15" t="str">
        <f>AND(Trans!E38,"AAAAAH/fUgg=")</f>
        <v>#VALUE!:noResult:No valid cells found for operation.</v>
      </c>
      <c r="J7" s="15" t="str">
        <f>AND(Trans!F38,"AAAAAH/fUgk=")</f>
        <v>#VALUE!:noResult:No valid cells found for operation.</v>
      </c>
      <c r="K7" s="15" t="str">
        <f>AND(Trans!G38,"AAAAAH/fUgo=")</f>
        <v>#VALUE!:noResult:No valid cells found for operation.</v>
      </c>
      <c r="L7" s="15" t="str">
        <f>#REF!</f>
        <v>#VALUE!:noResult:No valid cells found for operation.</v>
      </c>
      <c r="M7" s="15" t="str">
        <f>AND(Trans!H38,"AAAAAH/fUgw=")</f>
        <v>#VALUE!:noResult:No valid cells found for operation.</v>
      </c>
      <c r="N7" s="15" t="str">
        <f>#REF!</f>
        <v>#VALUE!:noResult:No valid cells found for operation.</v>
      </c>
      <c r="O7" s="15" t="str">
        <f>#REF!</f>
        <v>#VALUE!:noResult:No valid cells found for operation.</v>
      </c>
      <c r="P7" s="15" t="str">
        <f>#REF!</f>
        <v>#VALUE!:noResult:No valid cells found for operation.</v>
      </c>
      <c r="Q7" s="15" t="str">
        <f>#REF!</f>
        <v>#VALUE!:noResult:No valid cells found for operation.</v>
      </c>
      <c r="R7" s="15" t="str">
        <f>#REF!</f>
        <v>#VALUE!:noResult:No valid cells found for operation.</v>
      </c>
      <c r="S7" s="15" t="str">
        <f>#REF!</f>
        <v>#VALUE!:noResult:No valid cells found for operation.</v>
      </c>
      <c r="T7" s="15">
        <f>IF(Trans!R[32],"AAAAAH/fUhM=",0)</f>
        <v>0</v>
      </c>
      <c r="U7" s="15" t="b">
        <f>AND(Trans!A39,"AAAAAH/fUhQ=")</f>
        <v>1</v>
      </c>
      <c r="V7" s="15" t="str">
        <f>AND(Trans!B39,"AAAAAH/fUhU=")</f>
        <v>#VALUE!:noResult:No valid cells found for operation.</v>
      </c>
      <c r="W7" s="15" t="b">
        <f>AND(Trans!C39,"AAAAAH/fUhY=")</f>
        <v>1</v>
      </c>
      <c r="X7" s="15" t="b">
        <f>AND(Trans!D39,"AAAAAH/fUhc=")</f>
        <v>1</v>
      </c>
      <c r="Y7" s="15" t="str">
        <f>AND(Trans!E39,"AAAAAH/fUhg=")</f>
        <v>#VALUE!:noResult:No valid cells found for operation.</v>
      </c>
      <c r="Z7" s="15" t="str">
        <f>AND(Trans!F39,"AAAAAH/fUhk=")</f>
        <v>#VALUE!:noResult:No valid cells found for operation.</v>
      </c>
      <c r="AA7" s="15" t="str">
        <f>AND(Trans!G39,"AAAAAH/fUho=")</f>
        <v>#VALUE!:noResult:No valid cells found for operation.</v>
      </c>
      <c r="AB7" s="15" t="str">
        <f>#REF!</f>
        <v>#VALUE!:noResult:No valid cells found for operation.</v>
      </c>
      <c r="AC7" s="15" t="str">
        <f>AND(Trans!H39,"AAAAAH/fUhw=")</f>
        <v>#VALUE!:noResult:No valid cells found for operation.</v>
      </c>
      <c r="AD7" s="15" t="str">
        <f>#REF!</f>
        <v>#VALUE!:noResult:No valid cells found for operation.</v>
      </c>
      <c r="AE7" s="15" t="str">
        <f>#REF!</f>
        <v>#VALUE!:noResult:No valid cells found for operation.</v>
      </c>
      <c r="AF7" s="15" t="str">
        <f>#REF!</f>
        <v>#VALUE!:noResult:No valid cells found for operation.</v>
      </c>
      <c r="AG7" s="15" t="str">
        <f>#REF!</f>
        <v>#VALUE!:noResult:No valid cells found for operation.</v>
      </c>
      <c r="AH7" s="15" t="str">
        <f>#REF!</f>
        <v>#VALUE!:noResult:No valid cells found for operation.</v>
      </c>
      <c r="AI7" s="15" t="str">
        <f>#REF!</f>
        <v>#VALUE!:noResult:No valid cells found for operation.</v>
      </c>
      <c r="AJ7" s="15">
        <f>IF(Trans!R[33],"AAAAAH/fUiM=",0)</f>
        <v>0</v>
      </c>
      <c r="AK7" s="15" t="b">
        <f>AND(Trans!A40,"AAAAAH/fUiQ=")</f>
        <v>1</v>
      </c>
      <c r="AL7" s="15" t="str">
        <f>AND(Trans!B40,"AAAAAH/fUiU=")</f>
        <v>#VALUE!:noResult:No valid cells found for operation.</v>
      </c>
      <c r="AM7" s="15" t="b">
        <f>AND(Trans!C40,"AAAAAH/fUiY=")</f>
        <v>1</v>
      </c>
      <c r="AN7" s="15" t="b">
        <f>AND(Trans!D40,"AAAAAH/fUic=")</f>
        <v>1</v>
      </c>
      <c r="AO7" s="15" t="str">
        <f>AND(Trans!E40,"AAAAAH/fUig=")</f>
        <v>#VALUE!:noResult:No valid cells found for operation.</v>
      </c>
      <c r="AP7" s="15" t="str">
        <f>AND(Trans!F40,"AAAAAH/fUik=")</f>
        <v>#VALUE!:noResult:No valid cells found for operation.</v>
      </c>
      <c r="AQ7" s="15" t="str">
        <f>AND(Trans!G40,"AAAAAH/fUio=")</f>
        <v>#VALUE!:noResult:No valid cells found for operation.</v>
      </c>
      <c r="AR7" s="15" t="str">
        <f>#REF!</f>
        <v>#VALUE!:noResult:No valid cells found for operation.</v>
      </c>
      <c r="AS7" s="15" t="str">
        <f>AND(Trans!H40,"AAAAAH/fUiw=")</f>
        <v>#VALUE!:noResult:No valid cells found for operation.</v>
      </c>
      <c r="AT7" s="15" t="str">
        <f>#REF!</f>
        <v>#VALUE!:noResult:No valid cells found for operation.</v>
      </c>
      <c r="AU7" s="15" t="str">
        <f>#REF!</f>
        <v>#VALUE!:noResult:No valid cells found for operation.</v>
      </c>
      <c r="AV7" s="15" t="str">
        <f>#REF!</f>
        <v>#VALUE!:noResult:No valid cells found for operation.</v>
      </c>
      <c r="AW7" s="15" t="str">
        <f>#REF!</f>
        <v>#VALUE!:noResult:No valid cells found for operation.</v>
      </c>
      <c r="AX7" s="15" t="str">
        <f>#REF!</f>
        <v>#VALUE!:noResult:No valid cells found for operation.</v>
      </c>
      <c r="AY7" s="15" t="str">
        <f>#REF!</f>
        <v>#VALUE!:noResult:No valid cells found for operation.</v>
      </c>
      <c r="AZ7" s="15">
        <f>IF(Trans!R[34],"AAAAAH/fUjM=",0)</f>
        <v>0</v>
      </c>
      <c r="BA7" s="15" t="b">
        <f>AND(Trans!A41,"AAAAAH/fUjQ=")</f>
        <v>1</v>
      </c>
      <c r="BB7" s="15" t="str">
        <f>AND(Trans!B41,"AAAAAH/fUjU=")</f>
        <v>#VALUE!:noResult:No valid cells found for operation.</v>
      </c>
      <c r="BC7" s="15" t="b">
        <f>AND(Trans!C41,"AAAAAH/fUjY=")</f>
        <v>1</v>
      </c>
      <c r="BD7" s="15" t="b">
        <f>AND(Trans!D41,"AAAAAH/fUjc=")</f>
        <v>1</v>
      </c>
      <c r="BE7" s="15" t="str">
        <f>AND(Trans!E41,"AAAAAH/fUjg=")</f>
        <v>#VALUE!:noResult:No valid cells found for operation.</v>
      </c>
      <c r="BF7" s="15" t="str">
        <f>AND(Trans!F41,"AAAAAH/fUjk=")</f>
        <v>#VALUE!:noResult:No valid cells found for operation.</v>
      </c>
      <c r="BG7" s="15" t="str">
        <f>AND(Trans!G41,"AAAAAH/fUjo=")</f>
        <v>#VALUE!:noResult:No valid cells found for operation.</v>
      </c>
      <c r="BH7" s="15" t="str">
        <f>#REF!</f>
        <v>#VALUE!:noResult:No valid cells found for operation.</v>
      </c>
      <c r="BI7" s="15" t="str">
        <f>AND(Trans!H41,"AAAAAH/fUjw=")</f>
        <v>#VALUE!:noResult:No valid cells found for operation.</v>
      </c>
      <c r="BJ7" s="15" t="str">
        <f>#REF!</f>
        <v>#VALUE!:noResult:No valid cells found for operation.</v>
      </c>
      <c r="BK7" s="15" t="str">
        <f>#REF!</f>
        <v>#VALUE!:noResult:No valid cells found for operation.</v>
      </c>
      <c r="BL7" s="15" t="str">
        <f>#REF!</f>
        <v>#VALUE!:noResult:No valid cells found for operation.</v>
      </c>
      <c r="BM7" s="15" t="str">
        <f>#REF!</f>
        <v>#VALUE!:noResult:No valid cells found for operation.</v>
      </c>
      <c r="BN7" s="15" t="str">
        <f>#REF!</f>
        <v>#VALUE!:noResult:No valid cells found for operation.</v>
      </c>
      <c r="BO7" s="15" t="str">
        <f>#REF!</f>
        <v>#VALUE!:noResult:No valid cells found for operation.</v>
      </c>
      <c r="BP7" s="15">
        <f>IF(Trans!R[35],"AAAAAH/fUkM=",0)</f>
        <v>0</v>
      </c>
      <c r="BQ7" s="15" t="b">
        <f>AND(Trans!A42,"AAAAAH/fUkQ=")</f>
        <v>1</v>
      </c>
      <c r="BR7" s="15" t="str">
        <f>AND(Trans!B42,"AAAAAH/fUkU=")</f>
        <v>#VALUE!:noResult:No valid cells found for operation.</v>
      </c>
      <c r="BS7" s="15" t="b">
        <f>AND(Trans!C42,"AAAAAH/fUkY=")</f>
        <v>1</v>
      </c>
      <c r="BT7" s="15" t="b">
        <f>AND(Trans!D42,"AAAAAH/fUkc=")</f>
        <v>1</v>
      </c>
      <c r="BU7" s="15" t="str">
        <f>AND(Trans!E42,"AAAAAH/fUkg=")</f>
        <v>#VALUE!:noResult:No valid cells found for operation.</v>
      </c>
      <c r="BV7" s="15" t="str">
        <f>AND(Trans!F42,"AAAAAH/fUkk=")</f>
        <v>#VALUE!:noResult:No valid cells found for operation.</v>
      </c>
      <c r="BW7" s="15" t="str">
        <f>AND(Trans!G42,"AAAAAH/fUko=")</f>
        <v>#VALUE!:noResult:No valid cells found for operation.</v>
      </c>
      <c r="BX7" s="15" t="str">
        <f>#REF!</f>
        <v>#VALUE!:noResult:No valid cells found for operation.</v>
      </c>
      <c r="BY7" s="15" t="str">
        <f>AND(Trans!H42,"AAAAAH/fUkw=")</f>
        <v>#VALUE!:noResult:No valid cells found for operation.</v>
      </c>
      <c r="BZ7" s="15" t="str">
        <f>#REF!</f>
        <v>#VALUE!:noResult:No valid cells found for operation.</v>
      </c>
      <c r="CA7" s="15" t="str">
        <f>#REF!</f>
        <v>#VALUE!:noResult:No valid cells found for operation.</v>
      </c>
      <c r="CB7" s="15" t="str">
        <f>#REF!</f>
        <v>#VALUE!:noResult:No valid cells found for operation.</v>
      </c>
      <c r="CC7" s="15" t="str">
        <f>#REF!</f>
        <v>#VALUE!:noResult:No valid cells found for operation.</v>
      </c>
      <c r="CD7" s="15" t="str">
        <f>#REF!</f>
        <v>#VALUE!:noResult:No valid cells found for operation.</v>
      </c>
      <c r="CE7" s="15" t="str">
        <f>#REF!</f>
        <v>#VALUE!:noResult:No valid cells found for operation.</v>
      </c>
      <c r="CF7" s="15">
        <f>IF(Trans!R[36],"AAAAAH/fUlM=",0)</f>
        <v>0</v>
      </c>
      <c r="CG7" s="15" t="b">
        <f>AND(Trans!A43,"AAAAAH/fUlQ=")</f>
        <v>1</v>
      </c>
      <c r="CH7" s="15" t="str">
        <f>AND(Trans!B43,"AAAAAH/fUlU=")</f>
        <v>#VALUE!:noResult:No valid cells found for operation.</v>
      </c>
      <c r="CI7" s="15" t="b">
        <f>AND(Trans!C43,"AAAAAH/fUlY=")</f>
        <v>1</v>
      </c>
      <c r="CJ7" s="15" t="b">
        <f>AND(Trans!D43,"AAAAAH/fUlc=")</f>
        <v>1</v>
      </c>
      <c r="CK7" s="15" t="str">
        <f>AND(Trans!E43,"AAAAAH/fUlg=")</f>
        <v>#VALUE!:noResult:No valid cells found for operation.</v>
      </c>
      <c r="CL7" s="15" t="str">
        <f>AND(Trans!F43,"AAAAAH/fUlk=")</f>
        <v>#VALUE!:noResult:No valid cells found for operation.</v>
      </c>
      <c r="CM7" s="15" t="str">
        <f>AND(Trans!G43,"AAAAAH/fUlo=")</f>
        <v>#VALUE!:noResult:No valid cells found for operation.</v>
      </c>
      <c r="CN7" s="15" t="str">
        <f>#REF!</f>
        <v>#VALUE!:noResult:No valid cells found for operation.</v>
      </c>
      <c r="CO7" s="15" t="str">
        <f>AND(Trans!H43,"AAAAAH/fUlw=")</f>
        <v>#VALUE!:noResult:No valid cells found for operation.</v>
      </c>
      <c r="CP7" s="15" t="str">
        <f>#REF!</f>
        <v>#VALUE!:noResult:No valid cells found for operation.</v>
      </c>
      <c r="CQ7" s="15" t="str">
        <f>#REF!</f>
        <v>#VALUE!:noResult:No valid cells found for operation.</v>
      </c>
      <c r="CR7" s="15" t="str">
        <f>#REF!</f>
        <v>#VALUE!:noResult:No valid cells found for operation.</v>
      </c>
      <c r="CS7" s="15" t="str">
        <f>#REF!</f>
        <v>#VALUE!:noResult:No valid cells found for operation.</v>
      </c>
      <c r="CT7" s="15" t="str">
        <f>#REF!</f>
        <v>#VALUE!:noResult:No valid cells found for operation.</v>
      </c>
      <c r="CU7" s="15" t="str">
        <f>#REF!</f>
        <v>#VALUE!:noResult:No valid cells found for operation.</v>
      </c>
      <c r="CV7" s="15">
        <f>IF(Trans!R[37],"AAAAAH/fUmM=",0)</f>
        <v>0</v>
      </c>
      <c r="CW7" s="15" t="b">
        <f>AND(Trans!A44,"AAAAAH/fUmQ=")</f>
        <v>1</v>
      </c>
      <c r="CX7" s="15" t="str">
        <f>AND(Trans!B44,"AAAAAH/fUmU=")</f>
        <v>#VALUE!:noResult:No valid cells found for operation.</v>
      </c>
      <c r="CY7" s="15" t="b">
        <f>AND(Trans!C44,"AAAAAH/fUmY=")</f>
        <v>1</v>
      </c>
      <c r="CZ7" s="15" t="b">
        <f>AND(Trans!D44,"AAAAAH/fUmc=")</f>
        <v>1</v>
      </c>
      <c r="DA7" s="15" t="str">
        <f>AND(Trans!E44,"AAAAAH/fUmg=")</f>
        <v>#VALUE!:noResult:No valid cells found for operation.</v>
      </c>
      <c r="DB7" s="15" t="str">
        <f>AND(Trans!F44,"AAAAAH/fUmk=")</f>
        <v>#VALUE!:noResult:No valid cells found for operation.</v>
      </c>
      <c r="DC7" s="15" t="str">
        <f>AND(Trans!G44,"AAAAAH/fUmo=")</f>
        <v>#VALUE!:noResult:No valid cells found for operation.</v>
      </c>
      <c r="DD7" s="15" t="str">
        <f>#REF!</f>
        <v>#VALUE!:noResult:No valid cells found for operation.</v>
      </c>
      <c r="DE7" s="15" t="str">
        <f>AND(Trans!H44,"AAAAAH/fUmw=")</f>
        <v>#VALUE!:noResult:No valid cells found for operation.</v>
      </c>
      <c r="DF7" s="15" t="str">
        <f>#REF!</f>
        <v>#VALUE!:noResult:No valid cells found for operation.</v>
      </c>
      <c r="DG7" s="15" t="str">
        <f>#REF!</f>
        <v>#VALUE!:noResult:No valid cells found for operation.</v>
      </c>
      <c r="DH7" s="15" t="str">
        <f>#REF!</f>
        <v>#VALUE!:noResult:No valid cells found for operation.</v>
      </c>
      <c r="DI7" s="15" t="str">
        <f>#REF!</f>
        <v>#VALUE!:noResult:No valid cells found for operation.</v>
      </c>
      <c r="DJ7" s="15" t="str">
        <f>#REF!</f>
        <v>#VALUE!:noResult:No valid cells found for operation.</v>
      </c>
      <c r="DK7" s="15" t="str">
        <f>#REF!</f>
        <v>#VALUE!:noResult:No valid cells found for operation.</v>
      </c>
      <c r="DL7" s="15">
        <f>IF(Trans!R[38],"AAAAAH/fUnM=",0)</f>
        <v>0</v>
      </c>
      <c r="DM7" s="15" t="b">
        <f>AND(Trans!A45,"AAAAAH/fUnQ=")</f>
        <v>1</v>
      </c>
      <c r="DN7" s="15" t="str">
        <f>AND(Trans!B45,"AAAAAH/fUnU=")</f>
        <v>#VALUE!:noResult:No valid cells found for operation.</v>
      </c>
      <c r="DO7" s="15" t="b">
        <f>AND(Trans!C45,"AAAAAH/fUnY=")</f>
        <v>1</v>
      </c>
      <c r="DP7" s="15" t="b">
        <f>AND(Trans!D45,"AAAAAH/fUnc=")</f>
        <v>1</v>
      </c>
      <c r="DQ7" s="15" t="str">
        <f>AND(Trans!E45,"AAAAAH/fUng=")</f>
        <v>#VALUE!:noResult:No valid cells found for operation.</v>
      </c>
      <c r="DR7" s="15" t="str">
        <f>AND(Trans!F45,"AAAAAH/fUnk=")</f>
        <v>#VALUE!:noResult:No valid cells found for operation.</v>
      </c>
      <c r="DS7" s="15" t="str">
        <f>AND(Trans!G45,"AAAAAH/fUno=")</f>
        <v>#VALUE!:noResult:No valid cells found for operation.</v>
      </c>
      <c r="DT7" s="15" t="str">
        <f>#REF!</f>
        <v>#VALUE!:noResult:No valid cells found for operation.</v>
      </c>
      <c r="DU7" s="15" t="str">
        <f>AND(Trans!H45,"AAAAAH/fUnw=")</f>
        <v>#VALUE!:noResult:No valid cells found for operation.</v>
      </c>
      <c r="DV7" s="15" t="str">
        <f>#REF!</f>
        <v>#VALUE!:noResult:No valid cells found for operation.</v>
      </c>
      <c r="DW7" s="15" t="str">
        <f>#REF!</f>
        <v>#VALUE!:noResult:No valid cells found for operation.</v>
      </c>
      <c r="DX7" s="15" t="str">
        <f>#REF!</f>
        <v>#VALUE!:noResult:No valid cells found for operation.</v>
      </c>
      <c r="DY7" s="15" t="str">
        <f>#REF!</f>
        <v>#VALUE!:noResult:No valid cells found for operation.</v>
      </c>
      <c r="DZ7" s="15" t="str">
        <f>#REF!</f>
        <v>#VALUE!:noResult:No valid cells found for operation.</v>
      </c>
      <c r="EA7" s="15" t="str">
        <f>#REF!</f>
        <v>#VALUE!:noResult:No valid cells found for operation.</v>
      </c>
      <c r="EB7" s="15">
        <f>IF(Trans!R[39],"AAAAAH/fUoM=",0)</f>
        <v>0</v>
      </c>
      <c r="EC7" s="15" t="b">
        <f>AND(Trans!A46,"AAAAAH/fUoQ=")</f>
        <v>1</v>
      </c>
      <c r="ED7" s="15" t="str">
        <f>AND(Trans!B46,"AAAAAH/fUoU=")</f>
        <v>#VALUE!:noResult:No valid cells found for operation.</v>
      </c>
      <c r="EE7" s="15" t="b">
        <f>AND(Trans!C46,"AAAAAH/fUoY=")</f>
        <v>1</v>
      </c>
      <c r="EF7" s="15" t="b">
        <f>AND(Trans!D46,"AAAAAH/fUoc=")</f>
        <v>1</v>
      </c>
      <c r="EG7" s="15" t="str">
        <f>AND(Trans!E46,"AAAAAH/fUog=")</f>
        <v>#VALUE!:noResult:No valid cells found for operation.</v>
      </c>
      <c r="EH7" s="15" t="str">
        <f>AND(Trans!F46,"AAAAAH/fUok=")</f>
        <v>#VALUE!:noResult:No valid cells found for operation.</v>
      </c>
      <c r="EI7" s="15" t="str">
        <f>AND(Trans!G46,"AAAAAH/fUoo=")</f>
        <v>#VALUE!:noResult:No valid cells found for operation.</v>
      </c>
      <c r="EJ7" s="15" t="str">
        <f>#REF!</f>
        <v>#VALUE!:noResult:No valid cells found for operation.</v>
      </c>
      <c r="EK7" s="15" t="str">
        <f>AND(Trans!H46,"AAAAAH/fUow=")</f>
        <v>#VALUE!:noResult:No valid cells found for operation.</v>
      </c>
      <c r="EL7" s="15" t="str">
        <f>#REF!</f>
        <v>#VALUE!:noResult:No valid cells found for operation.</v>
      </c>
      <c r="EM7" s="15" t="str">
        <f>#REF!</f>
        <v>#VALUE!:noResult:No valid cells found for operation.</v>
      </c>
      <c r="EN7" s="15" t="str">
        <f>#REF!</f>
        <v>#VALUE!:noResult:No valid cells found for operation.</v>
      </c>
      <c r="EO7" s="15" t="str">
        <f>#REF!</f>
        <v>#VALUE!:noResult:No valid cells found for operation.</v>
      </c>
      <c r="EP7" s="15" t="str">
        <f>#REF!</f>
        <v>#VALUE!:noResult:No valid cells found for operation.</v>
      </c>
      <c r="EQ7" s="15" t="str">
        <f>#REF!</f>
        <v>#VALUE!:noResult:No valid cells found for operation.</v>
      </c>
      <c r="ER7" s="15">
        <f>IF(Trans!R[40],"AAAAAH/fUpM=",0)</f>
        <v>0</v>
      </c>
      <c r="ES7" s="15" t="b">
        <f>AND(Trans!A47,"AAAAAH/fUpQ=")</f>
        <v>1</v>
      </c>
      <c r="ET7" s="15" t="str">
        <f>AND(Trans!B47,"AAAAAH/fUpU=")</f>
        <v>#VALUE!:noResult:No valid cells found for operation.</v>
      </c>
      <c r="EU7" s="15" t="b">
        <f>AND(Trans!C47,"AAAAAH/fUpY=")</f>
        <v>1</v>
      </c>
      <c r="EV7" s="15" t="b">
        <f>AND(Trans!D47,"AAAAAH/fUpc=")</f>
        <v>1</v>
      </c>
      <c r="EW7" s="15" t="str">
        <f>AND(Trans!E47,"AAAAAH/fUpg=")</f>
        <v>#VALUE!:noResult:No valid cells found for operation.</v>
      </c>
      <c r="EX7" s="15" t="str">
        <f>AND(Trans!F47,"AAAAAH/fUpk=")</f>
        <v>#VALUE!:noResult:No valid cells found for operation.</v>
      </c>
      <c r="EY7" s="15" t="str">
        <f>AND(Trans!G47,"AAAAAH/fUpo=")</f>
        <v>#VALUE!:noResult:No valid cells found for operation.</v>
      </c>
      <c r="EZ7" s="15" t="str">
        <f>#REF!</f>
        <v>#VALUE!:noResult:No valid cells found for operation.</v>
      </c>
      <c r="FA7" s="15" t="str">
        <f>AND(Trans!H47,"AAAAAH/fUpw=")</f>
        <v>#VALUE!:noResult:No valid cells found for operation.</v>
      </c>
      <c r="FB7" s="15" t="str">
        <f>#REF!</f>
        <v>#VALUE!:noResult:No valid cells found for operation.</v>
      </c>
      <c r="FC7" s="15" t="str">
        <f>#REF!</f>
        <v>#VALUE!:noResult:No valid cells found for operation.</v>
      </c>
      <c r="FD7" s="15" t="str">
        <f>#REF!</f>
        <v>#VALUE!:noResult:No valid cells found for operation.</v>
      </c>
      <c r="FE7" s="15" t="str">
        <f>#REF!</f>
        <v>#VALUE!:noResult:No valid cells found for operation.</v>
      </c>
      <c r="FF7" s="15" t="str">
        <f>#REF!</f>
        <v>#VALUE!:noResult:No valid cells found for operation.</v>
      </c>
      <c r="FG7" s="15" t="str">
        <f>#REF!</f>
        <v>#VALUE!:noResult:No valid cells found for operation.</v>
      </c>
      <c r="FH7" s="15">
        <f>IF(Trans!R[41],"AAAAAH/fUqM=",0)</f>
        <v>0</v>
      </c>
      <c r="FI7" s="15" t="b">
        <f>AND(Trans!A48,"AAAAAH/fUqQ=")</f>
        <v>1</v>
      </c>
      <c r="FJ7" s="15" t="str">
        <f>AND(Trans!B48,"AAAAAH/fUqU=")</f>
        <v>#VALUE!:noResult:No valid cells found for operation.</v>
      </c>
      <c r="FK7" s="15" t="b">
        <f>AND(Trans!C48,"AAAAAH/fUqY=")</f>
        <v>1</v>
      </c>
      <c r="FL7" s="15" t="b">
        <f>AND(Trans!D48,"AAAAAH/fUqc=")</f>
        <v>1</v>
      </c>
      <c r="FM7" s="15" t="str">
        <f>AND(Trans!E48,"AAAAAH/fUqg=")</f>
        <v>#VALUE!:noResult:No valid cells found for operation.</v>
      </c>
      <c r="FN7" s="15" t="str">
        <f>AND(Trans!F48,"AAAAAH/fUqk=")</f>
        <v>#VALUE!:noResult:No valid cells found for operation.</v>
      </c>
      <c r="FO7" s="15" t="str">
        <f>AND(Trans!G48,"AAAAAH/fUqo=")</f>
        <v>#VALUE!:noResult:No valid cells found for operation.</v>
      </c>
      <c r="FP7" s="15" t="str">
        <f>#REF!</f>
        <v>#VALUE!:noResult:No valid cells found for operation.</v>
      </c>
      <c r="FQ7" s="15" t="str">
        <f>AND(Trans!H48,"AAAAAH/fUqw=")</f>
        <v>#VALUE!:noResult:No valid cells found for operation.</v>
      </c>
      <c r="FR7" s="15" t="str">
        <f>#REF!</f>
        <v>#VALUE!:noResult:No valid cells found for operation.</v>
      </c>
      <c r="FS7" s="15" t="str">
        <f>#REF!</f>
        <v>#VALUE!:noResult:No valid cells found for operation.</v>
      </c>
      <c r="FT7" s="15" t="str">
        <f>#REF!</f>
        <v>#VALUE!:noResult:No valid cells found for operation.</v>
      </c>
      <c r="FU7" s="15" t="str">
        <f>#REF!</f>
        <v>#VALUE!:noResult:No valid cells found for operation.</v>
      </c>
      <c r="FV7" s="15" t="str">
        <f>#REF!</f>
        <v>#VALUE!:noResult:No valid cells found for operation.</v>
      </c>
      <c r="FW7" s="15" t="str">
        <f>#REF!</f>
        <v>#VALUE!:noResult:No valid cells found for operation.</v>
      </c>
      <c r="FX7" s="15">
        <f>IF(Trans!R[42],"AAAAAH/fUrM=",0)</f>
        <v>0</v>
      </c>
      <c r="FY7" s="15" t="b">
        <f>AND(Trans!A49,"AAAAAH/fUrQ=")</f>
        <v>1</v>
      </c>
      <c r="FZ7" s="15" t="str">
        <f>AND(Trans!B49,"AAAAAH/fUrU=")</f>
        <v>#VALUE!:noResult:No valid cells found for operation.</v>
      </c>
      <c r="GA7" s="15" t="b">
        <f>AND(Trans!C49,"AAAAAH/fUrY=")</f>
        <v>1</v>
      </c>
      <c r="GB7" s="15" t="b">
        <f>AND(Trans!D49,"AAAAAH/fUrc=")</f>
        <v>1</v>
      </c>
      <c r="GC7" s="15" t="str">
        <f>AND(Trans!E49,"AAAAAH/fUrg=")</f>
        <v>#VALUE!:noResult:No valid cells found for operation.</v>
      </c>
      <c r="GD7" s="15" t="str">
        <f>AND(Trans!F49,"AAAAAH/fUrk=")</f>
        <v>#VALUE!:noResult:No valid cells found for operation.</v>
      </c>
      <c r="GE7" s="15" t="str">
        <f>AND(Trans!G49,"AAAAAH/fUro=")</f>
        <v>#VALUE!:noResult:No valid cells found for operation.</v>
      </c>
      <c r="GF7" s="15" t="str">
        <f>#REF!</f>
        <v>#VALUE!:noResult:No valid cells found for operation.</v>
      </c>
      <c r="GG7" s="15" t="str">
        <f>AND(Trans!H49,"AAAAAH/fUrw=")</f>
        <v>#VALUE!:noResult:No valid cells found for operation.</v>
      </c>
      <c r="GH7" s="15" t="str">
        <f>#REF!</f>
        <v>#VALUE!:noResult:No valid cells found for operation.</v>
      </c>
      <c r="GI7" s="15" t="str">
        <f>#REF!</f>
        <v>#VALUE!:noResult:No valid cells found for operation.</v>
      </c>
      <c r="GJ7" s="15" t="str">
        <f>#REF!</f>
        <v>#VALUE!:noResult:No valid cells found for operation.</v>
      </c>
      <c r="GK7" s="15" t="str">
        <f>#REF!</f>
        <v>#VALUE!:noResult:No valid cells found for operation.</v>
      </c>
      <c r="GL7" s="15" t="str">
        <f>#REF!</f>
        <v>#VALUE!:noResult:No valid cells found for operation.</v>
      </c>
      <c r="GM7" s="15" t="str">
        <f>#REF!</f>
        <v>#VALUE!:noResult:No valid cells found for operation.</v>
      </c>
      <c r="GN7" s="15">
        <f>IF(Trans!R[43],"AAAAAH/fUsM=",0)</f>
        <v>0</v>
      </c>
      <c r="GO7" s="15" t="b">
        <f>AND(Trans!A50,"AAAAAH/fUsQ=")</f>
        <v>1</v>
      </c>
      <c r="GP7" s="15" t="str">
        <f>AND(Trans!B50,"AAAAAH/fUsU=")</f>
        <v>#VALUE!:noResult:No valid cells found for operation.</v>
      </c>
      <c r="GQ7" s="15" t="b">
        <f>AND(Trans!C50,"AAAAAH/fUsY=")</f>
        <v>1</v>
      </c>
      <c r="GR7" s="15" t="b">
        <f>AND(Trans!D50,"AAAAAH/fUsc=")</f>
        <v>1</v>
      </c>
      <c r="GS7" s="15" t="str">
        <f>AND(Trans!E50,"AAAAAH/fUsg=")</f>
        <v>#VALUE!:noResult:No valid cells found for operation.</v>
      </c>
      <c r="GT7" s="15" t="str">
        <f>AND(Trans!F50,"AAAAAH/fUsk=")</f>
        <v>#VALUE!:noResult:No valid cells found for operation.</v>
      </c>
      <c r="GU7" s="15" t="str">
        <f>AND(Trans!G50,"AAAAAH/fUso=")</f>
        <v>#VALUE!:noResult:No valid cells found for operation.</v>
      </c>
      <c r="GV7" s="15" t="str">
        <f>#REF!</f>
        <v>#VALUE!:noResult:No valid cells found for operation.</v>
      </c>
      <c r="GW7" s="15" t="str">
        <f>AND(Trans!H50,"AAAAAH/fUsw=")</f>
        <v>#VALUE!:noResult:No valid cells found for operation.</v>
      </c>
      <c r="GX7" s="15" t="str">
        <f>#REF!</f>
        <v>#VALUE!:noResult:No valid cells found for operation.</v>
      </c>
      <c r="GY7" s="15" t="str">
        <f>#REF!</f>
        <v>#VALUE!:noResult:No valid cells found for operation.</v>
      </c>
      <c r="GZ7" s="15" t="str">
        <f>#REF!</f>
        <v>#VALUE!:noResult:No valid cells found for operation.</v>
      </c>
      <c r="HA7" s="15" t="str">
        <f>#REF!</f>
        <v>#VALUE!:noResult:No valid cells found for operation.</v>
      </c>
      <c r="HB7" s="15" t="str">
        <f>#REF!</f>
        <v>#VALUE!:noResult:No valid cells found for operation.</v>
      </c>
      <c r="HC7" s="15" t="str">
        <f>#REF!</f>
        <v>#VALUE!:noResult:No valid cells found for operation.</v>
      </c>
      <c r="HD7" s="15">
        <f>IF(Trans!R[44],"AAAAAH/fUtM=",0)</f>
        <v>0</v>
      </c>
      <c r="HE7" s="15" t="b">
        <f>AND(Trans!A51,"AAAAAH/fUtQ=")</f>
        <v>1</v>
      </c>
      <c r="HF7" s="15" t="str">
        <f>AND(Trans!B51,"AAAAAH/fUtU=")</f>
        <v>#VALUE!:noResult:No valid cells found for operation.</v>
      </c>
      <c r="HG7" s="15" t="b">
        <f>AND(Trans!C51,"AAAAAH/fUtY=")</f>
        <v>1</v>
      </c>
      <c r="HH7" s="15" t="b">
        <f>AND(Trans!D51,"AAAAAH/fUtc=")</f>
        <v>1</v>
      </c>
      <c r="HI7" s="15" t="str">
        <f>AND(Trans!E51,"AAAAAH/fUtg=")</f>
        <v>#VALUE!:noResult:No valid cells found for operation.</v>
      </c>
      <c r="HJ7" s="15" t="str">
        <f>AND(Trans!F51,"AAAAAH/fUtk=")</f>
        <v>#VALUE!:noResult:No valid cells found for operation.</v>
      </c>
      <c r="HK7" s="15" t="str">
        <f>AND(Trans!G51,"AAAAAH/fUto=")</f>
        <v>#VALUE!:noResult:No valid cells found for operation.</v>
      </c>
      <c r="HL7" s="15" t="str">
        <f>#REF!</f>
        <v>#VALUE!:noResult:No valid cells found for operation.</v>
      </c>
      <c r="HM7" s="15" t="str">
        <f>AND(Trans!H51,"AAAAAH/fUtw=")</f>
        <v>#VALUE!:noResult:No valid cells found for operation.</v>
      </c>
      <c r="HN7" s="15" t="str">
        <f>#REF!</f>
        <v>#VALUE!:noResult:No valid cells found for operation.</v>
      </c>
      <c r="HO7" s="15" t="str">
        <f>#REF!</f>
        <v>#VALUE!:noResult:No valid cells found for operation.</v>
      </c>
      <c r="HP7" s="15" t="str">
        <f>#REF!</f>
        <v>#VALUE!:noResult:No valid cells found for operation.</v>
      </c>
      <c r="HQ7" s="15" t="str">
        <f>#REF!</f>
        <v>#VALUE!:noResult:No valid cells found for operation.</v>
      </c>
      <c r="HR7" s="15" t="str">
        <f>#REF!</f>
        <v>#VALUE!:noResult:No valid cells found for operation.</v>
      </c>
      <c r="HS7" s="15" t="str">
        <f>#REF!</f>
        <v>#VALUE!:noResult:No valid cells found for operation.</v>
      </c>
      <c r="HT7" s="15">
        <f>IF(Trans!R[45],"AAAAAH/fUuM=",0)</f>
        <v>0</v>
      </c>
      <c r="HU7" s="15" t="b">
        <f>AND(Trans!A52,"AAAAAH/fUuQ=")</f>
        <v>1</v>
      </c>
      <c r="HV7" s="15" t="str">
        <f>AND(Trans!B52,"AAAAAH/fUuU=")</f>
        <v>#VALUE!:noResult:No valid cells found for operation.</v>
      </c>
      <c r="HW7" s="15" t="b">
        <f>AND(Trans!C52,"AAAAAH/fUuY=")</f>
        <v>1</v>
      </c>
      <c r="HX7" s="15" t="b">
        <f>AND(Trans!D52,"AAAAAH/fUuc=")</f>
        <v>1</v>
      </c>
      <c r="HY7" s="15" t="str">
        <f>AND(Trans!E52,"AAAAAH/fUug=")</f>
        <v>#VALUE!:noResult:No valid cells found for operation.</v>
      </c>
      <c r="HZ7" s="15" t="str">
        <f>AND(Trans!F52,"AAAAAH/fUuk=")</f>
        <v>#VALUE!:noResult:No valid cells found for operation.</v>
      </c>
      <c r="IA7" s="15" t="str">
        <f>AND(Trans!G52,"AAAAAH/fUuo=")</f>
        <v>#VALUE!:noResult:No valid cells found for operation.</v>
      </c>
      <c r="IB7" s="15" t="str">
        <f>#REF!</f>
        <v>#VALUE!:noResult:No valid cells found for operation.</v>
      </c>
      <c r="IC7" s="15" t="str">
        <f>AND(Trans!H52,"AAAAAH/fUuw=")</f>
        <v>#VALUE!:noResult:No valid cells found for operation.</v>
      </c>
      <c r="ID7" s="15" t="str">
        <f>#REF!</f>
        <v>#VALUE!:noResult:No valid cells found for operation.</v>
      </c>
      <c r="IE7" s="15" t="str">
        <f>#REF!</f>
        <v>#VALUE!:noResult:No valid cells found for operation.</v>
      </c>
      <c r="IF7" s="15" t="str">
        <f>#REF!</f>
        <v>#VALUE!:noResult:No valid cells found for operation.</v>
      </c>
      <c r="IG7" s="15" t="str">
        <f>#REF!</f>
        <v>#VALUE!:noResult:No valid cells found for operation.</v>
      </c>
      <c r="IH7" s="15" t="str">
        <f>#REF!</f>
        <v>#VALUE!:noResult:No valid cells found for operation.</v>
      </c>
      <c r="II7" s="15" t="str">
        <f>#REF!</f>
        <v>#VALUE!:noResult:No valid cells found for operation.</v>
      </c>
      <c r="IJ7" s="15">
        <f>IF(Trans!R[46],"AAAAAH/fUvM=",0)</f>
        <v>0</v>
      </c>
      <c r="IK7" s="15" t="b">
        <f>AND(Trans!A53,"AAAAAH/fUvQ=")</f>
        <v>1</v>
      </c>
      <c r="IL7" s="15" t="str">
        <f>AND(Trans!B53,"AAAAAH/fUvU=")</f>
        <v>#VALUE!:noResult:No valid cells found for operation.</v>
      </c>
      <c r="IM7" s="15" t="b">
        <f>AND(Trans!C53,"AAAAAH/fUvY=")</f>
        <v>1</v>
      </c>
      <c r="IN7" s="15" t="b">
        <f>AND(Trans!D53,"AAAAAH/fUvc=")</f>
        <v>1</v>
      </c>
      <c r="IO7" s="15" t="str">
        <f>AND(Trans!E53,"AAAAAH/fUvg=")</f>
        <v>#VALUE!:noResult:No valid cells found for operation.</v>
      </c>
      <c r="IP7" s="15" t="str">
        <f>AND(Trans!F53,"AAAAAH/fUvk=")</f>
        <v>#VALUE!:noResult:No valid cells found for operation.</v>
      </c>
      <c r="IQ7" s="15" t="str">
        <f>AND(Trans!G53,"AAAAAH/fUvo=")</f>
        <v>#VALUE!:noResult:No valid cells found for operation.</v>
      </c>
      <c r="IR7" s="15" t="str">
        <f>#REF!</f>
        <v>#VALUE!:noResult:No valid cells found for operation.</v>
      </c>
      <c r="IS7" s="15" t="str">
        <f>AND(Trans!H53,"AAAAAH/fUvw=")</f>
        <v>#VALUE!:noResult:No valid cells found for operation.</v>
      </c>
      <c r="IT7" s="15" t="str">
        <f>#REF!</f>
        <v>#VALUE!:noResult:No valid cells found for operation.</v>
      </c>
      <c r="IU7" s="15" t="str">
        <f>#REF!</f>
        <v>#VALUE!:noResult:No valid cells found for operation.</v>
      </c>
      <c r="IV7" s="15" t="str">
        <f>#REF!</f>
        <v>#VALUE!:noResult:No valid cells found for operation.</v>
      </c>
    </row>
    <row r="8">
      <c r="A8" s="15" t="str">
        <f>#REF!</f>
        <v>#VALUE!:noResult:No valid cells found for operation.</v>
      </c>
      <c r="B8" s="15" t="str">
        <f>#REF!</f>
        <v>#VALUE!:noResult:No valid cells found for operation.</v>
      </c>
      <c r="C8" s="15" t="str">
        <f>#REF!</f>
        <v>#VALUE!:noResult:No valid cells found for operation.</v>
      </c>
      <c r="D8" s="15" t="str">
        <f>IF(Trans!R[46],"AAAAAHvXvgM=",0)</f>
        <v>AAAAAHvXvgM=</v>
      </c>
      <c r="E8" s="15" t="b">
        <f>AND(Trans!A54,"AAAAAHvXvgQ=")</f>
        <v>1</v>
      </c>
      <c r="F8" s="15" t="str">
        <f>AND(Trans!B54,"AAAAAHvXvgU=")</f>
        <v>#VALUE!:noResult:No valid cells found for operation.</v>
      </c>
      <c r="G8" s="15" t="b">
        <f>AND(Trans!C54,"AAAAAHvXvgY=")</f>
        <v>1</v>
      </c>
      <c r="H8" s="15" t="b">
        <f>AND(Trans!D54,"AAAAAHvXvgc=")</f>
        <v>1</v>
      </c>
      <c r="I8" s="15" t="str">
        <f>AND(Trans!E54,"AAAAAHvXvgg=")</f>
        <v>#VALUE!:noResult:No valid cells found for operation.</v>
      </c>
      <c r="J8" s="15" t="str">
        <f>AND(Trans!F54,"AAAAAHvXvgk=")</f>
        <v>#VALUE!:noResult:No valid cells found for operation.</v>
      </c>
      <c r="K8" s="15" t="str">
        <f>AND(Trans!G54,"AAAAAHvXvgo=")</f>
        <v>#VALUE!:noResult:No valid cells found for operation.</v>
      </c>
      <c r="L8" s="15" t="str">
        <f>#REF!</f>
        <v>#VALUE!:noResult:No valid cells found for operation.</v>
      </c>
      <c r="M8" s="15" t="str">
        <f>AND(Trans!H54,"AAAAAHvXvgw=")</f>
        <v>#VALUE!:noResult:No valid cells found for operation.</v>
      </c>
      <c r="N8" s="15" t="str">
        <f>#REF!</f>
        <v>#VALUE!:noResult:No valid cells found for operation.</v>
      </c>
      <c r="O8" s="15" t="str">
        <f>#REF!</f>
        <v>#VALUE!:noResult:No valid cells found for operation.</v>
      </c>
      <c r="P8" s="15" t="str">
        <f>#REF!</f>
        <v>#VALUE!:noResult:No valid cells found for operation.</v>
      </c>
      <c r="Q8" s="15" t="str">
        <f>#REF!</f>
        <v>#VALUE!:noResult:No valid cells found for operation.</v>
      </c>
      <c r="R8" s="15" t="str">
        <f>#REF!</f>
        <v>#VALUE!:noResult:No valid cells found for operation.</v>
      </c>
      <c r="S8" s="15" t="str">
        <f>#REF!</f>
        <v>#VALUE!:noResult:No valid cells found for operation.</v>
      </c>
      <c r="T8" s="15">
        <f>IF(Trans!R[47],"AAAAAHvXvhM=",0)</f>
        <v>0</v>
      </c>
      <c r="U8" s="15" t="b">
        <f>AND(Trans!A55,"AAAAAHvXvhQ=")</f>
        <v>1</v>
      </c>
      <c r="V8" s="15" t="str">
        <f>AND(Trans!B55,"AAAAAHvXvhU=")</f>
        <v>#VALUE!:noResult:No valid cells found for operation.</v>
      </c>
      <c r="W8" s="15" t="b">
        <f>AND(Trans!C55,"AAAAAHvXvhY=")</f>
        <v>1</v>
      </c>
      <c r="X8" s="15" t="b">
        <f>AND(Trans!D55,"AAAAAHvXvhc=")</f>
        <v>1</v>
      </c>
      <c r="Y8" s="15" t="str">
        <f>AND(Trans!E55,"AAAAAHvXvhg=")</f>
        <v>#VALUE!:noResult:No valid cells found for operation.</v>
      </c>
      <c r="Z8" s="15" t="str">
        <f>AND(Trans!F55,"AAAAAHvXvhk=")</f>
        <v>#VALUE!:noResult:No valid cells found for operation.</v>
      </c>
      <c r="AA8" s="15" t="str">
        <f>AND(Trans!G55,"AAAAAHvXvho=")</f>
        <v>#VALUE!:noResult:No valid cells found for operation.</v>
      </c>
      <c r="AB8" s="15" t="str">
        <f>#REF!</f>
        <v>#VALUE!:noResult:No valid cells found for operation.</v>
      </c>
      <c r="AC8" s="15" t="str">
        <f>AND(Trans!H55,"AAAAAHvXvhw=")</f>
        <v>#VALUE!:noResult:No valid cells found for operation.</v>
      </c>
      <c r="AD8" s="15" t="str">
        <f>#REF!</f>
        <v>#VALUE!:noResult:No valid cells found for operation.</v>
      </c>
      <c r="AE8" s="15" t="str">
        <f>#REF!</f>
        <v>#VALUE!:noResult:No valid cells found for operation.</v>
      </c>
      <c r="AF8" s="15" t="str">
        <f>#REF!</f>
        <v>#VALUE!:noResult:No valid cells found for operation.</v>
      </c>
      <c r="AG8" s="15" t="str">
        <f>#REF!</f>
        <v>#VALUE!:noResult:No valid cells found for operation.</v>
      </c>
      <c r="AH8" s="15" t="str">
        <f>#REF!</f>
        <v>#VALUE!:noResult:No valid cells found for operation.</v>
      </c>
      <c r="AI8" s="15" t="str">
        <f>#REF!</f>
        <v>#VALUE!:noResult:No valid cells found for operation.</v>
      </c>
      <c r="AJ8" s="15">
        <f>IF(Trans!R[48],"AAAAAHvXviM=",0)</f>
        <v>0</v>
      </c>
      <c r="AK8" s="15" t="b">
        <f>AND(Trans!A56,"AAAAAHvXviQ=")</f>
        <v>1</v>
      </c>
      <c r="AL8" s="15" t="str">
        <f>AND(Trans!B56,"AAAAAHvXviU=")</f>
        <v>#VALUE!:noResult:No valid cells found for operation.</v>
      </c>
      <c r="AM8" s="15" t="b">
        <f>AND(Trans!C56,"AAAAAHvXviY=")</f>
        <v>1</v>
      </c>
      <c r="AN8" s="15" t="b">
        <f>AND(Trans!D56,"AAAAAHvXvic=")</f>
        <v>1</v>
      </c>
      <c r="AO8" s="15" t="str">
        <f>AND(Trans!E56,"AAAAAHvXvig=")</f>
        <v>#VALUE!:noResult:No valid cells found for operation.</v>
      </c>
      <c r="AP8" s="15" t="str">
        <f>AND(Trans!F56,"AAAAAHvXvik=")</f>
        <v>#VALUE!:noResult:No valid cells found for operation.</v>
      </c>
      <c r="AQ8" s="15" t="str">
        <f>AND(Trans!G56,"AAAAAHvXvio=")</f>
        <v>#VALUE!:noResult:No valid cells found for operation.</v>
      </c>
      <c r="AR8" s="15" t="str">
        <f>#REF!</f>
        <v>#VALUE!:noResult:No valid cells found for operation.</v>
      </c>
      <c r="AS8" s="15" t="str">
        <f>AND(Trans!H56,"AAAAAHvXviw=")</f>
        <v>#VALUE!:noResult:No valid cells found for operation.</v>
      </c>
      <c r="AT8" s="15" t="str">
        <f>#REF!</f>
        <v>#VALUE!:noResult:No valid cells found for operation.</v>
      </c>
      <c r="AU8" s="15" t="str">
        <f>#REF!</f>
        <v>#VALUE!:noResult:No valid cells found for operation.</v>
      </c>
      <c r="AV8" s="15" t="str">
        <f>#REF!</f>
        <v>#VALUE!:noResult:No valid cells found for operation.</v>
      </c>
      <c r="AW8" s="15" t="str">
        <f>#REF!</f>
        <v>#VALUE!:noResult:No valid cells found for operation.</v>
      </c>
      <c r="AX8" s="15" t="str">
        <f>#REF!</f>
        <v>#VALUE!:noResult:No valid cells found for operation.</v>
      </c>
      <c r="AY8" s="15" t="str">
        <f>#REF!</f>
        <v>#VALUE!:noResult:No valid cells found for operation.</v>
      </c>
      <c r="AZ8" s="15">
        <f>IF(Trans!R[49],"AAAAAHvXvjM=",0)</f>
        <v>0</v>
      </c>
      <c r="BA8" s="15" t="b">
        <f>AND(Trans!A57,"AAAAAHvXvjQ=")</f>
        <v>1</v>
      </c>
      <c r="BB8" s="15" t="str">
        <f>AND(Trans!B57,"AAAAAHvXvjU=")</f>
        <v>#VALUE!:noResult:No valid cells found for operation.</v>
      </c>
      <c r="BC8" s="15" t="b">
        <f>AND(Trans!C57,"AAAAAHvXvjY=")</f>
        <v>1</v>
      </c>
      <c r="BD8" s="15" t="b">
        <f>AND(Trans!D57,"AAAAAHvXvjc=")</f>
        <v>1</v>
      </c>
      <c r="BE8" s="15" t="str">
        <f>AND(Trans!E57,"AAAAAHvXvjg=")</f>
        <v>#VALUE!:noResult:No valid cells found for operation.</v>
      </c>
      <c r="BF8" s="15" t="str">
        <f>AND(Trans!F57,"AAAAAHvXvjk=")</f>
        <v>#VALUE!:noResult:No valid cells found for operation.</v>
      </c>
      <c r="BG8" s="15" t="str">
        <f>AND(Trans!G57,"AAAAAHvXvjo=")</f>
        <v>#VALUE!:noResult:No valid cells found for operation.</v>
      </c>
      <c r="BH8" s="15" t="str">
        <f>#REF!</f>
        <v>#VALUE!:noResult:No valid cells found for operation.</v>
      </c>
      <c r="BI8" s="15" t="str">
        <f>AND(Trans!H57,"AAAAAHvXvjw=")</f>
        <v>#VALUE!:noResult:No valid cells found for operation.</v>
      </c>
      <c r="BJ8" s="15" t="str">
        <f>#REF!</f>
        <v>#VALUE!:noResult:No valid cells found for operation.</v>
      </c>
      <c r="BK8" s="15" t="str">
        <f>#REF!</f>
        <v>#VALUE!:noResult:No valid cells found for operation.</v>
      </c>
      <c r="BL8" s="15" t="str">
        <f>#REF!</f>
        <v>#VALUE!:noResult:No valid cells found for operation.</v>
      </c>
      <c r="BM8" s="15" t="str">
        <f>#REF!</f>
        <v>#VALUE!:noResult:No valid cells found for operation.</v>
      </c>
      <c r="BN8" s="15" t="str">
        <f>#REF!</f>
        <v>#VALUE!:noResult:No valid cells found for operation.</v>
      </c>
      <c r="BO8" s="15" t="str">
        <f>#REF!</f>
        <v>#VALUE!:noResult:No valid cells found for operation.</v>
      </c>
      <c r="BP8" s="15">
        <f>IF(Trans!R[50],"AAAAAHvXvkM=",0)</f>
        <v>0</v>
      </c>
      <c r="BQ8" s="15" t="b">
        <f>AND(Trans!A58,"AAAAAHvXvkQ=")</f>
        <v>1</v>
      </c>
      <c r="BR8" s="15" t="str">
        <f>AND(Trans!B58,"AAAAAHvXvkU=")</f>
        <v>#VALUE!:noResult:No valid cells found for operation.</v>
      </c>
      <c r="BS8" s="15" t="b">
        <f>AND(Trans!C58,"AAAAAHvXvkY=")</f>
        <v>1</v>
      </c>
      <c r="BT8" s="15" t="b">
        <f>AND(Trans!D58,"AAAAAHvXvkc=")</f>
        <v>1</v>
      </c>
      <c r="BU8" s="15" t="str">
        <f>AND(Trans!E58,"AAAAAHvXvkg=")</f>
        <v>#VALUE!:noResult:No valid cells found for operation.</v>
      </c>
      <c r="BV8" s="15" t="str">
        <f>AND(Trans!F58,"AAAAAHvXvkk=")</f>
        <v>#VALUE!:noResult:No valid cells found for operation.</v>
      </c>
      <c r="BW8" s="15" t="str">
        <f>AND(Trans!G58,"AAAAAHvXvko=")</f>
        <v>#VALUE!:noResult:No valid cells found for operation.</v>
      </c>
      <c r="BX8" s="15" t="str">
        <f>#REF!</f>
        <v>#VALUE!:noResult:No valid cells found for operation.</v>
      </c>
      <c r="BY8" s="15" t="str">
        <f>AND(Trans!H58,"AAAAAHvXvkw=")</f>
        <v>#VALUE!:noResult:No valid cells found for operation.</v>
      </c>
      <c r="BZ8" s="15" t="str">
        <f>#REF!</f>
        <v>#VALUE!:noResult:No valid cells found for operation.</v>
      </c>
      <c r="CA8" s="15" t="str">
        <f>#REF!</f>
        <v>#VALUE!:noResult:No valid cells found for operation.</v>
      </c>
      <c r="CB8" s="15" t="str">
        <f>#REF!</f>
        <v>#VALUE!:noResult:No valid cells found for operation.</v>
      </c>
      <c r="CC8" s="15" t="str">
        <f>#REF!</f>
        <v>#VALUE!:noResult:No valid cells found for operation.</v>
      </c>
      <c r="CD8" s="15" t="str">
        <f>#REF!</f>
        <v>#VALUE!:noResult:No valid cells found for operation.</v>
      </c>
      <c r="CE8" s="15" t="str">
        <f>#REF!</f>
        <v>#VALUE!:noResult:No valid cells found for operation.</v>
      </c>
      <c r="CF8" s="15">
        <f>IF(Trans!R[51],"AAAAAHvXvlM=",0)</f>
        <v>0</v>
      </c>
      <c r="CG8" s="15" t="b">
        <f>AND(Trans!A59,"AAAAAHvXvlQ=")</f>
        <v>1</v>
      </c>
      <c r="CH8" s="15" t="str">
        <f>AND(Trans!B59,"AAAAAHvXvlU=")</f>
        <v>#VALUE!:noResult:No valid cells found for operation.</v>
      </c>
      <c r="CI8" s="15" t="b">
        <f>AND(Trans!C59,"AAAAAHvXvlY=")</f>
        <v>1</v>
      </c>
      <c r="CJ8" s="15" t="b">
        <f>AND(Trans!D59,"AAAAAHvXvlc=")</f>
        <v>1</v>
      </c>
      <c r="CK8" s="15" t="str">
        <f>AND(Trans!E59,"AAAAAHvXvlg=")</f>
        <v>#VALUE!:noResult:No valid cells found for operation.</v>
      </c>
      <c r="CL8" s="15" t="str">
        <f>AND(Trans!F59,"AAAAAHvXvlk=")</f>
        <v>#VALUE!:noResult:No valid cells found for operation.</v>
      </c>
      <c r="CM8" s="15" t="str">
        <f>AND(Trans!G59,"AAAAAHvXvlo=")</f>
        <v>#VALUE!:noResult:No valid cells found for operation.</v>
      </c>
      <c r="CN8" s="15" t="str">
        <f>#REF!</f>
        <v>#VALUE!:noResult:No valid cells found for operation.</v>
      </c>
      <c r="CO8" s="15" t="str">
        <f>AND(Trans!H59,"AAAAAHvXvlw=")</f>
        <v>#VALUE!:noResult:No valid cells found for operation.</v>
      </c>
      <c r="CP8" s="15" t="str">
        <f>#REF!</f>
        <v>#VALUE!:noResult:No valid cells found for operation.</v>
      </c>
      <c r="CQ8" s="15" t="str">
        <f>#REF!</f>
        <v>#VALUE!:noResult:No valid cells found for operation.</v>
      </c>
      <c r="CR8" s="15" t="str">
        <f>#REF!</f>
        <v>#VALUE!:noResult:No valid cells found for operation.</v>
      </c>
      <c r="CS8" s="15" t="str">
        <f>#REF!</f>
        <v>#VALUE!:noResult:No valid cells found for operation.</v>
      </c>
      <c r="CT8" s="15" t="str">
        <f>#REF!</f>
        <v>#VALUE!:noResult:No valid cells found for operation.</v>
      </c>
      <c r="CU8" s="15" t="str">
        <f>#REF!</f>
        <v>#VALUE!:noResult:No valid cells found for operation.</v>
      </c>
      <c r="CV8" s="15">
        <f>IF(Trans!R[52],"AAAAAHvXvmM=",0)</f>
        <v>0</v>
      </c>
      <c r="CW8" s="15" t="b">
        <f>AND(Trans!A60,"AAAAAHvXvmQ=")</f>
        <v>1</v>
      </c>
      <c r="CX8" s="15" t="str">
        <f>AND(Trans!B60,"AAAAAHvXvmU=")</f>
        <v>#VALUE!:noResult:No valid cells found for operation.</v>
      </c>
      <c r="CY8" s="15" t="b">
        <f>AND(Trans!C60,"AAAAAHvXvmY=")</f>
        <v>1</v>
      </c>
      <c r="CZ8" s="15" t="b">
        <f>AND(Trans!D60,"AAAAAHvXvmc=")</f>
        <v>1</v>
      </c>
      <c r="DA8" s="15" t="str">
        <f>AND(Trans!E60,"AAAAAHvXvmg=")</f>
        <v>#VALUE!:noResult:No valid cells found for operation.</v>
      </c>
      <c r="DB8" s="15" t="str">
        <f>AND(Trans!F60,"AAAAAHvXvmk=")</f>
        <v>#VALUE!:noResult:No valid cells found for operation.</v>
      </c>
      <c r="DC8" s="15" t="str">
        <f>AND(Trans!G60,"AAAAAHvXvmo=")</f>
        <v>#VALUE!:noResult:No valid cells found for operation.</v>
      </c>
      <c r="DD8" s="15" t="str">
        <f>#REF!</f>
        <v>#VALUE!:noResult:No valid cells found for operation.</v>
      </c>
      <c r="DE8" s="15" t="str">
        <f>AND(Trans!H60,"AAAAAHvXvmw=")</f>
        <v>#VALUE!:noResult:No valid cells found for operation.</v>
      </c>
      <c r="DF8" s="15" t="str">
        <f>#REF!</f>
        <v>#VALUE!:noResult:No valid cells found for operation.</v>
      </c>
      <c r="DG8" s="15" t="str">
        <f>#REF!</f>
        <v>#VALUE!:noResult:No valid cells found for operation.</v>
      </c>
      <c r="DH8" s="15" t="str">
        <f>#REF!</f>
        <v>#VALUE!:noResult:No valid cells found for operation.</v>
      </c>
      <c r="DI8" s="15" t="str">
        <f>#REF!</f>
        <v>#VALUE!:noResult:No valid cells found for operation.</v>
      </c>
      <c r="DJ8" s="15" t="str">
        <f>#REF!</f>
        <v>#VALUE!:noResult:No valid cells found for operation.</v>
      </c>
      <c r="DK8" s="15" t="str">
        <f>#REF!</f>
        <v>#VALUE!:noResult:No valid cells found for operation.</v>
      </c>
      <c r="DL8" s="15">
        <f>IF(Trans!R[53],"AAAAAHvXvnM=",0)</f>
        <v>0</v>
      </c>
      <c r="DM8" s="15" t="b">
        <f>AND(Trans!A61,"AAAAAHvXvnQ=")</f>
        <v>1</v>
      </c>
      <c r="DN8" s="15" t="str">
        <f>AND(Trans!B61,"AAAAAHvXvnU=")</f>
        <v>#VALUE!:noResult:No valid cells found for operation.</v>
      </c>
      <c r="DO8" s="15" t="b">
        <f>AND(Trans!C61,"AAAAAHvXvnY=")</f>
        <v>1</v>
      </c>
      <c r="DP8" s="15" t="b">
        <f>AND(Trans!D61,"AAAAAHvXvnc=")</f>
        <v>1</v>
      </c>
      <c r="DQ8" s="15" t="str">
        <f>AND(Trans!E61,"AAAAAHvXvng=")</f>
        <v>#VALUE!:noResult:No valid cells found for operation.</v>
      </c>
      <c r="DR8" s="15" t="str">
        <f>AND(Trans!F61,"AAAAAHvXvnk=")</f>
        <v>#VALUE!:noResult:No valid cells found for operation.</v>
      </c>
      <c r="DS8" s="15" t="str">
        <f>AND(Trans!G61,"AAAAAHvXvno=")</f>
        <v>#VALUE!:noResult:No valid cells found for operation.</v>
      </c>
      <c r="DT8" s="15" t="str">
        <f>#REF!</f>
        <v>#VALUE!:noResult:No valid cells found for operation.</v>
      </c>
      <c r="DU8" s="15" t="str">
        <f>AND(Trans!H61,"AAAAAHvXvnw=")</f>
        <v>#VALUE!:noResult:No valid cells found for operation.</v>
      </c>
      <c r="DV8" s="15" t="str">
        <f>#REF!</f>
        <v>#VALUE!:noResult:No valid cells found for operation.</v>
      </c>
      <c r="DW8" s="15" t="str">
        <f>#REF!</f>
        <v>#VALUE!:noResult:No valid cells found for operation.</v>
      </c>
      <c r="DX8" s="15" t="str">
        <f>#REF!</f>
        <v>#VALUE!:noResult:No valid cells found for operation.</v>
      </c>
      <c r="DY8" s="15" t="str">
        <f>#REF!</f>
        <v>#VALUE!:noResult:No valid cells found for operation.</v>
      </c>
      <c r="DZ8" s="15" t="str">
        <f>#REF!</f>
        <v>#VALUE!:noResult:No valid cells found for operation.</v>
      </c>
      <c r="EA8" s="15" t="str">
        <f>#REF!</f>
        <v>#VALUE!:noResult:No valid cells found for operation.</v>
      </c>
      <c r="EB8" s="15">
        <f>IF(Trans!R[54],"AAAAAHvXvoM=",0)</f>
        <v>0</v>
      </c>
      <c r="EC8" s="15" t="b">
        <f>AND(Trans!A62,"AAAAAHvXvoQ=")</f>
        <v>1</v>
      </c>
      <c r="ED8" s="15" t="str">
        <f>AND(Trans!B62,"AAAAAHvXvoU=")</f>
        <v>#VALUE!:noResult:No valid cells found for operation.</v>
      </c>
      <c r="EE8" s="15" t="b">
        <f>AND(Trans!C62,"AAAAAHvXvoY=")</f>
        <v>1</v>
      </c>
      <c r="EF8" s="15" t="b">
        <f>AND(Trans!D62,"AAAAAHvXvoc=")</f>
        <v>1</v>
      </c>
      <c r="EG8" s="15" t="str">
        <f>AND(Trans!E62,"AAAAAHvXvog=")</f>
        <v>#VALUE!:noResult:No valid cells found for operation.</v>
      </c>
      <c r="EH8" s="15" t="str">
        <f>AND(Trans!F62,"AAAAAHvXvok=")</f>
        <v>#VALUE!:noResult:No valid cells found for operation.</v>
      </c>
      <c r="EI8" s="15" t="str">
        <f>AND(Trans!G62,"AAAAAHvXvoo=")</f>
        <v>#VALUE!:noResult:No valid cells found for operation.</v>
      </c>
      <c r="EJ8" s="15" t="str">
        <f>#REF!</f>
        <v>#VALUE!:noResult:No valid cells found for operation.</v>
      </c>
      <c r="EK8" s="15" t="str">
        <f>AND(Trans!H62,"AAAAAHvXvow=")</f>
        <v>#VALUE!:noResult:No valid cells found for operation.</v>
      </c>
      <c r="EL8" s="15" t="str">
        <f>#REF!</f>
        <v>#VALUE!:noResult:No valid cells found for operation.</v>
      </c>
      <c r="EM8" s="15" t="str">
        <f>#REF!</f>
        <v>#VALUE!:noResult:No valid cells found for operation.</v>
      </c>
      <c r="EN8" s="15" t="str">
        <f>#REF!</f>
        <v>#VALUE!:noResult:No valid cells found for operation.</v>
      </c>
      <c r="EO8" s="15" t="str">
        <f>#REF!</f>
        <v>#VALUE!:noResult:No valid cells found for operation.</v>
      </c>
      <c r="EP8" s="15" t="str">
        <f>#REF!</f>
        <v>#VALUE!:noResult:No valid cells found for operation.</v>
      </c>
      <c r="EQ8" s="15" t="str">
        <f>#REF!</f>
        <v>#VALUE!:noResult:No valid cells found for operation.</v>
      </c>
      <c r="ER8" s="15">
        <f>IF(Trans!R[55],"AAAAAHvXvpM=",0)</f>
        <v>0</v>
      </c>
      <c r="ES8" s="15" t="b">
        <f>AND(Trans!A63,"AAAAAHvXvpQ=")</f>
        <v>1</v>
      </c>
      <c r="ET8" s="15" t="str">
        <f>AND(Trans!B63,"AAAAAHvXvpU=")</f>
        <v>#VALUE!:noResult:No valid cells found for operation.</v>
      </c>
      <c r="EU8" s="15" t="b">
        <f>AND(Trans!C63,"AAAAAHvXvpY=")</f>
        <v>1</v>
      </c>
      <c r="EV8" s="15" t="b">
        <f>AND(Trans!D63,"AAAAAHvXvpc=")</f>
        <v>1</v>
      </c>
      <c r="EW8" s="15" t="str">
        <f>AND(Trans!E63,"AAAAAHvXvpg=")</f>
        <v>#VALUE!:noResult:No valid cells found for operation.</v>
      </c>
      <c r="EX8" s="15" t="str">
        <f>AND(Trans!F63,"AAAAAHvXvpk=")</f>
        <v>#VALUE!:noResult:No valid cells found for operation.</v>
      </c>
      <c r="EY8" s="15" t="str">
        <f>AND(Trans!G63,"AAAAAHvXvpo=")</f>
        <v>#VALUE!:noResult:No valid cells found for operation.</v>
      </c>
      <c r="EZ8" s="15" t="str">
        <f>#REF!</f>
        <v>#VALUE!:noResult:No valid cells found for operation.</v>
      </c>
      <c r="FA8" s="15" t="str">
        <f>AND(Trans!H63,"AAAAAHvXvpw=")</f>
        <v>#VALUE!:noResult:No valid cells found for operation.</v>
      </c>
      <c r="FB8" s="15" t="str">
        <f>#REF!</f>
        <v>#VALUE!:noResult:No valid cells found for operation.</v>
      </c>
      <c r="FC8" s="15" t="str">
        <f>#REF!</f>
        <v>#VALUE!:noResult:No valid cells found for operation.</v>
      </c>
      <c r="FD8" s="15" t="str">
        <f>#REF!</f>
        <v>#VALUE!:noResult:No valid cells found for operation.</v>
      </c>
      <c r="FE8" s="15" t="str">
        <f>#REF!</f>
        <v>#VALUE!:noResult:No valid cells found for operation.</v>
      </c>
      <c r="FF8" s="15" t="str">
        <f>#REF!</f>
        <v>#VALUE!:noResult:No valid cells found for operation.</v>
      </c>
      <c r="FG8" s="15" t="str">
        <f>#REF!</f>
        <v>#VALUE!:noResult:No valid cells found for operation.</v>
      </c>
      <c r="FH8" s="15">
        <f>IF(Trans!R[56],"AAAAAHvXvqM=",0)</f>
        <v>0</v>
      </c>
      <c r="FI8" s="15" t="b">
        <f>AND(Trans!A64,"AAAAAHvXvqQ=")</f>
        <v>1</v>
      </c>
      <c r="FJ8" s="15" t="str">
        <f>AND(Trans!B64,"AAAAAHvXvqU=")</f>
        <v>#VALUE!:noResult:No valid cells found for operation.</v>
      </c>
      <c r="FK8" s="15" t="b">
        <f>AND(Trans!C64,"AAAAAHvXvqY=")</f>
        <v>1</v>
      </c>
      <c r="FL8" s="15" t="b">
        <f>AND(Trans!D64,"AAAAAHvXvqc=")</f>
        <v>1</v>
      </c>
      <c r="FM8" s="15" t="str">
        <f>AND(Trans!E64,"AAAAAHvXvqg=")</f>
        <v>#VALUE!:noResult:No valid cells found for operation.</v>
      </c>
      <c r="FN8" s="15" t="str">
        <f>AND(Trans!F64,"AAAAAHvXvqk=")</f>
        <v>#VALUE!:noResult:No valid cells found for operation.</v>
      </c>
      <c r="FO8" s="15" t="str">
        <f>AND(Trans!G64,"AAAAAHvXvqo=")</f>
        <v>#VALUE!:noResult:No valid cells found for operation.</v>
      </c>
      <c r="FP8" s="15" t="str">
        <f>#REF!</f>
        <v>#VALUE!:noResult:No valid cells found for operation.</v>
      </c>
      <c r="FQ8" s="15" t="str">
        <f>AND(Trans!H64,"AAAAAHvXvqw=")</f>
        <v>#VALUE!:noResult:No valid cells found for operation.</v>
      </c>
      <c r="FR8" s="15" t="str">
        <f>#REF!</f>
        <v>#VALUE!:noResult:No valid cells found for operation.</v>
      </c>
      <c r="FS8" s="15" t="str">
        <f>#REF!</f>
        <v>#VALUE!:noResult:No valid cells found for operation.</v>
      </c>
      <c r="FT8" s="15" t="str">
        <f>#REF!</f>
        <v>#VALUE!:noResult:No valid cells found for operation.</v>
      </c>
      <c r="FU8" s="15" t="str">
        <f>#REF!</f>
        <v>#VALUE!:noResult:No valid cells found for operation.</v>
      </c>
      <c r="FV8" s="15" t="str">
        <f>#REF!</f>
        <v>#VALUE!:noResult:No valid cells found for operation.</v>
      </c>
      <c r="FW8" s="15" t="str">
        <f>#REF!</f>
        <v>#VALUE!:noResult:No valid cells found for operation.</v>
      </c>
      <c r="FX8" s="15">
        <f>IF(Trans!R[57],"AAAAAHvXvrM=",0)</f>
        <v>0</v>
      </c>
      <c r="FY8" s="15" t="b">
        <f>AND(Trans!A65,"AAAAAHvXvrQ=")</f>
        <v>1</v>
      </c>
      <c r="FZ8" s="15" t="str">
        <f>AND(Trans!B65,"AAAAAHvXvrU=")</f>
        <v>#VALUE!:noResult:No valid cells found for operation.</v>
      </c>
      <c r="GA8" s="15" t="b">
        <f>AND(Trans!C65,"AAAAAHvXvrY=")</f>
        <v>1</v>
      </c>
      <c r="GB8" s="15" t="b">
        <f>AND(Trans!D65,"AAAAAHvXvrc=")</f>
        <v>1</v>
      </c>
      <c r="GC8" s="15" t="str">
        <f>AND(Trans!E65,"AAAAAHvXvrg=")</f>
        <v>#VALUE!:noResult:No valid cells found for operation.</v>
      </c>
      <c r="GD8" s="15" t="str">
        <f>AND(Trans!F65,"AAAAAHvXvrk=")</f>
        <v>#VALUE!:noResult:No valid cells found for operation.</v>
      </c>
      <c r="GE8" s="15" t="str">
        <f>AND(Trans!G65,"AAAAAHvXvro=")</f>
        <v>#VALUE!:noResult:No valid cells found for operation.</v>
      </c>
      <c r="GF8" s="15" t="str">
        <f>#REF!</f>
        <v>#VALUE!:noResult:No valid cells found for operation.</v>
      </c>
      <c r="GG8" s="15" t="str">
        <f>AND(Trans!H65,"AAAAAHvXvrw=")</f>
        <v>#VALUE!:noResult:No valid cells found for operation.</v>
      </c>
      <c r="GH8" s="15" t="str">
        <f>#REF!</f>
        <v>#VALUE!:noResult:No valid cells found for operation.</v>
      </c>
      <c r="GI8" s="15" t="str">
        <f>#REF!</f>
        <v>#VALUE!:noResult:No valid cells found for operation.</v>
      </c>
      <c r="GJ8" s="15" t="str">
        <f>#REF!</f>
        <v>#VALUE!:noResult:No valid cells found for operation.</v>
      </c>
      <c r="GK8" s="15" t="str">
        <f>#REF!</f>
        <v>#VALUE!:noResult:No valid cells found for operation.</v>
      </c>
      <c r="GL8" s="15" t="str">
        <f>#REF!</f>
        <v>#VALUE!:noResult:No valid cells found for operation.</v>
      </c>
      <c r="GM8" s="15" t="str">
        <f>#REF!</f>
        <v>#VALUE!:noResult:No valid cells found for operation.</v>
      </c>
      <c r="GN8" s="15">
        <f>IF(Trans!R[58],"AAAAAHvXvsM=",0)</f>
        <v>0</v>
      </c>
      <c r="GO8" s="15" t="b">
        <f>AND(Trans!A66,"AAAAAHvXvsQ=")</f>
        <v>1</v>
      </c>
      <c r="GP8" s="15" t="str">
        <f>AND(Trans!B66,"AAAAAHvXvsU=")</f>
        <v>#VALUE!:noResult:No valid cells found for operation.</v>
      </c>
      <c r="GQ8" s="15" t="b">
        <f>AND(Trans!C66,"AAAAAHvXvsY=")</f>
        <v>1</v>
      </c>
      <c r="GR8" s="15" t="b">
        <f>AND(Trans!D66,"AAAAAHvXvsc=")</f>
        <v>1</v>
      </c>
      <c r="GS8" s="15" t="str">
        <f>AND(Trans!E66,"AAAAAHvXvsg=")</f>
        <v>#VALUE!:noResult:No valid cells found for operation.</v>
      </c>
      <c r="GT8" s="15" t="str">
        <f>AND(Trans!F66,"AAAAAHvXvsk=")</f>
        <v>#VALUE!:noResult:No valid cells found for operation.</v>
      </c>
      <c r="GU8" s="15" t="str">
        <f>AND(Trans!G66,"AAAAAHvXvso=")</f>
        <v>#VALUE!:noResult:No valid cells found for operation.</v>
      </c>
      <c r="GV8" s="15" t="str">
        <f>#REF!</f>
        <v>#VALUE!:noResult:No valid cells found for operation.</v>
      </c>
      <c r="GW8" s="15" t="str">
        <f>AND(Trans!H66,"AAAAAHvXvsw=")</f>
        <v>#VALUE!:noResult:No valid cells found for operation.</v>
      </c>
      <c r="GX8" s="15" t="str">
        <f>#REF!</f>
        <v>#VALUE!:noResult:No valid cells found for operation.</v>
      </c>
      <c r="GY8" s="15" t="str">
        <f>#REF!</f>
        <v>#VALUE!:noResult:No valid cells found for operation.</v>
      </c>
      <c r="GZ8" s="15" t="str">
        <f>#REF!</f>
        <v>#VALUE!:noResult:No valid cells found for operation.</v>
      </c>
      <c r="HA8" s="15" t="str">
        <f>#REF!</f>
        <v>#VALUE!:noResult:No valid cells found for operation.</v>
      </c>
      <c r="HB8" s="15" t="str">
        <f>#REF!</f>
        <v>#VALUE!:noResult:No valid cells found for operation.</v>
      </c>
      <c r="HC8" s="15" t="str">
        <f>#REF!</f>
        <v>#VALUE!:noResult:No valid cells found for operation.</v>
      </c>
      <c r="HD8" s="15">
        <f>IF(Trans!R[59],"AAAAAHvXvtM=",0)</f>
        <v>0</v>
      </c>
      <c r="HE8" s="15" t="b">
        <f>AND(Trans!A67,"AAAAAHvXvtQ=")</f>
        <v>1</v>
      </c>
      <c r="HF8" s="15" t="str">
        <f>AND(Trans!B67,"AAAAAHvXvtU=")</f>
        <v>#VALUE!:noResult:No valid cells found for operation.</v>
      </c>
      <c r="HG8" s="15" t="b">
        <f>AND(Trans!C67,"AAAAAHvXvtY=")</f>
        <v>1</v>
      </c>
      <c r="HH8" s="15" t="b">
        <f>AND(Trans!D67,"AAAAAHvXvtc=")</f>
        <v>1</v>
      </c>
      <c r="HI8" s="15" t="str">
        <f>AND(Trans!E67,"AAAAAHvXvtg=")</f>
        <v>#VALUE!:noResult:No valid cells found for operation.</v>
      </c>
      <c r="HJ8" s="15" t="str">
        <f>AND(Trans!F67,"AAAAAHvXvtk=")</f>
        <v>#VALUE!:noResult:No valid cells found for operation.</v>
      </c>
      <c r="HK8" s="15" t="str">
        <f>AND(Trans!G67,"AAAAAHvXvto=")</f>
        <v>#VALUE!:noResult:No valid cells found for operation.</v>
      </c>
      <c r="HL8" s="15" t="str">
        <f>#REF!</f>
        <v>#VALUE!:noResult:No valid cells found for operation.</v>
      </c>
      <c r="HM8" s="15" t="str">
        <f>AND(Trans!H67,"AAAAAHvXvtw=")</f>
        <v>#VALUE!:noResult:No valid cells found for operation.</v>
      </c>
      <c r="HN8" s="15" t="str">
        <f>#REF!</f>
        <v>#VALUE!:noResult:No valid cells found for operation.</v>
      </c>
      <c r="HO8" s="15" t="str">
        <f>#REF!</f>
        <v>#VALUE!:noResult:No valid cells found for operation.</v>
      </c>
      <c r="HP8" s="15" t="str">
        <f>#REF!</f>
        <v>#VALUE!:noResult:No valid cells found for operation.</v>
      </c>
      <c r="HQ8" s="15" t="str">
        <f>#REF!</f>
        <v>#VALUE!:noResult:No valid cells found for operation.</v>
      </c>
      <c r="HR8" s="15" t="str">
        <f>#REF!</f>
        <v>#VALUE!:noResult:No valid cells found for operation.</v>
      </c>
      <c r="HS8" s="15" t="str">
        <f>#REF!</f>
        <v>#VALUE!:noResult:No valid cells found for operation.</v>
      </c>
      <c r="HT8" s="15">
        <f>IF(Trans!R[60],"AAAAAHvXvuM=",0)</f>
        <v>0</v>
      </c>
      <c r="HU8" s="15" t="b">
        <f>AND(Trans!A68,"AAAAAHvXvuQ=")</f>
        <v>1</v>
      </c>
      <c r="HV8" s="15" t="str">
        <f>AND(Trans!B68,"AAAAAHvXvuU=")</f>
        <v>#VALUE!:noResult:No valid cells found for operation.</v>
      </c>
      <c r="HW8" s="15" t="b">
        <f>AND(Trans!C68,"AAAAAHvXvuY=")</f>
        <v>1</v>
      </c>
      <c r="HX8" s="15" t="b">
        <f>AND(Trans!D68,"AAAAAHvXvuc=")</f>
        <v>1</v>
      </c>
      <c r="HY8" s="15" t="str">
        <f>AND(Trans!E68,"AAAAAHvXvug=")</f>
        <v>#VALUE!:noResult:No valid cells found for operation.</v>
      </c>
      <c r="HZ8" s="15" t="str">
        <f>AND(Trans!F68,"AAAAAHvXvuk=")</f>
        <v>#VALUE!:noResult:No valid cells found for operation.</v>
      </c>
      <c r="IA8" s="15" t="str">
        <f>AND(Trans!G68,"AAAAAHvXvuo=")</f>
        <v>#VALUE!:noResult:No valid cells found for operation.</v>
      </c>
      <c r="IB8" s="15" t="str">
        <f>#REF!</f>
        <v>#VALUE!:noResult:No valid cells found for operation.</v>
      </c>
      <c r="IC8" s="15" t="str">
        <f>AND(Trans!H68,"AAAAAHvXvuw=")</f>
        <v>#VALUE!:noResult:No valid cells found for operation.</v>
      </c>
      <c r="ID8" s="15" t="str">
        <f>#REF!</f>
        <v>#VALUE!:noResult:No valid cells found for operation.</v>
      </c>
      <c r="IE8" s="15" t="str">
        <f>#REF!</f>
        <v>#VALUE!:noResult:No valid cells found for operation.</v>
      </c>
      <c r="IF8" s="15" t="str">
        <f>#REF!</f>
        <v>#VALUE!:noResult:No valid cells found for operation.</v>
      </c>
      <c r="IG8" s="15" t="str">
        <f>#REF!</f>
        <v>#VALUE!:noResult:No valid cells found for operation.</v>
      </c>
      <c r="IH8" s="15" t="str">
        <f>#REF!</f>
        <v>#VALUE!:noResult:No valid cells found for operation.</v>
      </c>
      <c r="II8" s="15" t="str">
        <f>#REF!</f>
        <v>#VALUE!:noResult:No valid cells found for operation.</v>
      </c>
      <c r="IJ8" s="15">
        <f>IF(Trans!R[61],"AAAAAHvXvvM=",0)</f>
        <v>0</v>
      </c>
      <c r="IK8" s="15" t="b">
        <f>AND(Trans!A69,"AAAAAHvXvvQ=")</f>
        <v>1</v>
      </c>
      <c r="IL8" s="15" t="str">
        <f>AND(Trans!B69,"AAAAAHvXvvU=")</f>
        <v>#VALUE!:noResult:No valid cells found for operation.</v>
      </c>
      <c r="IM8" s="15" t="b">
        <f>AND(Trans!C69,"AAAAAHvXvvY=")</f>
        <v>1</v>
      </c>
      <c r="IN8" s="15" t="b">
        <f>AND(Trans!D69,"AAAAAHvXvvc=")</f>
        <v>1</v>
      </c>
      <c r="IO8" s="15" t="str">
        <f>AND(Trans!E69,"AAAAAHvXvvg=")</f>
        <v>#VALUE!:noResult:No valid cells found for operation.</v>
      </c>
      <c r="IP8" s="15" t="str">
        <f>AND(Trans!F69,"AAAAAHvXvvk=")</f>
        <v>#VALUE!:noResult:No valid cells found for operation.</v>
      </c>
      <c r="IQ8" s="15" t="str">
        <f>AND(Trans!G69,"AAAAAHvXvvo=")</f>
        <v>#VALUE!:noResult:No valid cells found for operation.</v>
      </c>
      <c r="IR8" s="15" t="str">
        <f>#REF!</f>
        <v>#VALUE!:noResult:No valid cells found for operation.</v>
      </c>
      <c r="IS8" s="15" t="str">
        <f>AND(Trans!H69,"AAAAAHvXvvw=")</f>
        <v>#VALUE!:noResult:No valid cells found for operation.</v>
      </c>
      <c r="IT8" s="15" t="str">
        <f>#REF!</f>
        <v>#VALUE!:noResult:No valid cells found for operation.</v>
      </c>
      <c r="IU8" s="15" t="str">
        <f>#REF!</f>
        <v>#VALUE!:noResult:No valid cells found for operation.</v>
      </c>
      <c r="IV8" s="15" t="str">
        <f>#REF!</f>
        <v>#VALUE!:noResult:No valid cells found for operation.</v>
      </c>
    </row>
    <row r="9">
      <c r="A9" s="15" t="str">
        <f>#REF!</f>
        <v>#VALUE!:noResult:No valid cells found for operation.</v>
      </c>
      <c r="B9" s="15" t="str">
        <f>#REF!</f>
        <v>#VALUE!:noResult:No valid cells found for operation.</v>
      </c>
      <c r="C9" s="15" t="str">
        <f>#REF!</f>
        <v>#VALUE!:noResult:No valid cells found for operation.</v>
      </c>
      <c r="D9" s="15" t="str">
        <f>IF(Trans!R[61],"AAAAAG3P/QM=",0)</f>
        <v>AAAAAG3P/QM=</v>
      </c>
      <c r="E9" s="15" t="b">
        <f>AND(Trans!A70,"AAAAAG3P/QQ=")</f>
        <v>1</v>
      </c>
      <c r="F9" s="15" t="str">
        <f>AND(Trans!B70,"AAAAAG3P/QU=")</f>
        <v>#VALUE!:noResult:No valid cells found for operation.</v>
      </c>
      <c r="G9" s="15" t="b">
        <f>AND(Trans!C70,"AAAAAG3P/QY=")</f>
        <v>1</v>
      </c>
      <c r="H9" s="15" t="b">
        <f>AND(Trans!D70,"AAAAAG3P/Qc=")</f>
        <v>1</v>
      </c>
      <c r="I9" s="15" t="str">
        <f>AND(Trans!E70,"AAAAAG3P/Qg=")</f>
        <v>#VALUE!:noResult:No valid cells found for operation.</v>
      </c>
      <c r="J9" s="15" t="str">
        <f>AND(Trans!F70,"AAAAAG3P/Qk=")</f>
        <v>#VALUE!:noResult:No valid cells found for operation.</v>
      </c>
      <c r="K9" s="15" t="str">
        <f>AND(Trans!G70,"AAAAAG3P/Qo=")</f>
        <v>#VALUE!:noResult:No valid cells found for operation.</v>
      </c>
      <c r="L9" s="15" t="str">
        <f>#REF!</f>
        <v>#VALUE!:noResult:No valid cells found for operation.</v>
      </c>
      <c r="M9" s="15" t="str">
        <f>AND(Trans!H70,"AAAAAG3P/Qw=")</f>
        <v>#VALUE!:noResult:No valid cells found for operation.</v>
      </c>
      <c r="N9" s="15" t="str">
        <f>#REF!</f>
        <v>#VALUE!:noResult:No valid cells found for operation.</v>
      </c>
      <c r="O9" s="15" t="str">
        <f>#REF!</f>
        <v>#VALUE!:noResult:No valid cells found for operation.</v>
      </c>
      <c r="P9" s="15" t="str">
        <f>#REF!</f>
        <v>#VALUE!:noResult:No valid cells found for operation.</v>
      </c>
      <c r="Q9" s="15" t="str">
        <f>#REF!</f>
        <v>#VALUE!:noResult:No valid cells found for operation.</v>
      </c>
      <c r="R9" s="15" t="str">
        <f>#REF!</f>
        <v>#VALUE!:noResult:No valid cells found for operation.</v>
      </c>
      <c r="S9" s="15" t="str">
        <f>#REF!</f>
        <v>#VALUE!:noResult:No valid cells found for operation.</v>
      </c>
      <c r="T9" s="15">
        <f>IF(Trans!R[62],"AAAAAG3P/RM=",0)</f>
        <v>0</v>
      </c>
      <c r="U9" s="15" t="b">
        <f>AND(Trans!A71,"AAAAAG3P/RQ=")</f>
        <v>1</v>
      </c>
      <c r="V9" s="15" t="str">
        <f>AND(Trans!B71,"AAAAAG3P/RU=")</f>
        <v>#VALUE!:noResult:No valid cells found for operation.</v>
      </c>
      <c r="W9" s="15" t="b">
        <f>AND(Trans!C71,"AAAAAG3P/RY=")</f>
        <v>1</v>
      </c>
      <c r="X9" s="15" t="b">
        <f>AND(Trans!D71,"AAAAAG3P/Rc=")</f>
        <v>1</v>
      </c>
      <c r="Y9" s="15" t="str">
        <f>AND(Trans!E71,"AAAAAG3P/Rg=")</f>
        <v>#VALUE!:noResult:No valid cells found for operation.</v>
      </c>
      <c r="Z9" s="15" t="str">
        <f>AND(Trans!F71,"AAAAAG3P/Rk=")</f>
        <v>#VALUE!:noResult:No valid cells found for operation.</v>
      </c>
      <c r="AA9" s="15" t="str">
        <f>AND(Trans!G71,"AAAAAG3P/Ro=")</f>
        <v>#VALUE!:noResult:No valid cells found for operation.</v>
      </c>
      <c r="AB9" s="15" t="str">
        <f>#REF!</f>
        <v>#VALUE!:noResult:No valid cells found for operation.</v>
      </c>
      <c r="AC9" s="15" t="str">
        <f>AND(Trans!H71,"AAAAAG3P/Rw=")</f>
        <v>#VALUE!:noResult:No valid cells found for operation.</v>
      </c>
      <c r="AD9" s="15" t="str">
        <f>#REF!</f>
        <v>#VALUE!:noResult:No valid cells found for operation.</v>
      </c>
      <c r="AE9" s="15" t="str">
        <f>#REF!</f>
        <v>#VALUE!:noResult:No valid cells found for operation.</v>
      </c>
      <c r="AF9" s="15" t="str">
        <f>#REF!</f>
        <v>#VALUE!:noResult:No valid cells found for operation.</v>
      </c>
      <c r="AG9" s="15" t="str">
        <f>#REF!</f>
        <v>#VALUE!:noResult:No valid cells found for operation.</v>
      </c>
      <c r="AH9" s="15" t="str">
        <f>#REF!</f>
        <v>#VALUE!:noResult:No valid cells found for operation.</v>
      </c>
      <c r="AI9" s="15" t="str">
        <f>#REF!</f>
        <v>#VALUE!:noResult:No valid cells found for operation.</v>
      </c>
      <c r="AJ9" s="15">
        <f>IF(Trans!R[63],"AAAAAG3P/SM=",0)</f>
        <v>0</v>
      </c>
      <c r="AK9" s="15" t="b">
        <f>AND(Trans!A72,"AAAAAG3P/SQ=")</f>
        <v>1</v>
      </c>
      <c r="AL9" s="15" t="str">
        <f>AND(Trans!B72,"AAAAAG3P/SU=")</f>
        <v>#VALUE!:noResult:No valid cells found for operation.</v>
      </c>
      <c r="AM9" s="15" t="b">
        <f>AND(Trans!C72,"AAAAAG3P/SY=")</f>
        <v>1</v>
      </c>
      <c r="AN9" s="15" t="b">
        <f>AND(Trans!D72,"AAAAAG3P/Sc=")</f>
        <v>1</v>
      </c>
      <c r="AO9" s="15" t="str">
        <f>AND(Trans!E72,"AAAAAG3P/Sg=")</f>
        <v>#VALUE!:noResult:No valid cells found for operation.</v>
      </c>
      <c r="AP9" s="15" t="str">
        <f>AND(Trans!F72,"AAAAAG3P/Sk=")</f>
        <v>#VALUE!:noResult:No valid cells found for operation.</v>
      </c>
      <c r="AQ9" s="15" t="str">
        <f>AND(Trans!G72,"AAAAAG3P/So=")</f>
        <v>#VALUE!:noResult:No valid cells found for operation.</v>
      </c>
      <c r="AR9" s="15" t="str">
        <f>#REF!</f>
        <v>#VALUE!:noResult:No valid cells found for operation.</v>
      </c>
      <c r="AS9" s="15" t="str">
        <f>AND(Trans!H72,"AAAAAG3P/Sw=")</f>
        <v>#VALUE!:noResult:No valid cells found for operation.</v>
      </c>
      <c r="AT9" s="15" t="str">
        <f>#REF!</f>
        <v>#VALUE!:noResult:No valid cells found for operation.</v>
      </c>
      <c r="AU9" s="15" t="str">
        <f>#REF!</f>
        <v>#VALUE!:noResult:No valid cells found for operation.</v>
      </c>
      <c r="AV9" s="15" t="str">
        <f>#REF!</f>
        <v>#VALUE!:noResult:No valid cells found for operation.</v>
      </c>
      <c r="AW9" s="15" t="str">
        <f>#REF!</f>
        <v>#VALUE!:noResult:No valid cells found for operation.</v>
      </c>
      <c r="AX9" s="15" t="str">
        <f>#REF!</f>
        <v>#VALUE!:noResult:No valid cells found for operation.</v>
      </c>
      <c r="AY9" s="15" t="str">
        <f>#REF!</f>
        <v>#VALUE!:noResult:No valid cells found for operation.</v>
      </c>
      <c r="AZ9" s="15">
        <f>IF(Trans!R[64],"AAAAAG3P/TM=",0)</f>
        <v>0</v>
      </c>
      <c r="BA9" s="15" t="b">
        <f>AND(Trans!A73,"AAAAAG3P/TQ=")</f>
        <v>1</v>
      </c>
      <c r="BB9" s="15" t="str">
        <f>AND(Trans!B73,"AAAAAG3P/TU=")</f>
        <v>#VALUE!:noResult:No valid cells found for operation.</v>
      </c>
      <c r="BC9" s="15" t="b">
        <f>AND(Trans!C73,"AAAAAG3P/TY=")</f>
        <v>1</v>
      </c>
      <c r="BD9" s="15" t="b">
        <f>AND(Trans!D73,"AAAAAG3P/Tc=")</f>
        <v>1</v>
      </c>
      <c r="BE9" s="15" t="str">
        <f>AND(Trans!E73,"AAAAAG3P/Tg=")</f>
        <v>#VALUE!:noResult:No valid cells found for operation.</v>
      </c>
      <c r="BF9" s="15" t="str">
        <f>AND(Trans!F73,"AAAAAG3P/Tk=")</f>
        <v>#VALUE!:noResult:No valid cells found for operation.</v>
      </c>
      <c r="BG9" s="15" t="str">
        <f>AND(Trans!G73,"AAAAAG3P/To=")</f>
        <v>#VALUE!:noResult:No valid cells found for operation.</v>
      </c>
      <c r="BH9" s="15" t="str">
        <f>#REF!</f>
        <v>#VALUE!:noResult:No valid cells found for operation.</v>
      </c>
      <c r="BI9" s="15" t="str">
        <f>AND(Trans!H73,"AAAAAG3P/Tw=")</f>
        <v>#VALUE!:noResult:No valid cells found for operation.</v>
      </c>
      <c r="BJ9" s="15" t="str">
        <f>#REF!</f>
        <v>#VALUE!:noResult:No valid cells found for operation.</v>
      </c>
      <c r="BK9" s="15" t="str">
        <f>#REF!</f>
        <v>#VALUE!:noResult:No valid cells found for operation.</v>
      </c>
      <c r="BL9" s="15" t="str">
        <f>#REF!</f>
        <v>#VALUE!:noResult:No valid cells found for operation.</v>
      </c>
      <c r="BM9" s="15" t="str">
        <f>#REF!</f>
        <v>#VALUE!:noResult:No valid cells found for operation.</v>
      </c>
      <c r="BN9" s="15" t="str">
        <f>#REF!</f>
        <v>#VALUE!:noResult:No valid cells found for operation.</v>
      </c>
      <c r="BO9" s="15" t="str">
        <f>#REF!</f>
        <v>#VALUE!:noResult:No valid cells found for operation.</v>
      </c>
      <c r="BP9" s="15">
        <f>IF(Trans!R[65],"AAAAAG3P/UM=",0)</f>
        <v>0</v>
      </c>
      <c r="BQ9" s="15" t="b">
        <f>AND(Trans!A74,"AAAAAG3P/UQ=")</f>
        <v>1</v>
      </c>
      <c r="BR9" s="15" t="str">
        <f>AND(Trans!B74,"AAAAAG3P/UU=")</f>
        <v>#VALUE!:noResult:No valid cells found for operation.</v>
      </c>
      <c r="BS9" s="15" t="b">
        <f>AND(Trans!C74,"AAAAAG3P/UY=")</f>
        <v>1</v>
      </c>
      <c r="BT9" s="15" t="b">
        <f>AND(Trans!D74,"AAAAAG3P/Uc=")</f>
        <v>1</v>
      </c>
      <c r="BU9" s="15" t="str">
        <f>AND(Trans!E74,"AAAAAG3P/Ug=")</f>
        <v>#VALUE!:noResult:No valid cells found for operation.</v>
      </c>
      <c r="BV9" s="15" t="str">
        <f>AND(Trans!F74,"AAAAAG3P/Uk=")</f>
        <v>#VALUE!:noResult:No valid cells found for operation.</v>
      </c>
      <c r="BW9" s="15" t="str">
        <f>AND(Trans!G74,"AAAAAG3P/Uo=")</f>
        <v>#VALUE!:noResult:No valid cells found for operation.</v>
      </c>
      <c r="BX9" s="15" t="str">
        <f>#REF!</f>
        <v>#VALUE!:noResult:No valid cells found for operation.</v>
      </c>
      <c r="BY9" s="15" t="str">
        <f>AND(Trans!H74,"AAAAAG3P/Uw=")</f>
        <v>#VALUE!:noResult:No valid cells found for operation.</v>
      </c>
      <c r="BZ9" s="15" t="str">
        <f>#REF!</f>
        <v>#VALUE!:noResult:No valid cells found for operation.</v>
      </c>
      <c r="CA9" s="15" t="str">
        <f>#REF!</f>
        <v>#VALUE!:noResult:No valid cells found for operation.</v>
      </c>
      <c r="CB9" s="15" t="str">
        <f>#REF!</f>
        <v>#VALUE!:noResult:No valid cells found for operation.</v>
      </c>
      <c r="CC9" s="15" t="str">
        <f>#REF!</f>
        <v>#VALUE!:noResult:No valid cells found for operation.</v>
      </c>
      <c r="CD9" s="15" t="str">
        <f>#REF!</f>
        <v>#VALUE!:noResult:No valid cells found for operation.</v>
      </c>
      <c r="CE9" s="15" t="str">
        <f>#REF!</f>
        <v>#VALUE!:noResult:No valid cells found for operation.</v>
      </c>
      <c r="CF9" s="15">
        <f>IF(Trans!R[66],"AAAAAG3P/VM=",0)</f>
        <v>0</v>
      </c>
      <c r="CG9" s="15" t="b">
        <f>AND(Trans!A75,"AAAAAG3P/VQ=")</f>
        <v>1</v>
      </c>
      <c r="CH9" s="15" t="str">
        <f>AND(Trans!B75,"AAAAAG3P/VU=")</f>
        <v>#VALUE!:noResult:No valid cells found for operation.</v>
      </c>
      <c r="CI9" s="15" t="b">
        <f>AND(Trans!C75,"AAAAAG3P/VY=")</f>
        <v>1</v>
      </c>
      <c r="CJ9" s="15" t="b">
        <f>AND(Trans!D75,"AAAAAG3P/Vc=")</f>
        <v>1</v>
      </c>
      <c r="CK9" s="15" t="str">
        <f>AND(Trans!E75,"AAAAAG3P/Vg=")</f>
        <v>#VALUE!:noResult:No valid cells found for operation.</v>
      </c>
      <c r="CL9" s="15" t="str">
        <f>AND(Trans!F75,"AAAAAG3P/Vk=")</f>
        <v>#VALUE!:noResult:No valid cells found for operation.</v>
      </c>
      <c r="CM9" s="15" t="str">
        <f>AND(Trans!G75,"AAAAAG3P/Vo=")</f>
        <v>#VALUE!:noResult:No valid cells found for operation.</v>
      </c>
      <c r="CN9" s="15" t="str">
        <f>#REF!</f>
        <v>#VALUE!:noResult:No valid cells found for operation.</v>
      </c>
      <c r="CO9" s="15" t="str">
        <f>AND(Trans!H75,"AAAAAG3P/Vw=")</f>
        <v>#VALUE!:noResult:No valid cells found for operation.</v>
      </c>
      <c r="CP9" s="15" t="str">
        <f>#REF!</f>
        <v>#VALUE!:noResult:No valid cells found for operation.</v>
      </c>
      <c r="CQ9" s="15" t="str">
        <f>#REF!</f>
        <v>#VALUE!:noResult:No valid cells found for operation.</v>
      </c>
      <c r="CR9" s="15" t="str">
        <f>#REF!</f>
        <v>#VALUE!:noResult:No valid cells found for operation.</v>
      </c>
      <c r="CS9" s="15" t="str">
        <f>#REF!</f>
        <v>#VALUE!:noResult:No valid cells found for operation.</v>
      </c>
      <c r="CT9" s="15" t="str">
        <f>#REF!</f>
        <v>#VALUE!:noResult:No valid cells found for operation.</v>
      </c>
      <c r="CU9" s="15" t="str">
        <f>#REF!</f>
        <v>#VALUE!:noResult:No valid cells found for operation.</v>
      </c>
      <c r="CV9" s="15">
        <f>IF(Trans!R[67],"AAAAAG3P/WM=",0)</f>
        <v>0</v>
      </c>
      <c r="CW9" s="15" t="b">
        <f>AND(Trans!A76,"AAAAAG3P/WQ=")</f>
        <v>1</v>
      </c>
      <c r="CX9" s="15" t="str">
        <f>AND(Trans!B76,"AAAAAG3P/WU=")</f>
        <v>#VALUE!:noResult:No valid cells found for operation.</v>
      </c>
      <c r="CY9" s="15" t="b">
        <f>AND(Trans!C76,"AAAAAG3P/WY=")</f>
        <v>1</v>
      </c>
      <c r="CZ9" s="15" t="b">
        <f>AND(Trans!D76,"AAAAAG3P/Wc=")</f>
        <v>1</v>
      </c>
      <c r="DA9" s="15" t="str">
        <f>AND(Trans!E76,"AAAAAG3P/Wg=")</f>
        <v>#VALUE!:noResult:No valid cells found for operation.</v>
      </c>
      <c r="DB9" s="15" t="str">
        <f>AND(Trans!F76,"AAAAAG3P/Wk=")</f>
        <v>#VALUE!:noResult:No valid cells found for operation.</v>
      </c>
      <c r="DC9" s="15" t="str">
        <f>AND(Trans!G76,"AAAAAG3P/Wo=")</f>
        <v>#VALUE!:noResult:No valid cells found for operation.</v>
      </c>
      <c r="DD9" s="15" t="str">
        <f>#REF!</f>
        <v>#VALUE!:noResult:No valid cells found for operation.</v>
      </c>
      <c r="DE9" s="15" t="str">
        <f>AND(Trans!H76,"AAAAAG3P/Ww=")</f>
        <v>#VALUE!:noResult:No valid cells found for operation.</v>
      </c>
      <c r="DF9" s="15" t="str">
        <f>#REF!</f>
        <v>#VALUE!:noResult:No valid cells found for operation.</v>
      </c>
      <c r="DG9" s="15" t="str">
        <f>#REF!</f>
        <v>#VALUE!:noResult:No valid cells found for operation.</v>
      </c>
      <c r="DH9" s="15" t="str">
        <f>#REF!</f>
        <v>#VALUE!:noResult:No valid cells found for operation.</v>
      </c>
      <c r="DI9" s="15" t="str">
        <f>#REF!</f>
        <v>#VALUE!:noResult:No valid cells found for operation.</v>
      </c>
      <c r="DJ9" s="15" t="str">
        <f>#REF!</f>
        <v>#VALUE!:noResult:No valid cells found for operation.</v>
      </c>
      <c r="DK9" s="15" t="str">
        <f>#REF!</f>
        <v>#VALUE!:noResult:No valid cells found for operation.</v>
      </c>
      <c r="DL9" s="15">
        <f>IF(Trans!R[68],"AAAAAG3P/XM=",0)</f>
        <v>0</v>
      </c>
      <c r="DM9" s="15" t="b">
        <f>AND(Trans!A77,"AAAAAG3P/XQ=")</f>
        <v>1</v>
      </c>
      <c r="DN9" s="15" t="str">
        <f>AND(Trans!B77,"AAAAAG3P/XU=")</f>
        <v>#VALUE!:noResult:No valid cells found for operation.</v>
      </c>
      <c r="DO9" s="15" t="b">
        <f>AND(Trans!C77,"AAAAAG3P/XY=")</f>
        <v>1</v>
      </c>
      <c r="DP9" s="15" t="b">
        <f>AND(Trans!D77,"AAAAAG3P/Xc=")</f>
        <v>1</v>
      </c>
      <c r="DQ9" s="15" t="str">
        <f>AND(Trans!E77,"AAAAAG3P/Xg=")</f>
        <v>#VALUE!:noResult:No valid cells found for operation.</v>
      </c>
      <c r="DR9" s="15" t="str">
        <f>AND(Trans!F77,"AAAAAG3P/Xk=")</f>
        <v>#VALUE!:noResult:No valid cells found for operation.</v>
      </c>
      <c r="DS9" s="15" t="str">
        <f>AND(Trans!G77,"AAAAAG3P/Xo=")</f>
        <v>#VALUE!:noResult:No valid cells found for operation.</v>
      </c>
      <c r="DT9" s="15" t="str">
        <f>#REF!</f>
        <v>#VALUE!:noResult:No valid cells found for operation.</v>
      </c>
      <c r="DU9" s="15" t="str">
        <f>AND(Trans!H77,"AAAAAG3P/Xw=")</f>
        <v>#VALUE!:noResult:No valid cells found for operation.</v>
      </c>
      <c r="DV9" s="15" t="str">
        <f>#REF!</f>
        <v>#VALUE!:noResult:No valid cells found for operation.</v>
      </c>
      <c r="DW9" s="15" t="str">
        <f>#REF!</f>
        <v>#VALUE!:noResult:No valid cells found for operation.</v>
      </c>
      <c r="DX9" s="15" t="str">
        <f>#REF!</f>
        <v>#VALUE!:noResult:No valid cells found for operation.</v>
      </c>
      <c r="DY9" s="15" t="str">
        <f>#REF!</f>
        <v>#VALUE!:noResult:No valid cells found for operation.</v>
      </c>
      <c r="DZ9" s="15" t="str">
        <f>#REF!</f>
        <v>#VALUE!:noResult:No valid cells found for operation.</v>
      </c>
      <c r="EA9" s="15" t="str">
        <f>#REF!</f>
        <v>#VALUE!:noResult:No valid cells found for operation.</v>
      </c>
      <c r="EB9" s="15">
        <f>IF(Trans!R[69],"AAAAAG3P/YM=",0)</f>
        <v>0</v>
      </c>
      <c r="EC9" s="15" t="b">
        <f>AND(Trans!A78,"AAAAAG3P/YQ=")</f>
        <v>1</v>
      </c>
      <c r="ED9" s="15" t="str">
        <f>AND(Trans!B78,"AAAAAG3P/YU=")</f>
        <v>#VALUE!:noResult:No valid cells found for operation.</v>
      </c>
      <c r="EE9" s="15" t="b">
        <f>AND(Trans!C78,"AAAAAG3P/YY=")</f>
        <v>1</v>
      </c>
      <c r="EF9" s="15" t="b">
        <f>AND(Trans!D78,"AAAAAG3P/Yc=")</f>
        <v>1</v>
      </c>
      <c r="EG9" s="15" t="str">
        <f>AND(Trans!E78,"AAAAAG3P/Yg=")</f>
        <v>#VALUE!:noResult:No valid cells found for operation.</v>
      </c>
      <c r="EH9" s="15" t="str">
        <f>AND(Trans!F78,"AAAAAG3P/Yk=")</f>
        <v>#VALUE!:noResult:No valid cells found for operation.</v>
      </c>
      <c r="EI9" s="15" t="str">
        <f>AND(Trans!G78,"AAAAAG3P/Yo=")</f>
        <v>#VALUE!:noResult:No valid cells found for operation.</v>
      </c>
      <c r="EJ9" s="15" t="str">
        <f>#REF!</f>
        <v>#VALUE!:noResult:No valid cells found for operation.</v>
      </c>
      <c r="EK9" s="15" t="str">
        <f>AND(Trans!H78,"AAAAAG3P/Yw=")</f>
        <v>#VALUE!:noResult:No valid cells found for operation.</v>
      </c>
      <c r="EL9" s="15" t="str">
        <f>#REF!</f>
        <v>#VALUE!:noResult:No valid cells found for operation.</v>
      </c>
      <c r="EM9" s="15" t="str">
        <f>#REF!</f>
        <v>#VALUE!:noResult:No valid cells found for operation.</v>
      </c>
      <c r="EN9" s="15" t="str">
        <f>#REF!</f>
        <v>#VALUE!:noResult:No valid cells found for operation.</v>
      </c>
      <c r="EO9" s="15" t="str">
        <f>#REF!</f>
        <v>#VALUE!:noResult:No valid cells found for operation.</v>
      </c>
      <c r="EP9" s="15" t="str">
        <f>#REF!</f>
        <v>#VALUE!:noResult:No valid cells found for operation.</v>
      </c>
      <c r="EQ9" s="15" t="str">
        <f>#REF!</f>
        <v>#VALUE!:noResult:No valid cells found for operation.</v>
      </c>
      <c r="ER9" s="15">
        <f>IF(Trans!R[70],"AAAAAG3P/ZM=",0)</f>
        <v>0</v>
      </c>
      <c r="ES9" s="15" t="b">
        <f>AND(Trans!A79,"AAAAAG3P/ZQ=")</f>
        <v>1</v>
      </c>
      <c r="ET9" s="15" t="str">
        <f>AND(Trans!B79,"AAAAAG3P/ZU=")</f>
        <v>#VALUE!:noResult:No valid cells found for operation.</v>
      </c>
      <c r="EU9" s="15" t="b">
        <f>AND(Trans!C79,"AAAAAG3P/ZY=")</f>
        <v>1</v>
      </c>
      <c r="EV9" s="15" t="b">
        <f>AND(Trans!D79,"AAAAAG3P/Zc=")</f>
        <v>1</v>
      </c>
      <c r="EW9" s="15" t="str">
        <f>AND(Trans!E79,"AAAAAG3P/Zg=")</f>
        <v>#VALUE!:noResult:No valid cells found for operation.</v>
      </c>
      <c r="EX9" s="15" t="str">
        <f>AND(Trans!F79,"AAAAAG3P/Zk=")</f>
        <v>#VALUE!:noResult:No valid cells found for operation.</v>
      </c>
      <c r="EY9" s="15" t="str">
        <f>AND(Trans!G79,"AAAAAG3P/Zo=")</f>
        <v>#VALUE!:noResult:No valid cells found for operation.</v>
      </c>
      <c r="EZ9" s="15" t="str">
        <f>#REF!</f>
        <v>#VALUE!:noResult:No valid cells found for operation.</v>
      </c>
      <c r="FA9" s="15" t="str">
        <f>AND(Trans!H79,"AAAAAG3P/Zw=")</f>
        <v>#VALUE!:noResult:No valid cells found for operation.</v>
      </c>
      <c r="FB9" s="15" t="str">
        <f>#REF!</f>
        <v>#VALUE!:noResult:No valid cells found for operation.</v>
      </c>
      <c r="FC9" s="15" t="str">
        <f>#REF!</f>
        <v>#VALUE!:noResult:No valid cells found for operation.</v>
      </c>
      <c r="FD9" s="15" t="str">
        <f>#REF!</f>
        <v>#VALUE!:noResult:No valid cells found for operation.</v>
      </c>
      <c r="FE9" s="15" t="str">
        <f>#REF!</f>
        <v>#VALUE!:noResult:No valid cells found for operation.</v>
      </c>
      <c r="FF9" s="15" t="str">
        <f>#REF!</f>
        <v>#VALUE!:noResult:No valid cells found for operation.</v>
      </c>
      <c r="FG9" s="15" t="str">
        <f>#REF!</f>
        <v>#VALUE!:noResult:No valid cells found for operation.</v>
      </c>
      <c r="FH9" s="15">
        <f>IF(Trans!R[71],"AAAAAG3P/aM=",0)</f>
        <v>0</v>
      </c>
      <c r="FI9" s="15" t="b">
        <f>AND(Trans!A80,"AAAAAG3P/aQ=")</f>
        <v>1</v>
      </c>
      <c r="FJ9" s="15" t="str">
        <f>AND(Trans!B80,"AAAAAG3P/aU=")</f>
        <v>#VALUE!:noResult:No valid cells found for operation.</v>
      </c>
      <c r="FK9" s="15" t="b">
        <f>AND(Trans!C80,"AAAAAG3P/aY=")</f>
        <v>1</v>
      </c>
      <c r="FL9" s="15" t="b">
        <f>AND(Trans!D80,"AAAAAG3P/ac=")</f>
        <v>1</v>
      </c>
      <c r="FM9" s="15" t="str">
        <f>AND(Trans!E80,"AAAAAG3P/ag=")</f>
        <v>#VALUE!:noResult:No valid cells found for operation.</v>
      </c>
      <c r="FN9" s="15" t="str">
        <f>AND(Trans!F80,"AAAAAG3P/ak=")</f>
        <v>#VALUE!:noResult:No valid cells found for operation.</v>
      </c>
      <c r="FO9" s="15" t="str">
        <f>AND(Trans!G80,"AAAAAG3P/ao=")</f>
        <v>#VALUE!:noResult:No valid cells found for operation.</v>
      </c>
      <c r="FP9" s="15" t="str">
        <f>#REF!</f>
        <v>#VALUE!:noResult:No valid cells found for operation.</v>
      </c>
      <c r="FQ9" s="15" t="str">
        <f>AND(Trans!H80,"AAAAAG3P/aw=")</f>
        <v>#VALUE!:noResult:No valid cells found for operation.</v>
      </c>
      <c r="FR9" s="15" t="str">
        <f>#REF!</f>
        <v>#VALUE!:noResult:No valid cells found for operation.</v>
      </c>
      <c r="FS9" s="15" t="str">
        <f>#REF!</f>
        <v>#VALUE!:noResult:No valid cells found for operation.</v>
      </c>
      <c r="FT9" s="15" t="str">
        <f>#REF!</f>
        <v>#VALUE!:noResult:No valid cells found for operation.</v>
      </c>
      <c r="FU9" s="15" t="str">
        <f>#REF!</f>
        <v>#VALUE!:noResult:No valid cells found for operation.</v>
      </c>
      <c r="FV9" s="15" t="str">
        <f>#REF!</f>
        <v>#VALUE!:noResult:No valid cells found for operation.</v>
      </c>
      <c r="FW9" s="15" t="str">
        <f>#REF!</f>
        <v>#VALUE!:noResult:No valid cells found for operation.</v>
      </c>
      <c r="FX9" s="15">
        <f>IF(Trans!R[72],"AAAAAG3P/bM=",0)</f>
        <v>0</v>
      </c>
      <c r="FY9" s="15" t="b">
        <f>AND(Trans!A81,"AAAAAG3P/bQ=")</f>
        <v>1</v>
      </c>
      <c r="FZ9" s="15" t="str">
        <f>AND(Trans!B81,"AAAAAG3P/bU=")</f>
        <v>#VALUE!:noResult:No valid cells found for operation.</v>
      </c>
      <c r="GA9" s="15" t="b">
        <f>AND(Trans!C81,"AAAAAG3P/bY=")</f>
        <v>1</v>
      </c>
      <c r="GB9" s="15" t="b">
        <f>AND(Trans!D81,"AAAAAG3P/bc=")</f>
        <v>1</v>
      </c>
      <c r="GC9" s="15" t="str">
        <f>AND(Trans!E81,"AAAAAG3P/bg=")</f>
        <v>#VALUE!:noResult:No valid cells found for operation.</v>
      </c>
      <c r="GD9" s="15" t="str">
        <f>AND(Trans!F81,"AAAAAG3P/bk=")</f>
        <v>#VALUE!:noResult:No valid cells found for operation.</v>
      </c>
      <c r="GE9" s="15" t="str">
        <f>AND(Trans!G81,"AAAAAG3P/bo=")</f>
        <v>#VALUE!:noResult:No valid cells found for operation.</v>
      </c>
      <c r="GF9" s="15" t="str">
        <f>#REF!</f>
        <v>#VALUE!:noResult:No valid cells found for operation.</v>
      </c>
      <c r="GG9" s="15" t="str">
        <f>AND(Trans!H81,"AAAAAG3P/bw=")</f>
        <v>#VALUE!:noResult:No valid cells found for operation.</v>
      </c>
      <c r="GH9" s="15" t="str">
        <f>#REF!</f>
        <v>#VALUE!:noResult:No valid cells found for operation.</v>
      </c>
      <c r="GI9" s="15" t="str">
        <f>#REF!</f>
        <v>#VALUE!:noResult:No valid cells found for operation.</v>
      </c>
      <c r="GJ9" s="15" t="str">
        <f>#REF!</f>
        <v>#VALUE!:noResult:No valid cells found for operation.</v>
      </c>
      <c r="GK9" s="15" t="str">
        <f>#REF!</f>
        <v>#VALUE!:noResult:No valid cells found for operation.</v>
      </c>
      <c r="GL9" s="15" t="str">
        <f>#REF!</f>
        <v>#VALUE!:noResult:No valid cells found for operation.</v>
      </c>
      <c r="GM9" s="15" t="str">
        <f>#REF!</f>
        <v>#VALUE!:noResult:No valid cells found for operation.</v>
      </c>
      <c r="GN9" s="15">
        <f>IF(Trans!R[73],"AAAAAG3P/cM=",0)</f>
        <v>0</v>
      </c>
      <c r="GO9" s="15" t="b">
        <f>AND(Trans!A82,"AAAAAG3P/cQ=")</f>
        <v>1</v>
      </c>
      <c r="GP9" s="15" t="str">
        <f>AND(Trans!B82,"AAAAAG3P/cU=")</f>
        <v>#VALUE!:noResult:No valid cells found for operation.</v>
      </c>
      <c r="GQ9" s="15" t="b">
        <f>AND(Trans!C82,"AAAAAG3P/cY=")</f>
        <v>1</v>
      </c>
      <c r="GR9" s="15" t="b">
        <f>AND(Trans!D82,"AAAAAG3P/cc=")</f>
        <v>1</v>
      </c>
      <c r="GS9" s="15" t="str">
        <f>AND(Trans!E82,"AAAAAG3P/cg=")</f>
        <v>#VALUE!:noResult:No valid cells found for operation.</v>
      </c>
      <c r="GT9" s="15" t="str">
        <f>AND(Trans!F82,"AAAAAG3P/ck=")</f>
        <v>#VALUE!:noResult:No valid cells found for operation.</v>
      </c>
      <c r="GU9" s="15" t="str">
        <f>AND(Trans!G82,"AAAAAG3P/co=")</f>
        <v>#VALUE!:noResult:No valid cells found for operation.</v>
      </c>
      <c r="GV9" s="15" t="str">
        <f>#REF!</f>
        <v>#VALUE!:noResult:No valid cells found for operation.</v>
      </c>
      <c r="GW9" s="15" t="str">
        <f>AND(Trans!H82,"AAAAAG3P/cw=")</f>
        <v>#VALUE!:noResult:No valid cells found for operation.</v>
      </c>
      <c r="GX9" s="15" t="str">
        <f>#REF!</f>
        <v>#VALUE!:noResult:No valid cells found for operation.</v>
      </c>
      <c r="GY9" s="15" t="str">
        <f>#REF!</f>
        <v>#VALUE!:noResult:No valid cells found for operation.</v>
      </c>
      <c r="GZ9" s="15" t="str">
        <f>#REF!</f>
        <v>#VALUE!:noResult:No valid cells found for operation.</v>
      </c>
      <c r="HA9" s="15" t="str">
        <f>#REF!</f>
        <v>#VALUE!:noResult:No valid cells found for operation.</v>
      </c>
      <c r="HB9" s="15" t="str">
        <f>#REF!</f>
        <v>#VALUE!:noResult:No valid cells found for operation.</v>
      </c>
      <c r="HC9" s="15" t="str">
        <f>#REF!</f>
        <v>#VALUE!:noResult:No valid cells found for operation.</v>
      </c>
      <c r="HD9" s="15">
        <f>IF(Trans!R[74],"AAAAAG3P/dM=",0)</f>
        <v>0</v>
      </c>
      <c r="HE9" s="15" t="b">
        <f>AND(Trans!A83,"AAAAAG3P/dQ=")</f>
        <v>1</v>
      </c>
      <c r="HF9" s="15" t="str">
        <f>AND(Trans!B83,"AAAAAG3P/dU=")</f>
        <v>#VALUE!:noResult:No valid cells found for operation.</v>
      </c>
      <c r="HG9" s="15" t="b">
        <f>AND(Trans!C83,"AAAAAG3P/dY=")</f>
        <v>1</v>
      </c>
      <c r="HH9" s="15" t="b">
        <f>AND(Trans!D83,"AAAAAG3P/dc=")</f>
        <v>1</v>
      </c>
      <c r="HI9" s="15" t="str">
        <f>AND(Trans!E83,"AAAAAG3P/dg=")</f>
        <v>#VALUE!:noResult:No valid cells found for operation.</v>
      </c>
      <c r="HJ9" s="15" t="str">
        <f>AND(Trans!F83,"AAAAAG3P/dk=")</f>
        <v>#VALUE!:noResult:No valid cells found for operation.</v>
      </c>
      <c r="HK9" s="15" t="str">
        <f>AND(Trans!G83,"AAAAAG3P/do=")</f>
        <v>#VALUE!:noResult:No valid cells found for operation.</v>
      </c>
      <c r="HL9" s="15" t="str">
        <f>#REF!</f>
        <v>#VALUE!:noResult:No valid cells found for operation.</v>
      </c>
      <c r="HM9" s="15" t="str">
        <f>AND(Trans!H83,"AAAAAG3P/dw=")</f>
        <v>#VALUE!:noResult:No valid cells found for operation.</v>
      </c>
      <c r="HN9" s="15" t="str">
        <f>#REF!</f>
        <v>#VALUE!:noResult:No valid cells found for operation.</v>
      </c>
      <c r="HO9" s="15" t="str">
        <f>#REF!</f>
        <v>#VALUE!:noResult:No valid cells found for operation.</v>
      </c>
      <c r="HP9" s="15" t="str">
        <f>#REF!</f>
        <v>#VALUE!:noResult:No valid cells found for operation.</v>
      </c>
      <c r="HQ9" s="15" t="str">
        <f>#REF!</f>
        <v>#VALUE!:noResult:No valid cells found for operation.</v>
      </c>
      <c r="HR9" s="15" t="str">
        <f>#REF!</f>
        <v>#VALUE!:noResult:No valid cells found for operation.</v>
      </c>
      <c r="HS9" s="15" t="str">
        <f>#REF!</f>
        <v>#VALUE!:noResult:No valid cells found for operation.</v>
      </c>
      <c r="HT9" s="15">
        <f>IF(Trans!R[75],"AAAAAG3P/eM=",0)</f>
        <v>0</v>
      </c>
      <c r="HU9" s="15" t="b">
        <f>AND(Trans!A84,"AAAAAG3P/eQ=")</f>
        <v>1</v>
      </c>
      <c r="HV9" s="15" t="str">
        <f>AND(Trans!B84,"AAAAAG3P/eU=")</f>
        <v>#VALUE!:noResult:No valid cells found for operation.</v>
      </c>
      <c r="HW9" s="15" t="b">
        <f>AND(Trans!C84,"AAAAAG3P/eY=")</f>
        <v>1</v>
      </c>
      <c r="HX9" s="15" t="b">
        <f>AND(Trans!D84,"AAAAAG3P/ec=")</f>
        <v>1</v>
      </c>
      <c r="HY9" s="15" t="str">
        <f>AND(Trans!E84,"AAAAAG3P/eg=")</f>
        <v>#VALUE!:noResult:No valid cells found for operation.</v>
      </c>
      <c r="HZ9" s="15" t="str">
        <f>AND(Trans!F84,"AAAAAG3P/ek=")</f>
        <v>#VALUE!:noResult:No valid cells found for operation.</v>
      </c>
      <c r="IA9" s="15" t="str">
        <f>AND(Trans!G84,"AAAAAG3P/eo=")</f>
        <v>#VALUE!:noResult:No valid cells found for operation.</v>
      </c>
      <c r="IB9" s="15" t="str">
        <f>#REF!</f>
        <v>#VALUE!:noResult:No valid cells found for operation.</v>
      </c>
      <c r="IC9" s="15" t="str">
        <f>AND(Trans!H84,"AAAAAG3P/ew=")</f>
        <v>#VALUE!:noResult:No valid cells found for operation.</v>
      </c>
      <c r="ID9" s="15" t="str">
        <f>#REF!</f>
        <v>#VALUE!:noResult:No valid cells found for operation.</v>
      </c>
      <c r="IE9" s="15" t="str">
        <f>#REF!</f>
        <v>#VALUE!:noResult:No valid cells found for operation.</v>
      </c>
      <c r="IF9" s="15" t="str">
        <f>#REF!</f>
        <v>#VALUE!:noResult:No valid cells found for operation.</v>
      </c>
      <c r="IG9" s="15" t="str">
        <f>#REF!</f>
        <v>#VALUE!:noResult:No valid cells found for operation.</v>
      </c>
      <c r="IH9" s="15" t="str">
        <f>#REF!</f>
        <v>#VALUE!:noResult:No valid cells found for operation.</v>
      </c>
      <c r="II9" s="15" t="str">
        <f>#REF!</f>
        <v>#VALUE!:noResult:No valid cells found for operation.</v>
      </c>
      <c r="IJ9" s="15">
        <f>IF(Trans!R[76],"AAAAAG3P/fM=",0)</f>
        <v>0</v>
      </c>
      <c r="IK9" s="15" t="b">
        <f>AND(Trans!A85,"AAAAAG3P/fQ=")</f>
        <v>1</v>
      </c>
      <c r="IL9" s="15" t="str">
        <f>AND(Trans!B85,"AAAAAG3P/fU=")</f>
        <v>#VALUE!:noResult:No valid cells found for operation.</v>
      </c>
      <c r="IM9" s="15" t="b">
        <f>AND(Trans!C85,"AAAAAG3P/fY=")</f>
        <v>1</v>
      </c>
      <c r="IN9" s="15" t="b">
        <f>AND(Trans!D85,"AAAAAG3P/fc=")</f>
        <v>1</v>
      </c>
      <c r="IO9" s="15" t="str">
        <f>AND(Trans!E85,"AAAAAG3P/fg=")</f>
        <v>#VALUE!:noResult:No valid cells found for operation.</v>
      </c>
      <c r="IP9" s="15" t="str">
        <f>AND(Trans!F85,"AAAAAG3P/fk=")</f>
        <v>#VALUE!:noResult:No valid cells found for operation.</v>
      </c>
      <c r="IQ9" s="15" t="str">
        <f>AND(Trans!G85,"AAAAAG3P/fo=")</f>
        <v>#VALUE!:noResult:No valid cells found for operation.</v>
      </c>
      <c r="IR9" s="15" t="str">
        <f>#REF!</f>
        <v>#VALUE!:noResult:No valid cells found for operation.</v>
      </c>
      <c r="IS9" s="15" t="str">
        <f>AND(Trans!H85,"AAAAAG3P/fw=")</f>
        <v>#VALUE!:noResult:No valid cells found for operation.</v>
      </c>
      <c r="IT9" s="15" t="str">
        <f>#REF!</f>
        <v>#VALUE!:noResult:No valid cells found for operation.</v>
      </c>
      <c r="IU9" s="15" t="str">
        <f>#REF!</f>
        <v>#VALUE!:noResult:No valid cells found for operation.</v>
      </c>
      <c r="IV9" s="15" t="str">
        <f>#REF!</f>
        <v>#VALUE!:noResult:No valid cells found for operation.</v>
      </c>
    </row>
    <row r="10">
      <c r="A10" s="15" t="str">
        <f>#REF!</f>
        <v>#VALUE!:noResult:No valid cells found for operation.</v>
      </c>
      <c r="B10" s="15" t="str">
        <f>#REF!</f>
        <v>#VALUE!:noResult:No valid cells found for operation.</v>
      </c>
      <c r="C10" s="15" t="str">
        <f>#REF!</f>
        <v>#VALUE!:noResult:No valid cells found for operation.</v>
      </c>
      <c r="D10" s="15" t="str">
        <f>IF(Trans!R[76],"AAAAADdZLgM=",0)</f>
        <v>AAAAADdZLgM=</v>
      </c>
      <c r="E10" s="15" t="b">
        <f>AND(Trans!A86,"AAAAADdZLgQ=")</f>
        <v>1</v>
      </c>
      <c r="F10" s="15" t="str">
        <f>AND(Trans!B86,"AAAAADdZLgU=")</f>
        <v>#VALUE!:noResult:No valid cells found for operation.</v>
      </c>
      <c r="G10" s="15" t="b">
        <f>AND(Trans!C86,"AAAAADdZLgY=")</f>
        <v>1</v>
      </c>
      <c r="H10" s="15" t="b">
        <f>AND(Trans!D86,"AAAAADdZLgc=")</f>
        <v>1</v>
      </c>
      <c r="I10" s="15" t="str">
        <f>AND(Trans!E86,"AAAAADdZLgg=")</f>
        <v>#VALUE!:noResult:No valid cells found for operation.</v>
      </c>
      <c r="J10" s="15" t="str">
        <f>AND(Trans!F86,"AAAAADdZLgk=")</f>
        <v>#VALUE!:noResult:No valid cells found for operation.</v>
      </c>
      <c r="K10" s="15" t="str">
        <f>AND(Trans!G86,"AAAAADdZLgo=")</f>
        <v>#VALUE!:noResult:No valid cells found for operation.</v>
      </c>
      <c r="L10" s="15" t="str">
        <f>#REF!</f>
        <v>#VALUE!:noResult:No valid cells found for operation.</v>
      </c>
      <c r="M10" s="15" t="str">
        <f>AND(Trans!H86,"AAAAADdZLgw=")</f>
        <v>#VALUE!:noResult:No valid cells found for operation.</v>
      </c>
      <c r="N10" s="15" t="str">
        <f>#REF!</f>
        <v>#VALUE!:noResult:No valid cells found for operation.</v>
      </c>
      <c r="O10" s="15" t="str">
        <f>#REF!</f>
        <v>#VALUE!:noResult:No valid cells found for operation.</v>
      </c>
      <c r="P10" s="15" t="str">
        <f>#REF!</f>
        <v>#VALUE!:noResult:No valid cells found for operation.</v>
      </c>
      <c r="Q10" s="15" t="str">
        <f>#REF!</f>
        <v>#VALUE!:noResult:No valid cells found for operation.</v>
      </c>
      <c r="R10" s="15" t="str">
        <f>#REF!</f>
        <v>#VALUE!:noResult:No valid cells found for operation.</v>
      </c>
      <c r="S10" s="15" t="str">
        <f>#REF!</f>
        <v>#VALUE!:noResult:No valid cells found for operation.</v>
      </c>
      <c r="T10" s="15">
        <f>IF(Trans!R[77],"AAAAADdZLhM=",0)</f>
        <v>0</v>
      </c>
      <c r="U10" s="15" t="b">
        <f>AND(Trans!A87,"AAAAADdZLhQ=")</f>
        <v>1</v>
      </c>
      <c r="V10" s="15" t="str">
        <f>AND(Trans!B87,"AAAAADdZLhU=")</f>
        <v>#VALUE!:noResult:No valid cells found for operation.</v>
      </c>
      <c r="W10" s="15" t="b">
        <f>AND(Trans!C87,"AAAAADdZLhY=")</f>
        <v>1</v>
      </c>
      <c r="X10" s="15" t="b">
        <f>AND(Trans!D87,"AAAAADdZLhc=")</f>
        <v>1</v>
      </c>
      <c r="Y10" s="15" t="str">
        <f>AND(Trans!E87,"AAAAADdZLhg=")</f>
        <v>#VALUE!:noResult:No valid cells found for operation.</v>
      </c>
      <c r="Z10" s="15" t="str">
        <f>AND(Trans!F87,"AAAAADdZLhk=")</f>
        <v>#VALUE!:noResult:No valid cells found for operation.</v>
      </c>
      <c r="AA10" s="15" t="str">
        <f>AND(Trans!G87,"AAAAADdZLho=")</f>
        <v>#VALUE!:noResult:No valid cells found for operation.</v>
      </c>
      <c r="AB10" s="15" t="str">
        <f>#REF!</f>
        <v>#VALUE!:noResult:No valid cells found for operation.</v>
      </c>
      <c r="AC10" s="15" t="str">
        <f>AND(Trans!H87,"AAAAADdZLhw=")</f>
        <v>#VALUE!:noResult:No valid cells found for operation.</v>
      </c>
      <c r="AD10" s="15" t="str">
        <f>#REF!</f>
        <v>#VALUE!:noResult:No valid cells found for operation.</v>
      </c>
      <c r="AE10" s="15" t="str">
        <f>#REF!</f>
        <v>#VALUE!:noResult:No valid cells found for operation.</v>
      </c>
      <c r="AF10" s="15" t="str">
        <f>#REF!</f>
        <v>#VALUE!:noResult:No valid cells found for operation.</v>
      </c>
      <c r="AG10" s="15" t="str">
        <f>#REF!</f>
        <v>#VALUE!:noResult:No valid cells found for operation.</v>
      </c>
      <c r="AH10" s="15" t="str">
        <f>#REF!</f>
        <v>#VALUE!:noResult:No valid cells found for operation.</v>
      </c>
      <c r="AI10" s="15" t="str">
        <f>#REF!</f>
        <v>#VALUE!:noResult:No valid cells found for operation.</v>
      </c>
      <c r="AJ10" s="15">
        <f>IF(Trans!R[78],"AAAAADdZLiM=",0)</f>
        <v>0</v>
      </c>
      <c r="AK10" s="15" t="b">
        <f>AND(Trans!A88,"AAAAADdZLiQ=")</f>
        <v>1</v>
      </c>
      <c r="AL10" s="15" t="str">
        <f>AND(Trans!B88,"AAAAADdZLiU=")</f>
        <v>#VALUE!:noResult:No valid cells found for operation.</v>
      </c>
      <c r="AM10" s="15" t="b">
        <f>AND(Trans!C88,"AAAAADdZLiY=")</f>
        <v>1</v>
      </c>
      <c r="AN10" s="15" t="b">
        <f>AND(Trans!D88,"AAAAADdZLic=")</f>
        <v>1</v>
      </c>
      <c r="AO10" s="15" t="str">
        <f>AND(Trans!E88,"AAAAADdZLig=")</f>
        <v>#VALUE!:noResult:No valid cells found for operation.</v>
      </c>
      <c r="AP10" s="15" t="str">
        <f>AND(Trans!F88,"AAAAADdZLik=")</f>
        <v>#VALUE!:noResult:No valid cells found for operation.</v>
      </c>
      <c r="AQ10" s="15" t="str">
        <f>AND(Trans!G88,"AAAAADdZLio=")</f>
        <v>#VALUE!:noResult:No valid cells found for operation.</v>
      </c>
      <c r="AR10" s="15" t="str">
        <f>#REF!</f>
        <v>#VALUE!:noResult:No valid cells found for operation.</v>
      </c>
      <c r="AS10" s="15" t="str">
        <f>AND(Trans!H88,"AAAAADdZLiw=")</f>
        <v>#VALUE!:noResult:No valid cells found for operation.</v>
      </c>
      <c r="AT10" s="15" t="str">
        <f>#REF!</f>
        <v>#VALUE!:noResult:No valid cells found for operation.</v>
      </c>
      <c r="AU10" s="15" t="str">
        <f>#REF!</f>
        <v>#VALUE!:noResult:No valid cells found for operation.</v>
      </c>
      <c r="AV10" s="15" t="str">
        <f>#REF!</f>
        <v>#VALUE!:noResult:No valid cells found for operation.</v>
      </c>
      <c r="AW10" s="15" t="str">
        <f>#REF!</f>
        <v>#VALUE!:noResult:No valid cells found for operation.</v>
      </c>
      <c r="AX10" s="15" t="str">
        <f>#REF!</f>
        <v>#VALUE!:noResult:No valid cells found for operation.</v>
      </c>
      <c r="AY10" s="15" t="str">
        <f>#REF!</f>
        <v>#VALUE!:noResult:No valid cells found for operation.</v>
      </c>
      <c r="AZ10" s="15">
        <f>IF(Trans!R[79],"AAAAADdZLjM=",0)</f>
        <v>0</v>
      </c>
      <c r="BA10" s="15" t="b">
        <f>AND(Trans!A89,"AAAAADdZLjQ=")</f>
        <v>1</v>
      </c>
      <c r="BB10" s="15" t="str">
        <f>AND(Trans!B89,"AAAAADdZLjU=")</f>
        <v>#VALUE!:noResult:No valid cells found for operation.</v>
      </c>
      <c r="BC10" s="15" t="b">
        <f>AND(Trans!C89,"AAAAADdZLjY=")</f>
        <v>1</v>
      </c>
      <c r="BD10" s="15" t="b">
        <f>AND(Trans!D89,"AAAAADdZLjc=")</f>
        <v>1</v>
      </c>
      <c r="BE10" s="15" t="str">
        <f>AND(Trans!E89,"AAAAADdZLjg=")</f>
        <v>#VALUE!:noResult:No valid cells found for operation.</v>
      </c>
      <c r="BF10" s="15" t="str">
        <f>AND(Trans!F89,"AAAAADdZLjk=")</f>
        <v>#VALUE!:noResult:No valid cells found for operation.</v>
      </c>
      <c r="BG10" s="15" t="str">
        <f>AND(Trans!G89,"AAAAADdZLjo=")</f>
        <v>#VALUE!:noResult:No valid cells found for operation.</v>
      </c>
      <c r="BH10" s="15" t="str">
        <f>#REF!</f>
        <v>#VALUE!:noResult:No valid cells found for operation.</v>
      </c>
      <c r="BI10" s="15" t="str">
        <f>AND(Trans!H89,"AAAAADdZLjw=")</f>
        <v>#VALUE!:noResult:No valid cells found for operation.</v>
      </c>
      <c r="BJ10" s="15" t="str">
        <f>#REF!</f>
        <v>#VALUE!:noResult:No valid cells found for operation.</v>
      </c>
      <c r="BK10" s="15" t="str">
        <f>#REF!</f>
        <v>#VALUE!:noResult:No valid cells found for operation.</v>
      </c>
      <c r="BL10" s="15" t="str">
        <f>#REF!</f>
        <v>#VALUE!:noResult:No valid cells found for operation.</v>
      </c>
      <c r="BM10" s="15" t="str">
        <f>#REF!</f>
        <v>#VALUE!:noResult:No valid cells found for operation.</v>
      </c>
      <c r="BN10" s="15" t="str">
        <f>#REF!</f>
        <v>#VALUE!:noResult:No valid cells found for operation.</v>
      </c>
      <c r="BO10" s="15" t="str">
        <f>#REF!</f>
        <v>#VALUE!:noResult:No valid cells found for operation.</v>
      </c>
      <c r="BP10" s="15">
        <f>IF(Trans!R[80],"AAAAADdZLkM=",0)</f>
        <v>0</v>
      </c>
      <c r="BQ10" s="15" t="b">
        <f>AND(Trans!A90,"AAAAADdZLkQ=")</f>
        <v>1</v>
      </c>
      <c r="BR10" s="15" t="str">
        <f>AND(Trans!B90,"AAAAADdZLkU=")</f>
        <v>#VALUE!:noResult:No valid cells found for operation.</v>
      </c>
      <c r="BS10" s="15" t="b">
        <f>AND(Trans!C90,"AAAAADdZLkY=")</f>
        <v>1</v>
      </c>
      <c r="BT10" s="15" t="b">
        <f>AND(Trans!D90,"AAAAADdZLkc=")</f>
        <v>1</v>
      </c>
      <c r="BU10" s="15" t="str">
        <f>AND(Trans!E90,"AAAAADdZLkg=")</f>
        <v>#VALUE!:noResult:No valid cells found for operation.</v>
      </c>
      <c r="BV10" s="15" t="str">
        <f>AND(Trans!F90,"AAAAADdZLkk=")</f>
        <v>#VALUE!:noResult:No valid cells found for operation.</v>
      </c>
      <c r="BW10" s="15" t="str">
        <f>AND(Trans!G90,"AAAAADdZLko=")</f>
        <v>#VALUE!:noResult:No valid cells found for operation.</v>
      </c>
      <c r="BX10" s="15" t="str">
        <f>#REF!</f>
        <v>#VALUE!:noResult:No valid cells found for operation.</v>
      </c>
      <c r="BY10" s="15" t="str">
        <f>AND(Trans!H90,"AAAAADdZLkw=")</f>
        <v>#VALUE!:noResult:No valid cells found for operation.</v>
      </c>
      <c r="BZ10" s="15" t="str">
        <f>#REF!</f>
        <v>#VALUE!:noResult:No valid cells found for operation.</v>
      </c>
      <c r="CA10" s="15" t="str">
        <f>#REF!</f>
        <v>#VALUE!:noResult:No valid cells found for operation.</v>
      </c>
      <c r="CB10" s="15" t="str">
        <f>#REF!</f>
        <v>#VALUE!:noResult:No valid cells found for operation.</v>
      </c>
      <c r="CC10" s="15" t="str">
        <f>#REF!</f>
        <v>#VALUE!:noResult:No valid cells found for operation.</v>
      </c>
      <c r="CD10" s="15" t="str">
        <f>#REF!</f>
        <v>#VALUE!:noResult:No valid cells found for operation.</v>
      </c>
      <c r="CE10" s="15" t="str">
        <f>#REF!</f>
        <v>#VALUE!:noResult:No valid cells found for operation.</v>
      </c>
      <c r="CF10" s="15">
        <f>IF(Trans!R[81],"AAAAADdZLlM=",0)</f>
        <v>0</v>
      </c>
      <c r="CG10" s="15" t="b">
        <f>AND(Trans!A91,"AAAAADdZLlQ=")</f>
        <v>1</v>
      </c>
      <c r="CH10" s="15" t="str">
        <f>AND(Trans!B91,"AAAAADdZLlU=")</f>
        <v>#VALUE!:noResult:No valid cells found for operation.</v>
      </c>
      <c r="CI10" s="15" t="b">
        <f>AND(Trans!C91,"AAAAADdZLlY=")</f>
        <v>1</v>
      </c>
      <c r="CJ10" s="15" t="b">
        <f>AND(Trans!D91,"AAAAADdZLlc=")</f>
        <v>1</v>
      </c>
      <c r="CK10" s="15" t="str">
        <f>AND(Trans!E91,"AAAAADdZLlg=")</f>
        <v>#VALUE!:noResult:No valid cells found for operation.</v>
      </c>
      <c r="CL10" s="15" t="str">
        <f>AND(Trans!F91,"AAAAADdZLlk=")</f>
        <v>#VALUE!:noResult:No valid cells found for operation.</v>
      </c>
      <c r="CM10" s="15" t="str">
        <f>AND(Trans!G91,"AAAAADdZLlo=")</f>
        <v>#VALUE!:noResult:No valid cells found for operation.</v>
      </c>
      <c r="CN10" s="15" t="str">
        <f>#REF!</f>
        <v>#VALUE!:noResult:No valid cells found for operation.</v>
      </c>
      <c r="CO10" s="15" t="str">
        <f>AND(Trans!H91,"AAAAADdZLlw=")</f>
        <v>#VALUE!:noResult:No valid cells found for operation.</v>
      </c>
      <c r="CP10" s="15" t="str">
        <f>#REF!</f>
        <v>#VALUE!:noResult:No valid cells found for operation.</v>
      </c>
      <c r="CQ10" s="15" t="str">
        <f>#REF!</f>
        <v>#VALUE!:noResult:No valid cells found for operation.</v>
      </c>
      <c r="CR10" s="15" t="str">
        <f>#REF!</f>
        <v>#VALUE!:noResult:No valid cells found for operation.</v>
      </c>
      <c r="CS10" s="15" t="str">
        <f>#REF!</f>
        <v>#VALUE!:noResult:No valid cells found for operation.</v>
      </c>
      <c r="CT10" s="15" t="str">
        <f>#REF!</f>
        <v>#VALUE!:noResult:No valid cells found for operation.</v>
      </c>
      <c r="CU10" s="15" t="str">
        <f>#REF!</f>
        <v>#VALUE!:noResult:No valid cells found for operation.</v>
      </c>
      <c r="CV10" s="15">
        <f>IF(Trans!R[82],"AAAAADdZLmM=",0)</f>
        <v>0</v>
      </c>
      <c r="CW10" s="15" t="b">
        <f>AND(Trans!A92,"AAAAADdZLmQ=")</f>
        <v>1</v>
      </c>
      <c r="CX10" s="15" t="str">
        <f>AND(Trans!B92,"AAAAADdZLmU=")</f>
        <v>#VALUE!:noResult:No valid cells found for operation.</v>
      </c>
      <c r="CY10" s="15" t="b">
        <f>AND(Trans!C92,"AAAAADdZLmY=")</f>
        <v>1</v>
      </c>
      <c r="CZ10" s="15" t="b">
        <f>AND(Trans!D92,"AAAAADdZLmc=")</f>
        <v>1</v>
      </c>
      <c r="DA10" s="15" t="str">
        <f>AND(Trans!E92,"AAAAADdZLmg=")</f>
        <v>#VALUE!:noResult:No valid cells found for operation.</v>
      </c>
      <c r="DB10" s="15" t="str">
        <f>AND(Trans!F92,"AAAAADdZLmk=")</f>
        <v>#VALUE!:noResult:No valid cells found for operation.</v>
      </c>
      <c r="DC10" s="15" t="str">
        <f>AND(Trans!G92,"AAAAADdZLmo=")</f>
        <v>#VALUE!:noResult:No valid cells found for operation.</v>
      </c>
      <c r="DD10" s="15" t="str">
        <f>#REF!</f>
        <v>#VALUE!:noResult:No valid cells found for operation.</v>
      </c>
      <c r="DE10" s="15" t="str">
        <f>AND(Trans!H92,"AAAAADdZLmw=")</f>
        <v>#VALUE!:noResult:No valid cells found for operation.</v>
      </c>
      <c r="DF10" s="15" t="str">
        <f>#REF!</f>
        <v>#VALUE!:noResult:No valid cells found for operation.</v>
      </c>
      <c r="DG10" s="15" t="str">
        <f>#REF!</f>
        <v>#VALUE!:noResult:No valid cells found for operation.</v>
      </c>
      <c r="DH10" s="15" t="str">
        <f>#REF!</f>
        <v>#VALUE!:noResult:No valid cells found for operation.</v>
      </c>
      <c r="DI10" s="15" t="str">
        <f>#REF!</f>
        <v>#VALUE!:noResult:No valid cells found for operation.</v>
      </c>
      <c r="DJ10" s="15" t="str">
        <f>#REF!</f>
        <v>#VALUE!:noResult:No valid cells found for operation.</v>
      </c>
      <c r="DK10" s="15" t="str">
        <f>#REF!</f>
        <v>#VALUE!:noResult:No valid cells found for operation.</v>
      </c>
      <c r="DL10" s="15">
        <f>IF(Trans!R[83],"AAAAADdZLnM=",0)</f>
        <v>0</v>
      </c>
      <c r="DM10" s="15" t="b">
        <f>AND(Trans!A93,"AAAAADdZLnQ=")</f>
        <v>1</v>
      </c>
      <c r="DN10" s="15" t="str">
        <f>AND(Trans!B93,"AAAAADdZLnU=")</f>
        <v>#VALUE!:noResult:No valid cells found for operation.</v>
      </c>
      <c r="DO10" s="15" t="b">
        <f>AND(Trans!C93,"AAAAADdZLnY=")</f>
        <v>1</v>
      </c>
      <c r="DP10" s="15" t="b">
        <f>AND(Trans!D93,"AAAAADdZLnc=")</f>
        <v>1</v>
      </c>
      <c r="DQ10" s="15" t="str">
        <f>AND(Trans!E93,"AAAAADdZLng=")</f>
        <v>#VALUE!:noResult:No valid cells found for operation.</v>
      </c>
      <c r="DR10" s="15" t="str">
        <f>AND(Trans!F93,"AAAAADdZLnk=")</f>
        <v>#VALUE!:noResult:No valid cells found for operation.</v>
      </c>
      <c r="DS10" s="15" t="str">
        <f>AND(Trans!G93,"AAAAADdZLno=")</f>
        <v>#VALUE!:noResult:No valid cells found for operation.</v>
      </c>
      <c r="DT10" s="15" t="str">
        <f>#REF!</f>
        <v>#VALUE!:noResult:No valid cells found for operation.</v>
      </c>
      <c r="DU10" s="15" t="str">
        <f>AND(Trans!H93,"AAAAADdZLnw=")</f>
        <v>#VALUE!:noResult:No valid cells found for operation.</v>
      </c>
      <c r="DV10" s="15" t="str">
        <f>#REF!</f>
        <v>#VALUE!:noResult:No valid cells found for operation.</v>
      </c>
      <c r="DW10" s="15" t="str">
        <f>#REF!</f>
        <v>#VALUE!:noResult:No valid cells found for operation.</v>
      </c>
      <c r="DX10" s="15" t="str">
        <f>#REF!</f>
        <v>#VALUE!:noResult:No valid cells found for operation.</v>
      </c>
      <c r="DY10" s="15" t="str">
        <f>#REF!</f>
        <v>#VALUE!:noResult:No valid cells found for operation.</v>
      </c>
      <c r="DZ10" s="15" t="str">
        <f>#REF!</f>
        <v>#VALUE!:noResult:No valid cells found for operation.</v>
      </c>
      <c r="EA10" s="15" t="str">
        <f>#REF!</f>
        <v>#VALUE!:noResult:No valid cells found for operation.</v>
      </c>
      <c r="EB10" s="15">
        <f>IF(Trans!R[84],"AAAAADdZLoM=",0)</f>
        <v>0</v>
      </c>
      <c r="EC10" s="15" t="b">
        <f>AND(Trans!A94,"AAAAADdZLoQ=")</f>
        <v>1</v>
      </c>
      <c r="ED10" s="15" t="str">
        <f>AND(Trans!B94,"AAAAADdZLoU=")</f>
        <v>#VALUE!:noResult:No valid cells found for operation.</v>
      </c>
      <c r="EE10" s="15" t="b">
        <f>AND(Trans!C94,"AAAAADdZLoY=")</f>
        <v>1</v>
      </c>
      <c r="EF10" s="15" t="b">
        <f>AND(Trans!D94,"AAAAADdZLoc=")</f>
        <v>1</v>
      </c>
      <c r="EG10" s="15" t="str">
        <f>AND(Trans!E94,"AAAAADdZLog=")</f>
        <v>#VALUE!:noResult:No valid cells found for operation.</v>
      </c>
      <c r="EH10" s="15" t="str">
        <f>AND(Trans!F94,"AAAAADdZLok=")</f>
        <v>#VALUE!:noResult:No valid cells found for operation.</v>
      </c>
      <c r="EI10" s="15" t="str">
        <f>AND(Trans!G94,"AAAAADdZLoo=")</f>
        <v>#VALUE!:noResult:No valid cells found for operation.</v>
      </c>
      <c r="EJ10" s="15" t="str">
        <f>#REF!</f>
        <v>#VALUE!:noResult:No valid cells found for operation.</v>
      </c>
      <c r="EK10" s="15" t="str">
        <f>AND(Trans!H94,"AAAAADdZLow=")</f>
        <v>#VALUE!:noResult:No valid cells found for operation.</v>
      </c>
      <c r="EL10" s="15" t="str">
        <f>#REF!</f>
        <v>#VALUE!:noResult:No valid cells found for operation.</v>
      </c>
      <c r="EM10" s="15" t="str">
        <f>#REF!</f>
        <v>#VALUE!:noResult:No valid cells found for operation.</v>
      </c>
      <c r="EN10" s="15" t="str">
        <f>#REF!</f>
        <v>#VALUE!:noResult:No valid cells found for operation.</v>
      </c>
      <c r="EO10" s="15" t="str">
        <f>#REF!</f>
        <v>#VALUE!:noResult:No valid cells found for operation.</v>
      </c>
      <c r="EP10" s="15" t="str">
        <f>#REF!</f>
        <v>#VALUE!:noResult:No valid cells found for operation.</v>
      </c>
      <c r="EQ10" s="15" t="str">
        <f>#REF!</f>
        <v>#VALUE!:noResult:No valid cells found for operation.</v>
      </c>
      <c r="ER10" s="15">
        <f>IF(Trans!R[85],"AAAAADdZLpM=",0)</f>
        <v>0</v>
      </c>
      <c r="ES10" s="15" t="b">
        <f>AND(Trans!A95,"AAAAADdZLpQ=")</f>
        <v>1</v>
      </c>
      <c r="ET10" s="15" t="str">
        <f>AND(Trans!B95,"AAAAADdZLpU=")</f>
        <v>#VALUE!:noResult:No valid cells found for operation.</v>
      </c>
      <c r="EU10" s="15" t="b">
        <f>AND(Trans!C95,"AAAAADdZLpY=")</f>
        <v>1</v>
      </c>
      <c r="EV10" s="15" t="b">
        <f>AND(Trans!D95,"AAAAADdZLpc=")</f>
        <v>1</v>
      </c>
      <c r="EW10" s="15" t="str">
        <f>AND(Trans!E95,"AAAAADdZLpg=")</f>
        <v>#VALUE!:noResult:No valid cells found for operation.</v>
      </c>
      <c r="EX10" s="15" t="str">
        <f>AND(Trans!F95,"AAAAADdZLpk=")</f>
        <v>#VALUE!:noResult:No valid cells found for operation.</v>
      </c>
      <c r="EY10" s="15" t="str">
        <f>AND(Trans!G95,"AAAAADdZLpo=")</f>
        <v>#VALUE!:noResult:No valid cells found for operation.</v>
      </c>
      <c r="EZ10" s="15" t="str">
        <f>#REF!</f>
        <v>#VALUE!:noResult:No valid cells found for operation.</v>
      </c>
      <c r="FA10" s="15" t="str">
        <f>AND(Trans!H95,"AAAAADdZLpw=")</f>
        <v>#VALUE!:noResult:No valid cells found for operation.</v>
      </c>
      <c r="FB10" s="15" t="str">
        <f>#REF!</f>
        <v>#VALUE!:noResult:No valid cells found for operation.</v>
      </c>
      <c r="FC10" s="15" t="str">
        <f>#REF!</f>
        <v>#VALUE!:noResult:No valid cells found for operation.</v>
      </c>
      <c r="FD10" s="15" t="str">
        <f>#REF!</f>
        <v>#VALUE!:noResult:No valid cells found for operation.</v>
      </c>
      <c r="FE10" s="15" t="str">
        <f>#REF!</f>
        <v>#VALUE!:noResult:No valid cells found for operation.</v>
      </c>
      <c r="FF10" s="15" t="str">
        <f>#REF!</f>
        <v>#VALUE!:noResult:No valid cells found for operation.</v>
      </c>
      <c r="FG10" s="15" t="str">
        <f>#REF!</f>
        <v>#VALUE!:noResult:No valid cells found for operation.</v>
      </c>
      <c r="FH10" s="15">
        <f>IF(Trans!R[86],"AAAAADdZLqM=",0)</f>
        <v>0</v>
      </c>
      <c r="FI10" s="15" t="b">
        <f>AND(Trans!A96,"AAAAADdZLqQ=")</f>
        <v>1</v>
      </c>
      <c r="FJ10" s="15" t="str">
        <f>AND(Trans!B96,"AAAAADdZLqU=")</f>
        <v>#VALUE!:noResult:No valid cells found for operation.</v>
      </c>
      <c r="FK10" s="15" t="b">
        <f>AND(Trans!C96,"AAAAADdZLqY=")</f>
        <v>1</v>
      </c>
      <c r="FL10" s="15" t="b">
        <f>AND(Trans!D96,"AAAAADdZLqc=")</f>
        <v>1</v>
      </c>
      <c r="FM10" s="15" t="str">
        <f>AND(Trans!E96,"AAAAADdZLqg=")</f>
        <v>#VALUE!:noResult:No valid cells found for operation.</v>
      </c>
      <c r="FN10" s="15" t="str">
        <f>AND(Trans!F96,"AAAAADdZLqk=")</f>
        <v>#VALUE!:noResult:No valid cells found for operation.</v>
      </c>
      <c r="FO10" s="15" t="str">
        <f>AND(Trans!G96,"AAAAADdZLqo=")</f>
        <v>#VALUE!:noResult:No valid cells found for operation.</v>
      </c>
      <c r="FP10" s="15" t="str">
        <f>#REF!</f>
        <v>#VALUE!:noResult:No valid cells found for operation.</v>
      </c>
      <c r="FQ10" s="15" t="str">
        <f>AND(Trans!H96,"AAAAADdZLqw=")</f>
        <v>#VALUE!:noResult:No valid cells found for operation.</v>
      </c>
      <c r="FR10" s="15" t="str">
        <f>#REF!</f>
        <v>#VALUE!:noResult:No valid cells found for operation.</v>
      </c>
      <c r="FS10" s="15" t="str">
        <f>#REF!</f>
        <v>#VALUE!:noResult:No valid cells found for operation.</v>
      </c>
      <c r="FT10" s="15" t="str">
        <f>#REF!</f>
        <v>#VALUE!:noResult:No valid cells found for operation.</v>
      </c>
      <c r="FU10" s="15" t="str">
        <f>#REF!</f>
        <v>#VALUE!:noResult:No valid cells found for operation.</v>
      </c>
      <c r="FV10" s="15" t="str">
        <f>#REF!</f>
        <v>#VALUE!:noResult:No valid cells found for operation.</v>
      </c>
      <c r="FW10" s="15" t="str">
        <f>#REF!</f>
        <v>#VALUE!:noResult:No valid cells found for operation.</v>
      </c>
      <c r="FX10" s="15">
        <f>IF(Trans!R[87],"AAAAADdZLrM=",0)</f>
        <v>0</v>
      </c>
      <c r="FY10" s="15" t="b">
        <f>AND(Trans!A97,"AAAAADdZLrQ=")</f>
        <v>1</v>
      </c>
      <c r="FZ10" s="15" t="str">
        <f>AND(Trans!B97,"AAAAADdZLrU=")</f>
        <v>#VALUE!:noResult:No valid cells found for operation.</v>
      </c>
      <c r="GA10" s="15" t="b">
        <f>AND(Trans!C97,"AAAAADdZLrY=")</f>
        <v>1</v>
      </c>
      <c r="GB10" s="15" t="b">
        <f>AND(Trans!D97,"AAAAADdZLrc=")</f>
        <v>1</v>
      </c>
      <c r="GC10" s="15" t="str">
        <f>AND(Trans!E97,"AAAAADdZLrg=")</f>
        <v>#VALUE!:noResult:No valid cells found for operation.</v>
      </c>
      <c r="GD10" s="15" t="str">
        <f>AND(Trans!F97,"AAAAADdZLrk=")</f>
        <v>#VALUE!:noResult:No valid cells found for operation.</v>
      </c>
      <c r="GE10" s="15" t="str">
        <f>AND(Trans!G97,"AAAAADdZLro=")</f>
        <v>#VALUE!:noResult:No valid cells found for operation.</v>
      </c>
      <c r="GF10" s="15" t="str">
        <f>#REF!</f>
        <v>#VALUE!:noResult:No valid cells found for operation.</v>
      </c>
      <c r="GG10" s="15" t="str">
        <f>AND(Trans!H97,"AAAAADdZLrw=")</f>
        <v>#VALUE!:noResult:No valid cells found for operation.</v>
      </c>
      <c r="GH10" s="15" t="str">
        <f>#REF!</f>
        <v>#VALUE!:noResult:No valid cells found for operation.</v>
      </c>
      <c r="GI10" s="15" t="str">
        <f>#REF!</f>
        <v>#VALUE!:noResult:No valid cells found for operation.</v>
      </c>
      <c r="GJ10" s="15" t="str">
        <f>#REF!</f>
        <v>#VALUE!:noResult:No valid cells found for operation.</v>
      </c>
      <c r="GK10" s="15" t="str">
        <f>#REF!</f>
        <v>#VALUE!:noResult:No valid cells found for operation.</v>
      </c>
      <c r="GL10" s="15" t="str">
        <f>#REF!</f>
        <v>#VALUE!:noResult:No valid cells found for operation.</v>
      </c>
      <c r="GM10" s="15" t="str">
        <f>#REF!</f>
        <v>#VALUE!:noResult:No valid cells found for operation.</v>
      </c>
      <c r="GN10" s="15">
        <f>IF(Trans!R[88],"AAAAADdZLsM=",0)</f>
        <v>0</v>
      </c>
      <c r="GO10" s="15" t="b">
        <f>AND(Trans!A98,"AAAAADdZLsQ=")</f>
        <v>1</v>
      </c>
      <c r="GP10" s="15" t="str">
        <f>AND(Trans!B98,"AAAAADdZLsU=")</f>
        <v>#VALUE!:noResult:No valid cells found for operation.</v>
      </c>
      <c r="GQ10" s="15" t="b">
        <f>AND(Trans!C98,"AAAAADdZLsY=")</f>
        <v>1</v>
      </c>
      <c r="GR10" s="15" t="b">
        <f>AND(Trans!D98,"AAAAADdZLsc=")</f>
        <v>1</v>
      </c>
      <c r="GS10" s="15" t="str">
        <f>AND(Trans!E98,"AAAAADdZLsg=")</f>
        <v>#VALUE!:noResult:No valid cells found for operation.</v>
      </c>
      <c r="GT10" s="15" t="str">
        <f>AND(Trans!F98,"AAAAADdZLsk=")</f>
        <v>#VALUE!:noResult:No valid cells found for operation.</v>
      </c>
      <c r="GU10" s="15" t="str">
        <f>AND(Trans!G98,"AAAAADdZLso=")</f>
        <v>#VALUE!:noResult:No valid cells found for operation.</v>
      </c>
      <c r="GV10" s="15" t="str">
        <f>#REF!</f>
        <v>#VALUE!:noResult:No valid cells found for operation.</v>
      </c>
      <c r="GW10" s="15" t="str">
        <f>AND(Trans!H98,"AAAAADdZLsw=")</f>
        <v>#VALUE!:noResult:No valid cells found for operation.</v>
      </c>
      <c r="GX10" s="15" t="str">
        <f>#REF!</f>
        <v>#VALUE!:noResult:No valid cells found for operation.</v>
      </c>
      <c r="GY10" s="15" t="str">
        <f>#REF!</f>
        <v>#VALUE!:noResult:No valid cells found for operation.</v>
      </c>
      <c r="GZ10" s="15" t="str">
        <f>#REF!</f>
        <v>#VALUE!:noResult:No valid cells found for operation.</v>
      </c>
      <c r="HA10" s="15" t="str">
        <f>#REF!</f>
        <v>#VALUE!:noResult:No valid cells found for operation.</v>
      </c>
      <c r="HB10" s="15" t="str">
        <f>#REF!</f>
        <v>#VALUE!:noResult:No valid cells found for operation.</v>
      </c>
      <c r="HC10" s="15" t="str">
        <f>#REF!</f>
        <v>#VALUE!:noResult:No valid cells found for operation.</v>
      </c>
      <c r="HD10" s="15">
        <f>IF(Trans!R[89],"AAAAADdZLtM=",0)</f>
        <v>0</v>
      </c>
      <c r="HE10" s="15" t="b">
        <f>AND(Trans!A99,"AAAAADdZLtQ=")</f>
        <v>1</v>
      </c>
      <c r="HF10" s="15" t="str">
        <f>AND(Trans!B99,"AAAAADdZLtU=")</f>
        <v>#VALUE!:noResult:No valid cells found for operation.</v>
      </c>
      <c r="HG10" s="15" t="b">
        <f>AND(Trans!C99,"AAAAADdZLtY=")</f>
        <v>1</v>
      </c>
      <c r="HH10" s="15" t="b">
        <f>AND(Trans!D99,"AAAAADdZLtc=")</f>
        <v>1</v>
      </c>
      <c r="HI10" s="15" t="str">
        <f>AND(Trans!E99,"AAAAADdZLtg=")</f>
        <v>#VALUE!:noResult:No valid cells found for operation.</v>
      </c>
      <c r="HJ10" s="15" t="str">
        <f>AND(Trans!F99,"AAAAADdZLtk=")</f>
        <v>#VALUE!:noResult:No valid cells found for operation.</v>
      </c>
      <c r="HK10" s="15" t="str">
        <f>AND(Trans!G99,"AAAAADdZLto=")</f>
        <v>#VALUE!:noResult:No valid cells found for operation.</v>
      </c>
      <c r="HL10" s="15" t="str">
        <f>#REF!</f>
        <v>#VALUE!:noResult:No valid cells found for operation.</v>
      </c>
      <c r="HM10" s="15" t="str">
        <f>AND(Trans!H99,"AAAAADdZLtw=")</f>
        <v>#VALUE!:noResult:No valid cells found for operation.</v>
      </c>
      <c r="HN10" s="15" t="str">
        <f>#REF!</f>
        <v>#VALUE!:noResult:No valid cells found for operation.</v>
      </c>
      <c r="HO10" s="15" t="str">
        <f>#REF!</f>
        <v>#VALUE!:noResult:No valid cells found for operation.</v>
      </c>
      <c r="HP10" s="15" t="str">
        <f>#REF!</f>
        <v>#VALUE!:noResult:No valid cells found for operation.</v>
      </c>
      <c r="HQ10" s="15" t="str">
        <f>#REF!</f>
        <v>#VALUE!:noResult:No valid cells found for operation.</v>
      </c>
      <c r="HR10" s="15" t="str">
        <f>#REF!</f>
        <v>#VALUE!:noResult:No valid cells found for operation.</v>
      </c>
      <c r="HS10" s="15" t="str">
        <f>#REF!</f>
        <v>#VALUE!:noResult:No valid cells found for operation.</v>
      </c>
      <c r="HT10" s="15">
        <f>IF(Trans!R[90],"AAAAADdZLuM=",0)</f>
        <v>0</v>
      </c>
      <c r="HU10" s="15" t="b">
        <f>AND(Trans!A100,"AAAAADdZLuQ=")</f>
        <v>1</v>
      </c>
      <c r="HV10" s="15" t="str">
        <f>AND(Trans!B100,"AAAAADdZLuU=")</f>
        <v>#VALUE!:noResult:No valid cells found for operation.</v>
      </c>
      <c r="HW10" s="15" t="b">
        <f>AND(Trans!C100,"AAAAADdZLuY=")</f>
        <v>1</v>
      </c>
      <c r="HX10" s="15" t="b">
        <f>AND(Trans!D100,"AAAAADdZLuc=")</f>
        <v>1</v>
      </c>
      <c r="HY10" s="15" t="str">
        <f>AND(Trans!E100,"AAAAADdZLug=")</f>
        <v>#VALUE!:noResult:No valid cells found for operation.</v>
      </c>
      <c r="HZ10" s="15" t="str">
        <f>AND(Trans!F100,"AAAAADdZLuk=")</f>
        <v>#VALUE!:noResult:No valid cells found for operation.</v>
      </c>
      <c r="IA10" s="15" t="str">
        <f>AND(Trans!G100,"AAAAADdZLuo=")</f>
        <v>#VALUE!:noResult:No valid cells found for operation.</v>
      </c>
      <c r="IB10" s="15" t="str">
        <f>#REF!</f>
        <v>#VALUE!:noResult:No valid cells found for operation.</v>
      </c>
      <c r="IC10" s="15" t="str">
        <f>AND(Trans!H100,"AAAAADdZLuw=")</f>
        <v>#VALUE!:noResult:No valid cells found for operation.</v>
      </c>
      <c r="ID10" s="15" t="str">
        <f>#REF!</f>
        <v>#VALUE!:noResult:No valid cells found for operation.</v>
      </c>
      <c r="IE10" s="15" t="str">
        <f>#REF!</f>
        <v>#VALUE!:noResult:No valid cells found for operation.</v>
      </c>
      <c r="IF10" s="15" t="str">
        <f>#REF!</f>
        <v>#VALUE!:noResult:No valid cells found for operation.</v>
      </c>
      <c r="IG10" s="15" t="str">
        <f>#REF!</f>
        <v>#VALUE!:noResult:No valid cells found for operation.</v>
      </c>
      <c r="IH10" s="15" t="str">
        <f>#REF!</f>
        <v>#VALUE!:noResult:No valid cells found for operation.</v>
      </c>
      <c r="II10" s="15" t="str">
        <f>#REF!</f>
        <v>#VALUE!:noResult:No valid cells found for operation.</v>
      </c>
      <c r="IJ10" s="15">
        <f>IF(Trans!R[91],"AAAAADdZLvM=",0)</f>
        <v>0</v>
      </c>
      <c r="IK10" s="15" t="b">
        <f>AND(Trans!A101,"AAAAADdZLvQ=")</f>
        <v>1</v>
      </c>
      <c r="IL10" s="15" t="str">
        <f>AND(Trans!B101,"AAAAADdZLvU=")</f>
        <v>#VALUE!:noResult:No valid cells found for operation.</v>
      </c>
      <c r="IM10" s="15" t="b">
        <f>AND(Trans!C101,"AAAAADdZLvY=")</f>
        <v>1</v>
      </c>
      <c r="IN10" s="15" t="b">
        <f>AND(Trans!D101,"AAAAADdZLvc=")</f>
        <v>1</v>
      </c>
      <c r="IO10" s="15" t="str">
        <f>AND(Trans!E101,"AAAAADdZLvg=")</f>
        <v>#VALUE!:noResult:No valid cells found for operation.</v>
      </c>
      <c r="IP10" s="15" t="str">
        <f>AND(Trans!F101,"AAAAADdZLvk=")</f>
        <v>#VALUE!:noResult:No valid cells found for operation.</v>
      </c>
      <c r="IQ10" s="15" t="str">
        <f>AND(Trans!G101,"AAAAADdZLvo=")</f>
        <v>#VALUE!:noResult:No valid cells found for operation.</v>
      </c>
      <c r="IR10" s="15" t="str">
        <f>#REF!</f>
        <v>#VALUE!:noResult:No valid cells found for operation.</v>
      </c>
      <c r="IS10" s="15" t="str">
        <f>AND(Trans!H101,"AAAAADdZLvw=")</f>
        <v>#VALUE!:noResult:No valid cells found for operation.</v>
      </c>
      <c r="IT10" s="15" t="str">
        <f>#REF!</f>
        <v>#VALUE!:noResult:No valid cells found for operation.</v>
      </c>
      <c r="IU10" s="15" t="str">
        <f>#REF!</f>
        <v>#VALUE!:noResult:No valid cells found for operation.</v>
      </c>
      <c r="IV10" s="15" t="str">
        <f>#REF!</f>
        <v>#VALUE!:noResult:No valid cells found for operation.</v>
      </c>
    </row>
    <row r="11">
      <c r="A11" s="15" t="str">
        <f>#REF!</f>
        <v>#VALUE!:noResult:No valid cells found for operation.</v>
      </c>
      <c r="B11" s="15" t="str">
        <f>#REF!</f>
        <v>#VALUE!:noResult:No valid cells found for operation.</v>
      </c>
      <c r="C11" s="15" t="str">
        <f>#REF!</f>
        <v>#VALUE!:noResult:No valid cells found for operation.</v>
      </c>
      <c r="D11" s="15" t="str">
        <f>IF(Trans!R[91],"AAAAAH/7NQM=",0)</f>
        <v>AAAAAH/7NQM=</v>
      </c>
      <c r="E11" s="15" t="b">
        <f>AND(Trans!A102,"AAAAAH/7NQQ=")</f>
        <v>1</v>
      </c>
      <c r="F11" s="15" t="str">
        <f>AND(Trans!B102,"AAAAAH/7NQU=")</f>
        <v>#VALUE!:noResult:No valid cells found for operation.</v>
      </c>
      <c r="G11" s="15" t="b">
        <f>AND(Trans!C102,"AAAAAH/7NQY=")</f>
        <v>1</v>
      </c>
      <c r="H11" s="15" t="b">
        <f>AND(Trans!D102,"AAAAAH/7NQc=")</f>
        <v>1</v>
      </c>
      <c r="I11" s="15" t="str">
        <f>AND(Trans!E102,"AAAAAH/7NQg=")</f>
        <v>#VALUE!:noResult:No valid cells found for operation.</v>
      </c>
      <c r="J11" s="15" t="str">
        <f>AND(Trans!F102,"AAAAAH/7NQk=")</f>
        <v>#VALUE!:noResult:No valid cells found for operation.</v>
      </c>
      <c r="K11" s="15" t="str">
        <f>AND(Trans!G102,"AAAAAH/7NQo=")</f>
        <v>#VALUE!:noResult:No valid cells found for operation.</v>
      </c>
      <c r="L11" s="15" t="str">
        <f>#REF!</f>
        <v>#VALUE!:noResult:No valid cells found for operation.</v>
      </c>
      <c r="M11" s="15" t="str">
        <f>AND(Trans!H102,"AAAAAH/7NQw=")</f>
        <v>#VALUE!:noResult:No valid cells found for operation.</v>
      </c>
      <c r="N11" s="15" t="str">
        <f>#REF!</f>
        <v>#VALUE!:noResult:No valid cells found for operation.</v>
      </c>
      <c r="O11" s="15" t="str">
        <f>#REF!</f>
        <v>#VALUE!:noResult:No valid cells found for operation.</v>
      </c>
      <c r="P11" s="15" t="str">
        <f>#REF!</f>
        <v>#VALUE!:noResult:No valid cells found for operation.</v>
      </c>
      <c r="Q11" s="15" t="str">
        <f>#REF!</f>
        <v>#VALUE!:noResult:No valid cells found for operation.</v>
      </c>
      <c r="R11" s="15" t="str">
        <f>#REF!</f>
        <v>#VALUE!:noResult:No valid cells found for operation.</v>
      </c>
      <c r="S11" s="15" t="str">
        <f>#REF!</f>
        <v>#VALUE!:noResult:No valid cells found for operation.</v>
      </c>
      <c r="T11" s="15">
        <f>IF(Trans!R[92],"AAAAAH/7NRM=",0)</f>
        <v>0</v>
      </c>
      <c r="U11" s="15" t="b">
        <f>AND(Trans!A103,"AAAAAH/7NRQ=")</f>
        <v>1</v>
      </c>
      <c r="V11" s="15" t="str">
        <f>AND(Trans!B103,"AAAAAH/7NRU=")</f>
        <v>#VALUE!:noResult:No valid cells found for operation.</v>
      </c>
      <c r="W11" s="15" t="b">
        <f>AND(Trans!C103,"AAAAAH/7NRY=")</f>
        <v>1</v>
      </c>
      <c r="X11" s="15" t="b">
        <f>AND(Trans!D103,"AAAAAH/7NRc=")</f>
        <v>1</v>
      </c>
      <c r="Y11" s="15" t="str">
        <f>AND(Trans!E103,"AAAAAH/7NRg=")</f>
        <v>#VALUE!:noResult:No valid cells found for operation.</v>
      </c>
      <c r="Z11" s="15" t="str">
        <f>AND(Trans!F103,"AAAAAH/7NRk=")</f>
        <v>#VALUE!:noResult:No valid cells found for operation.</v>
      </c>
      <c r="AA11" s="15" t="str">
        <f>AND(Trans!G103,"AAAAAH/7NRo=")</f>
        <v>#VALUE!:noResult:No valid cells found for operation.</v>
      </c>
      <c r="AB11" s="15" t="str">
        <f>#REF!</f>
        <v>#VALUE!:noResult:No valid cells found for operation.</v>
      </c>
      <c r="AC11" s="15" t="str">
        <f>AND(Trans!H103,"AAAAAH/7NRw=")</f>
        <v>#VALUE!:noResult:No valid cells found for operation.</v>
      </c>
      <c r="AD11" s="15" t="str">
        <f>#REF!</f>
        <v>#VALUE!:noResult:No valid cells found for operation.</v>
      </c>
      <c r="AE11" s="15" t="str">
        <f>#REF!</f>
        <v>#VALUE!:noResult:No valid cells found for operation.</v>
      </c>
      <c r="AF11" s="15" t="str">
        <f>#REF!</f>
        <v>#VALUE!:noResult:No valid cells found for operation.</v>
      </c>
      <c r="AG11" s="15" t="str">
        <f>#REF!</f>
        <v>#VALUE!:noResult:No valid cells found for operation.</v>
      </c>
      <c r="AH11" s="15" t="str">
        <f>#REF!</f>
        <v>#VALUE!:noResult:No valid cells found for operation.</v>
      </c>
      <c r="AI11" s="15" t="str">
        <f>#REF!</f>
        <v>#VALUE!:noResult:No valid cells found for operation.</v>
      </c>
      <c r="AJ11" s="15">
        <f>IF(Trans!R[93],"AAAAAH/7NSM=",0)</f>
        <v>0</v>
      </c>
      <c r="AK11" s="15" t="b">
        <f>AND(Trans!A104,"AAAAAH/7NSQ=")</f>
        <v>1</v>
      </c>
      <c r="AL11" s="15" t="str">
        <f>AND(Trans!B104,"AAAAAH/7NSU=")</f>
        <v>#VALUE!:noResult:No valid cells found for operation.</v>
      </c>
      <c r="AM11" s="15" t="b">
        <f>AND(Trans!C104,"AAAAAH/7NSY=")</f>
        <v>1</v>
      </c>
      <c r="AN11" s="15" t="b">
        <f>AND(Trans!D104,"AAAAAH/7NSc=")</f>
        <v>1</v>
      </c>
      <c r="AO11" s="15" t="str">
        <f>AND(Trans!E104,"AAAAAH/7NSg=")</f>
        <v>#VALUE!:noResult:No valid cells found for operation.</v>
      </c>
      <c r="AP11" s="15" t="str">
        <f>AND(Trans!F104,"AAAAAH/7NSk=")</f>
        <v>#VALUE!:noResult:No valid cells found for operation.</v>
      </c>
      <c r="AQ11" s="15" t="str">
        <f>AND(Trans!G104,"AAAAAH/7NSo=")</f>
        <v>#VALUE!:noResult:No valid cells found for operation.</v>
      </c>
      <c r="AR11" s="15" t="str">
        <f>#REF!</f>
        <v>#VALUE!:noResult:No valid cells found for operation.</v>
      </c>
      <c r="AS11" s="15" t="str">
        <f>AND(Trans!H104,"AAAAAH/7NSw=")</f>
        <v>#VALUE!:noResult:No valid cells found for operation.</v>
      </c>
      <c r="AT11" s="15" t="str">
        <f>#REF!</f>
        <v>#VALUE!:noResult:No valid cells found for operation.</v>
      </c>
      <c r="AU11" s="15" t="str">
        <f>#REF!</f>
        <v>#VALUE!:noResult:No valid cells found for operation.</v>
      </c>
      <c r="AV11" s="15" t="str">
        <f>#REF!</f>
        <v>#VALUE!:noResult:No valid cells found for operation.</v>
      </c>
      <c r="AW11" s="15" t="str">
        <f>#REF!</f>
        <v>#VALUE!:noResult:No valid cells found for operation.</v>
      </c>
      <c r="AX11" s="15" t="str">
        <f>#REF!</f>
        <v>#VALUE!:noResult:No valid cells found for operation.</v>
      </c>
      <c r="AY11" s="15" t="str">
        <f>#REF!</f>
        <v>#VALUE!:noResult:No valid cells found for operation.</v>
      </c>
      <c r="AZ11" s="15">
        <f>IF(Trans!R[94],"AAAAAH/7NTM=",0)</f>
        <v>0</v>
      </c>
      <c r="BA11" s="15" t="b">
        <f>AND(Trans!A105,"AAAAAH/7NTQ=")</f>
        <v>1</v>
      </c>
      <c r="BB11" s="15" t="str">
        <f>AND(Trans!B105,"AAAAAH/7NTU=")</f>
        <v>#VALUE!:noResult:No valid cells found for operation.</v>
      </c>
      <c r="BC11" s="15" t="b">
        <f>AND(Trans!C105,"AAAAAH/7NTY=")</f>
        <v>1</v>
      </c>
      <c r="BD11" s="15" t="b">
        <f>AND(Trans!D105,"AAAAAH/7NTc=")</f>
        <v>1</v>
      </c>
      <c r="BE11" s="15" t="str">
        <f>AND(Trans!E105,"AAAAAH/7NTg=")</f>
        <v>#VALUE!:noResult:No valid cells found for operation.</v>
      </c>
      <c r="BF11" s="15" t="str">
        <f>AND(Trans!F105,"AAAAAH/7NTk=")</f>
        <v>#VALUE!:noResult:No valid cells found for operation.</v>
      </c>
      <c r="BG11" s="15" t="str">
        <f>AND(Trans!G105,"AAAAAH/7NTo=")</f>
        <v>#VALUE!:noResult:No valid cells found for operation.</v>
      </c>
      <c r="BH11" s="15" t="str">
        <f>#REF!</f>
        <v>#VALUE!:noResult:No valid cells found for operation.</v>
      </c>
      <c r="BI11" s="15" t="str">
        <f>AND(Trans!H105,"AAAAAH/7NTw=")</f>
        <v>#VALUE!:noResult:No valid cells found for operation.</v>
      </c>
      <c r="BJ11" s="15" t="str">
        <f>#REF!</f>
        <v>#VALUE!:noResult:No valid cells found for operation.</v>
      </c>
      <c r="BK11" s="15" t="str">
        <f>#REF!</f>
        <v>#VALUE!:noResult:No valid cells found for operation.</v>
      </c>
      <c r="BL11" s="15" t="str">
        <f>#REF!</f>
        <v>#VALUE!:noResult:No valid cells found for operation.</v>
      </c>
      <c r="BM11" s="15" t="str">
        <f>#REF!</f>
        <v>#VALUE!:noResult:No valid cells found for operation.</v>
      </c>
      <c r="BN11" s="15" t="str">
        <f>#REF!</f>
        <v>#VALUE!:noResult:No valid cells found for operation.</v>
      </c>
      <c r="BO11" s="15" t="str">
        <f>#REF!</f>
        <v>#VALUE!:noResult:No valid cells found for operation.</v>
      </c>
      <c r="BP11" s="15">
        <f>IF(Trans!R[95],"AAAAAH/7NUM=",0)</f>
        <v>0</v>
      </c>
      <c r="BQ11" s="15" t="b">
        <f>AND(Trans!A106,"AAAAAH/7NUQ=")</f>
        <v>1</v>
      </c>
      <c r="BR11" s="15" t="str">
        <f>AND(Trans!B106,"AAAAAH/7NUU=")</f>
        <v>#VALUE!:noResult:No valid cells found for operation.</v>
      </c>
      <c r="BS11" s="15" t="b">
        <f>AND(Trans!C106,"AAAAAH/7NUY=")</f>
        <v>1</v>
      </c>
      <c r="BT11" s="15" t="b">
        <f>AND(Trans!D106,"AAAAAH/7NUc=")</f>
        <v>1</v>
      </c>
      <c r="BU11" s="15" t="str">
        <f>AND(Trans!E106,"AAAAAH/7NUg=")</f>
        <v>#VALUE!:noResult:No valid cells found for operation.</v>
      </c>
      <c r="BV11" s="15" t="str">
        <f>AND(Trans!F106,"AAAAAH/7NUk=")</f>
        <v>#VALUE!:noResult:No valid cells found for operation.</v>
      </c>
      <c r="BW11" s="15" t="str">
        <f>AND(Trans!G106,"AAAAAH/7NUo=")</f>
        <v>#VALUE!:noResult:No valid cells found for operation.</v>
      </c>
      <c r="BX11" s="15" t="str">
        <f>#REF!</f>
        <v>#VALUE!:noResult:No valid cells found for operation.</v>
      </c>
      <c r="BY11" s="15" t="str">
        <f>AND(Trans!H106,"AAAAAH/7NUw=")</f>
        <v>#VALUE!:noResult:No valid cells found for operation.</v>
      </c>
      <c r="BZ11" s="15" t="str">
        <f>#REF!</f>
        <v>#VALUE!:noResult:No valid cells found for operation.</v>
      </c>
      <c r="CA11" s="15" t="str">
        <f>#REF!</f>
        <v>#VALUE!:noResult:No valid cells found for operation.</v>
      </c>
      <c r="CB11" s="15" t="str">
        <f>#REF!</f>
        <v>#VALUE!:noResult:No valid cells found for operation.</v>
      </c>
      <c r="CC11" s="15" t="str">
        <f>#REF!</f>
        <v>#VALUE!:noResult:No valid cells found for operation.</v>
      </c>
      <c r="CD11" s="15" t="str">
        <f>#REF!</f>
        <v>#VALUE!:noResult:No valid cells found for operation.</v>
      </c>
      <c r="CE11" s="15" t="str">
        <f>#REF!</f>
        <v>#VALUE!:noResult:No valid cells found for operation.</v>
      </c>
      <c r="CF11" s="15">
        <f>IF(Trans!R[96],"AAAAAH/7NVM=",0)</f>
        <v>0</v>
      </c>
      <c r="CG11" s="15" t="b">
        <f>AND(Trans!A107,"AAAAAH/7NVQ=")</f>
        <v>1</v>
      </c>
      <c r="CH11" s="15" t="str">
        <f>AND(Trans!B107,"AAAAAH/7NVU=")</f>
        <v>#VALUE!:noResult:No valid cells found for operation.</v>
      </c>
      <c r="CI11" s="15" t="b">
        <f>AND(Trans!C107,"AAAAAH/7NVY=")</f>
        <v>1</v>
      </c>
      <c r="CJ11" s="15" t="b">
        <f>AND(Trans!D107,"AAAAAH/7NVc=")</f>
        <v>1</v>
      </c>
      <c r="CK11" s="15" t="str">
        <f>AND(Trans!E107,"AAAAAH/7NVg=")</f>
        <v>#VALUE!:noResult:No valid cells found for operation.</v>
      </c>
      <c r="CL11" s="15" t="str">
        <f>AND(Trans!F107,"AAAAAH/7NVk=")</f>
        <v>#VALUE!:noResult:No valid cells found for operation.</v>
      </c>
      <c r="CM11" s="15" t="str">
        <f>AND(Trans!G107,"AAAAAH/7NVo=")</f>
        <v>#VALUE!:noResult:No valid cells found for operation.</v>
      </c>
      <c r="CN11" s="15" t="str">
        <f>#REF!</f>
        <v>#VALUE!:noResult:No valid cells found for operation.</v>
      </c>
      <c r="CO11" s="15" t="str">
        <f>AND(Trans!H107,"AAAAAH/7NVw=")</f>
        <v>#VALUE!:noResult:No valid cells found for operation.</v>
      </c>
      <c r="CP11" s="15" t="str">
        <f>#REF!</f>
        <v>#VALUE!:noResult:No valid cells found for operation.</v>
      </c>
      <c r="CQ11" s="15" t="str">
        <f>#REF!</f>
        <v>#VALUE!:noResult:No valid cells found for operation.</v>
      </c>
      <c r="CR11" s="15" t="str">
        <f>#REF!</f>
        <v>#VALUE!:noResult:No valid cells found for operation.</v>
      </c>
      <c r="CS11" s="15" t="str">
        <f>#REF!</f>
        <v>#VALUE!:noResult:No valid cells found for operation.</v>
      </c>
      <c r="CT11" s="15" t="str">
        <f>#REF!</f>
        <v>#VALUE!:noResult:No valid cells found for operation.</v>
      </c>
      <c r="CU11" s="15" t="str">
        <f>#REF!</f>
        <v>#VALUE!:noResult:No valid cells found for operation.</v>
      </c>
      <c r="CV11" s="15">
        <f>IF(Trans!R[97],"AAAAAH/7NWM=",0)</f>
        <v>0</v>
      </c>
      <c r="CW11" s="15" t="b">
        <f>AND(Trans!A108,"AAAAAH/7NWQ=")</f>
        <v>1</v>
      </c>
      <c r="CX11" s="15" t="str">
        <f>AND(Trans!B108,"AAAAAH/7NWU=")</f>
        <v>#VALUE!:noResult:No valid cells found for operation.</v>
      </c>
      <c r="CY11" s="15" t="b">
        <f>AND(Trans!C108,"AAAAAH/7NWY=")</f>
        <v>1</v>
      </c>
      <c r="CZ11" s="15" t="b">
        <f>AND(Trans!D108,"AAAAAH/7NWc=")</f>
        <v>1</v>
      </c>
      <c r="DA11" s="15" t="str">
        <f>AND(Trans!E108,"AAAAAH/7NWg=")</f>
        <v>#VALUE!:noResult:No valid cells found for operation.</v>
      </c>
      <c r="DB11" s="15" t="str">
        <f>AND(Trans!F108,"AAAAAH/7NWk=")</f>
        <v>#VALUE!:noResult:No valid cells found for operation.</v>
      </c>
      <c r="DC11" s="15" t="str">
        <f>AND(Trans!G108,"AAAAAH/7NWo=")</f>
        <v>#VALUE!:noResult:No valid cells found for operation.</v>
      </c>
      <c r="DD11" s="15" t="str">
        <f>#REF!</f>
        <v>#VALUE!:noResult:No valid cells found for operation.</v>
      </c>
      <c r="DE11" s="15" t="str">
        <f>AND(Trans!H108,"AAAAAH/7NWw=")</f>
        <v>#VALUE!:noResult:No valid cells found for operation.</v>
      </c>
      <c r="DF11" s="15" t="str">
        <f>#REF!</f>
        <v>#VALUE!:noResult:No valid cells found for operation.</v>
      </c>
      <c r="DG11" s="15" t="str">
        <f>#REF!</f>
        <v>#VALUE!:noResult:No valid cells found for operation.</v>
      </c>
      <c r="DH11" s="15" t="str">
        <f>#REF!</f>
        <v>#VALUE!:noResult:No valid cells found for operation.</v>
      </c>
      <c r="DI11" s="15" t="str">
        <f>#REF!</f>
        <v>#VALUE!:noResult:No valid cells found for operation.</v>
      </c>
      <c r="DJ11" s="15" t="str">
        <f>#REF!</f>
        <v>#VALUE!:noResult:No valid cells found for operation.</v>
      </c>
      <c r="DK11" s="15" t="str">
        <f>#REF!</f>
        <v>#VALUE!:noResult:No valid cells found for operation.</v>
      </c>
      <c r="DL11" s="15">
        <f>IF(Trans!R[98],"AAAAAH/7NXM=",0)</f>
        <v>0</v>
      </c>
      <c r="DM11" s="15" t="b">
        <f>AND(Trans!A109,"AAAAAH/7NXQ=")</f>
        <v>1</v>
      </c>
      <c r="DN11" s="15" t="str">
        <f>AND(Trans!B109,"AAAAAH/7NXU=")</f>
        <v>#VALUE!:noResult:No valid cells found for operation.</v>
      </c>
      <c r="DO11" s="15" t="b">
        <f>AND(Trans!C109,"AAAAAH/7NXY=")</f>
        <v>1</v>
      </c>
      <c r="DP11" s="15" t="b">
        <f>AND(Trans!D109,"AAAAAH/7NXc=")</f>
        <v>1</v>
      </c>
      <c r="DQ11" s="15" t="str">
        <f>AND(Trans!E109,"AAAAAH/7NXg=")</f>
        <v>#VALUE!:noResult:No valid cells found for operation.</v>
      </c>
      <c r="DR11" s="15" t="str">
        <f>AND(Trans!F109,"AAAAAH/7NXk=")</f>
        <v>#VALUE!:noResult:No valid cells found for operation.</v>
      </c>
      <c r="DS11" s="15" t="str">
        <f>AND(Trans!G109,"AAAAAH/7NXo=")</f>
        <v>#VALUE!:noResult:No valid cells found for operation.</v>
      </c>
      <c r="DT11" s="15" t="str">
        <f>#REF!</f>
        <v>#VALUE!:noResult:No valid cells found for operation.</v>
      </c>
      <c r="DU11" s="15" t="str">
        <f>AND(Trans!H109,"AAAAAH/7NXw=")</f>
        <v>#VALUE!:noResult:No valid cells found for operation.</v>
      </c>
      <c r="DV11" s="15" t="str">
        <f>#REF!</f>
        <v>#VALUE!:noResult:No valid cells found for operation.</v>
      </c>
      <c r="DW11" s="15" t="str">
        <f>#REF!</f>
        <v>#VALUE!:noResult:No valid cells found for operation.</v>
      </c>
      <c r="DX11" s="15" t="str">
        <f>#REF!</f>
        <v>#VALUE!:noResult:No valid cells found for operation.</v>
      </c>
      <c r="DY11" s="15" t="str">
        <f>#REF!</f>
        <v>#VALUE!:noResult:No valid cells found for operation.</v>
      </c>
      <c r="DZ11" s="15" t="str">
        <f>#REF!</f>
        <v>#VALUE!:noResult:No valid cells found for operation.</v>
      </c>
      <c r="EA11" s="15" t="str">
        <f>#REF!</f>
        <v>#VALUE!:noResult:No valid cells found for operation.</v>
      </c>
      <c r="EB11" s="15">
        <f>IF(Trans!R[99],"AAAAAH/7NYM=",0)</f>
        <v>0</v>
      </c>
      <c r="EC11" s="15" t="b">
        <f>AND(Trans!A110,"AAAAAH/7NYQ=")</f>
        <v>1</v>
      </c>
      <c r="ED11" s="15" t="str">
        <f>AND(Trans!B110,"AAAAAH/7NYU=")</f>
        <v>#VALUE!:noResult:No valid cells found for operation.</v>
      </c>
      <c r="EE11" s="15" t="b">
        <f>AND(Trans!C110,"AAAAAH/7NYY=")</f>
        <v>1</v>
      </c>
      <c r="EF11" s="15" t="b">
        <f>AND(Trans!D110,"AAAAAH/7NYc=")</f>
        <v>1</v>
      </c>
      <c r="EG11" s="15" t="str">
        <f>AND(Trans!E110,"AAAAAH/7NYg=")</f>
        <v>#VALUE!:noResult:No valid cells found for operation.</v>
      </c>
      <c r="EH11" s="15" t="str">
        <f>AND(Trans!F110,"AAAAAH/7NYk=")</f>
        <v>#VALUE!:noResult:No valid cells found for operation.</v>
      </c>
      <c r="EI11" s="15" t="str">
        <f>AND(Trans!G110,"AAAAAH/7NYo=")</f>
        <v>#VALUE!:noResult:No valid cells found for operation.</v>
      </c>
      <c r="EJ11" s="15" t="str">
        <f>#REF!</f>
        <v>#VALUE!:noResult:No valid cells found for operation.</v>
      </c>
      <c r="EK11" s="15" t="str">
        <f>AND(Trans!H110,"AAAAAH/7NYw=")</f>
        <v>#VALUE!:noResult:No valid cells found for operation.</v>
      </c>
      <c r="EL11" s="15" t="str">
        <f>#REF!</f>
        <v>#VALUE!:noResult:No valid cells found for operation.</v>
      </c>
      <c r="EM11" s="15" t="str">
        <f>#REF!</f>
        <v>#VALUE!:noResult:No valid cells found for operation.</v>
      </c>
      <c r="EN11" s="15" t="str">
        <f>#REF!</f>
        <v>#VALUE!:noResult:No valid cells found for operation.</v>
      </c>
      <c r="EO11" s="15" t="str">
        <f>#REF!</f>
        <v>#VALUE!:noResult:No valid cells found for operation.</v>
      </c>
      <c r="EP11" s="15" t="str">
        <f>#REF!</f>
        <v>#VALUE!:noResult:No valid cells found for operation.</v>
      </c>
      <c r="EQ11" s="15" t="str">
        <f>#REF!</f>
        <v>#VALUE!:noResult:No valid cells found for operation.</v>
      </c>
      <c r="ER11" s="15">
        <f>IF(Trans!R[100],"AAAAAH/7NZM=",0)</f>
        <v>0</v>
      </c>
      <c r="ES11" s="15" t="b">
        <f>AND(Trans!A111,"AAAAAH/7NZQ=")</f>
        <v>1</v>
      </c>
      <c r="ET11" s="15" t="str">
        <f>AND(Trans!B111,"AAAAAH/7NZU=")</f>
        <v>#VALUE!:noResult:No valid cells found for operation.</v>
      </c>
      <c r="EU11" s="15" t="b">
        <f>AND(Trans!C111,"AAAAAH/7NZY=")</f>
        <v>1</v>
      </c>
      <c r="EV11" s="15" t="b">
        <f>AND(Trans!D111,"AAAAAH/7NZc=")</f>
        <v>1</v>
      </c>
      <c r="EW11" s="15" t="str">
        <f>AND(Trans!E111,"AAAAAH/7NZg=")</f>
        <v>#VALUE!:noResult:No valid cells found for operation.</v>
      </c>
      <c r="EX11" s="15" t="str">
        <f>AND(Trans!F111,"AAAAAH/7NZk=")</f>
        <v>#VALUE!:noResult:No valid cells found for operation.</v>
      </c>
      <c r="EY11" s="15" t="str">
        <f>AND(Trans!G111,"AAAAAH/7NZo=")</f>
        <v>#VALUE!:noResult:No valid cells found for operation.</v>
      </c>
      <c r="EZ11" s="15" t="str">
        <f>#REF!</f>
        <v>#VALUE!:noResult:No valid cells found for operation.</v>
      </c>
      <c r="FA11" s="15" t="str">
        <f>AND(Trans!H111,"AAAAAH/7NZw=")</f>
        <v>#VALUE!:noResult:No valid cells found for operation.</v>
      </c>
      <c r="FB11" s="15" t="str">
        <f>#REF!</f>
        <v>#VALUE!:noResult:No valid cells found for operation.</v>
      </c>
      <c r="FC11" s="15" t="str">
        <f>#REF!</f>
        <v>#VALUE!:noResult:No valid cells found for operation.</v>
      </c>
      <c r="FD11" s="15" t="str">
        <f>#REF!</f>
        <v>#VALUE!:noResult:No valid cells found for operation.</v>
      </c>
      <c r="FE11" s="15" t="str">
        <f>#REF!</f>
        <v>#VALUE!:noResult:No valid cells found for operation.</v>
      </c>
      <c r="FF11" s="15" t="str">
        <f>#REF!</f>
        <v>#VALUE!:noResult:No valid cells found for operation.</v>
      </c>
      <c r="FG11" s="15" t="str">
        <f>#REF!</f>
        <v>#VALUE!:noResult:No valid cells found for operation.</v>
      </c>
      <c r="FH11" s="15">
        <f>IF(Trans!R[101],"AAAAAH/7NaM=",0)</f>
        <v>0</v>
      </c>
      <c r="FI11" s="15" t="b">
        <f>AND(Trans!A112,"AAAAAH/7NaQ=")</f>
        <v>1</v>
      </c>
      <c r="FJ11" s="15" t="str">
        <f>AND(Trans!B112,"AAAAAH/7NaU=")</f>
        <v>#VALUE!:noResult:No valid cells found for operation.</v>
      </c>
      <c r="FK11" s="15" t="b">
        <f>AND(Trans!C112,"AAAAAH/7NaY=")</f>
        <v>1</v>
      </c>
      <c r="FL11" s="15" t="b">
        <f>AND(Trans!D112,"AAAAAH/7Nac=")</f>
        <v>1</v>
      </c>
      <c r="FM11" s="15" t="str">
        <f>AND(Trans!E112,"AAAAAH/7Nag=")</f>
        <v>#VALUE!:noResult:No valid cells found for operation.</v>
      </c>
      <c r="FN11" s="15" t="str">
        <f>AND(Trans!F112,"AAAAAH/7Nak=")</f>
        <v>#VALUE!:noResult:No valid cells found for operation.</v>
      </c>
      <c r="FO11" s="15" t="str">
        <f>AND(Trans!G112,"AAAAAH/7Nao=")</f>
        <v>#VALUE!:noResult:No valid cells found for operation.</v>
      </c>
      <c r="FP11" s="15" t="str">
        <f>#REF!</f>
        <v>#VALUE!:noResult:No valid cells found for operation.</v>
      </c>
      <c r="FQ11" s="15" t="str">
        <f>AND(Trans!H112,"AAAAAH/7Naw=")</f>
        <v>#VALUE!:noResult:No valid cells found for operation.</v>
      </c>
      <c r="FR11" s="15" t="str">
        <f>#REF!</f>
        <v>#VALUE!:noResult:No valid cells found for operation.</v>
      </c>
      <c r="FS11" s="15" t="str">
        <f>#REF!</f>
        <v>#VALUE!:noResult:No valid cells found for operation.</v>
      </c>
      <c r="FT11" s="15" t="str">
        <f>#REF!</f>
        <v>#VALUE!:noResult:No valid cells found for operation.</v>
      </c>
      <c r="FU11" s="15" t="str">
        <f>#REF!</f>
        <v>#VALUE!:noResult:No valid cells found for operation.</v>
      </c>
      <c r="FV11" s="15" t="str">
        <f>#REF!</f>
        <v>#VALUE!:noResult:No valid cells found for operation.</v>
      </c>
      <c r="FW11" s="15" t="str">
        <f>#REF!</f>
        <v>#VALUE!:noResult:No valid cells found for operation.</v>
      </c>
      <c r="FX11" s="15">
        <f>IF(Trans!R[102],"AAAAAH/7NbM=",0)</f>
        <v>0</v>
      </c>
      <c r="FY11" s="15" t="b">
        <f>AND(Trans!A113,"AAAAAH/7NbQ=")</f>
        <v>1</v>
      </c>
      <c r="FZ11" s="15" t="str">
        <f>AND(Trans!B113,"AAAAAH/7NbU=")</f>
        <v>#VALUE!:noResult:No valid cells found for operation.</v>
      </c>
      <c r="GA11" s="15" t="b">
        <f>AND(Trans!C113,"AAAAAH/7NbY=")</f>
        <v>1</v>
      </c>
      <c r="GB11" s="15" t="b">
        <f>AND(Trans!D113,"AAAAAH/7Nbc=")</f>
        <v>1</v>
      </c>
      <c r="GC11" s="15" t="str">
        <f>AND(Trans!E113,"AAAAAH/7Nbg=")</f>
        <v>#VALUE!:noResult:No valid cells found for operation.</v>
      </c>
      <c r="GD11" s="15" t="str">
        <f>AND(Trans!F113,"AAAAAH/7Nbk=")</f>
        <v>#VALUE!:noResult:No valid cells found for operation.</v>
      </c>
      <c r="GE11" s="15" t="str">
        <f>AND(Trans!G113,"AAAAAH/7Nbo=")</f>
        <v>#VALUE!:noResult:No valid cells found for operation.</v>
      </c>
      <c r="GF11" s="15" t="str">
        <f>#REF!</f>
        <v>#VALUE!:noResult:No valid cells found for operation.</v>
      </c>
      <c r="GG11" s="15" t="str">
        <f>AND(Trans!H113,"AAAAAH/7Nbw=")</f>
        <v>#VALUE!:noResult:No valid cells found for operation.</v>
      </c>
      <c r="GH11" s="15" t="str">
        <f>#REF!</f>
        <v>#VALUE!:noResult:No valid cells found for operation.</v>
      </c>
      <c r="GI11" s="15" t="str">
        <f>#REF!</f>
        <v>#VALUE!:noResult:No valid cells found for operation.</v>
      </c>
      <c r="GJ11" s="15" t="str">
        <f>#REF!</f>
        <v>#VALUE!:noResult:No valid cells found for operation.</v>
      </c>
      <c r="GK11" s="15" t="str">
        <f>#REF!</f>
        <v>#VALUE!:noResult:No valid cells found for operation.</v>
      </c>
      <c r="GL11" s="15" t="str">
        <f>#REF!</f>
        <v>#VALUE!:noResult:No valid cells found for operation.</v>
      </c>
      <c r="GM11" s="15" t="str">
        <f>#REF!</f>
        <v>#VALUE!:noResult:No valid cells found for operation.</v>
      </c>
      <c r="GN11" s="15">
        <f>IF(Trans!R[103],"AAAAAH/7NcM=",0)</f>
        <v>0</v>
      </c>
      <c r="GO11" s="15" t="b">
        <f>AND(Trans!A114,"AAAAAH/7NcQ=")</f>
        <v>1</v>
      </c>
      <c r="GP11" s="15" t="str">
        <f>AND(Trans!B114,"AAAAAH/7NcU=")</f>
        <v>#VALUE!:noResult:No valid cells found for operation.</v>
      </c>
      <c r="GQ11" s="15" t="b">
        <f>AND(Trans!C114,"AAAAAH/7NcY=")</f>
        <v>1</v>
      </c>
      <c r="GR11" s="15" t="b">
        <f>AND(Trans!D114,"AAAAAH/7Ncc=")</f>
        <v>1</v>
      </c>
      <c r="GS11" s="15" t="str">
        <f>AND(Trans!E114,"AAAAAH/7Ncg=")</f>
        <v>#VALUE!:noResult:No valid cells found for operation.</v>
      </c>
      <c r="GT11" s="15" t="str">
        <f>AND(Trans!F114,"AAAAAH/7Nck=")</f>
        <v>#VALUE!:noResult:No valid cells found for operation.</v>
      </c>
      <c r="GU11" s="15" t="str">
        <f>AND(Trans!G114,"AAAAAH/7Nco=")</f>
        <v>#VALUE!:noResult:No valid cells found for operation.</v>
      </c>
      <c r="GV11" s="15" t="str">
        <f>#REF!</f>
        <v>#VALUE!:noResult:No valid cells found for operation.</v>
      </c>
      <c r="GW11" s="15" t="str">
        <f>AND(Trans!H114,"AAAAAH/7Ncw=")</f>
        <v>#VALUE!:noResult:No valid cells found for operation.</v>
      </c>
      <c r="GX11" s="15" t="str">
        <f>#REF!</f>
        <v>#VALUE!:noResult:No valid cells found for operation.</v>
      </c>
      <c r="GY11" s="15" t="str">
        <f>#REF!</f>
        <v>#VALUE!:noResult:No valid cells found for operation.</v>
      </c>
      <c r="GZ11" s="15" t="str">
        <f>#REF!</f>
        <v>#VALUE!:noResult:No valid cells found for operation.</v>
      </c>
      <c r="HA11" s="15" t="str">
        <f>#REF!</f>
        <v>#VALUE!:noResult:No valid cells found for operation.</v>
      </c>
      <c r="HB11" s="15" t="str">
        <f>#REF!</f>
        <v>#VALUE!:noResult:No valid cells found for operation.</v>
      </c>
      <c r="HC11" s="15" t="str">
        <f>#REF!</f>
        <v>#VALUE!:noResult:No valid cells found for operation.</v>
      </c>
      <c r="HD11" s="15">
        <f>IF(Trans!R[104],"AAAAAH/7NdM=",0)</f>
        <v>0</v>
      </c>
      <c r="HE11" s="15" t="b">
        <f>AND(Trans!A115,"AAAAAH/7NdQ=")</f>
        <v>1</v>
      </c>
      <c r="HF11" s="15" t="str">
        <f>AND(Trans!B115,"AAAAAH/7NdU=")</f>
        <v>#VALUE!:noResult:No valid cells found for operation.</v>
      </c>
      <c r="HG11" s="15" t="b">
        <f>AND(Trans!C115,"AAAAAH/7NdY=")</f>
        <v>1</v>
      </c>
      <c r="HH11" s="15" t="b">
        <f>AND(Trans!D115,"AAAAAH/7Ndc=")</f>
        <v>1</v>
      </c>
      <c r="HI11" s="15" t="str">
        <f>AND(Trans!E115,"AAAAAH/7Ndg=")</f>
        <v>#VALUE!:noResult:No valid cells found for operation.</v>
      </c>
      <c r="HJ11" s="15" t="str">
        <f>AND(Trans!F115,"AAAAAH/7Ndk=")</f>
        <v>#VALUE!:noResult:No valid cells found for operation.</v>
      </c>
      <c r="HK11" s="15" t="str">
        <f>AND(Trans!G115,"AAAAAH/7Ndo=")</f>
        <v>#VALUE!:noResult:No valid cells found for operation.</v>
      </c>
      <c r="HL11" s="15" t="str">
        <f>#REF!</f>
        <v>#VALUE!:noResult:No valid cells found for operation.</v>
      </c>
      <c r="HM11" s="15" t="str">
        <f>AND(Trans!H115,"AAAAAH/7Ndw=")</f>
        <v>#VALUE!:noResult:No valid cells found for operation.</v>
      </c>
      <c r="HN11" s="15" t="str">
        <f>#REF!</f>
        <v>#VALUE!:noResult:No valid cells found for operation.</v>
      </c>
      <c r="HO11" s="15" t="str">
        <f>#REF!</f>
        <v>#VALUE!:noResult:No valid cells found for operation.</v>
      </c>
      <c r="HP11" s="15" t="str">
        <f>#REF!</f>
        <v>#VALUE!:noResult:No valid cells found for operation.</v>
      </c>
      <c r="HQ11" s="15" t="str">
        <f>#REF!</f>
        <v>#VALUE!:noResult:No valid cells found for operation.</v>
      </c>
      <c r="HR11" s="15" t="str">
        <f>#REF!</f>
        <v>#VALUE!:noResult:No valid cells found for operation.</v>
      </c>
      <c r="HS11" s="15" t="str">
        <f>#REF!</f>
        <v>#VALUE!:noResult:No valid cells found for operation.</v>
      </c>
      <c r="HT11" s="15">
        <f>IF(Trans!R[105],"AAAAAH/7NeM=",0)</f>
        <v>0</v>
      </c>
      <c r="HU11" s="15" t="b">
        <f>AND(Trans!A116,"AAAAAH/7NeQ=")</f>
        <v>1</v>
      </c>
      <c r="HV11" s="15" t="str">
        <f>AND(Trans!B116,"AAAAAH/7NeU=")</f>
        <v>#VALUE!:noResult:No valid cells found for operation.</v>
      </c>
      <c r="HW11" s="15" t="b">
        <f>AND(Trans!C116,"AAAAAH/7NeY=")</f>
        <v>1</v>
      </c>
      <c r="HX11" s="15" t="b">
        <f>AND(Trans!D116,"AAAAAH/7Nec=")</f>
        <v>1</v>
      </c>
      <c r="HY11" s="15" t="str">
        <f>AND(Trans!E116,"AAAAAH/7Neg=")</f>
        <v>#VALUE!:noResult:No valid cells found for operation.</v>
      </c>
      <c r="HZ11" s="15" t="str">
        <f>AND(Trans!F116,"AAAAAH/7Nek=")</f>
        <v>#VALUE!:noResult:No valid cells found for operation.</v>
      </c>
      <c r="IA11" s="15" t="str">
        <f>AND(Trans!G116,"AAAAAH/7Neo=")</f>
        <v>#VALUE!:noResult:No valid cells found for operation.</v>
      </c>
      <c r="IB11" s="15" t="str">
        <f>#REF!</f>
        <v>#VALUE!:noResult:No valid cells found for operation.</v>
      </c>
      <c r="IC11" s="15" t="str">
        <f>AND(Trans!H116,"AAAAAH/7New=")</f>
        <v>#VALUE!:noResult:No valid cells found for operation.</v>
      </c>
      <c r="ID11" s="15" t="str">
        <f>#REF!</f>
        <v>#VALUE!:noResult:No valid cells found for operation.</v>
      </c>
      <c r="IE11" s="15" t="str">
        <f>#REF!</f>
        <v>#VALUE!:noResult:No valid cells found for operation.</v>
      </c>
      <c r="IF11" s="15" t="str">
        <f>#REF!</f>
        <v>#VALUE!:noResult:No valid cells found for operation.</v>
      </c>
      <c r="IG11" s="15" t="str">
        <f>#REF!</f>
        <v>#VALUE!:noResult:No valid cells found for operation.</v>
      </c>
      <c r="IH11" s="15" t="str">
        <f>#REF!</f>
        <v>#VALUE!:noResult:No valid cells found for operation.</v>
      </c>
      <c r="II11" s="15" t="str">
        <f>#REF!</f>
        <v>#VALUE!:noResult:No valid cells found for operation.</v>
      </c>
      <c r="IJ11" s="15">
        <f>IF(Trans!R[106],"AAAAAH/7NfM=",0)</f>
        <v>0</v>
      </c>
      <c r="IK11" s="15" t="b">
        <f>AND(Trans!A117,"AAAAAH/7NfQ=")</f>
        <v>1</v>
      </c>
      <c r="IL11" s="15" t="str">
        <f>AND(Trans!B117,"AAAAAH/7NfU=")</f>
        <v>#VALUE!:noResult:No valid cells found for operation.</v>
      </c>
      <c r="IM11" s="15" t="b">
        <f>AND(Trans!C117,"AAAAAH/7NfY=")</f>
        <v>1</v>
      </c>
      <c r="IN11" s="15" t="b">
        <f>AND(Trans!D117,"AAAAAH/7Nfc=")</f>
        <v>1</v>
      </c>
      <c r="IO11" s="15" t="str">
        <f>AND(Trans!E117,"AAAAAH/7Nfg=")</f>
        <v>#VALUE!:noResult:No valid cells found for operation.</v>
      </c>
      <c r="IP11" s="15" t="str">
        <f>AND(Trans!F117,"AAAAAH/7Nfk=")</f>
        <v>#VALUE!:noResult:No valid cells found for operation.</v>
      </c>
      <c r="IQ11" s="15" t="str">
        <f>AND(Trans!G117,"AAAAAH/7Nfo=")</f>
        <v>#VALUE!:noResult:No valid cells found for operation.</v>
      </c>
      <c r="IR11" s="15" t="str">
        <f>#REF!</f>
        <v>#VALUE!:noResult:No valid cells found for operation.</v>
      </c>
      <c r="IS11" s="15" t="str">
        <f>AND(Trans!H117,"AAAAAH/7Nfw=")</f>
        <v>#VALUE!:noResult:No valid cells found for operation.</v>
      </c>
      <c r="IT11" s="15" t="str">
        <f>#REF!</f>
        <v>#VALUE!:noResult:No valid cells found for operation.</v>
      </c>
      <c r="IU11" s="15" t="str">
        <f>#REF!</f>
        <v>#VALUE!:noResult:No valid cells found for operation.</v>
      </c>
      <c r="IV11" s="15" t="str">
        <f>#REF!</f>
        <v>#VALUE!:noResult:No valid cells found for operation.</v>
      </c>
    </row>
    <row r="12">
      <c r="A12" s="15" t="str">
        <f>#REF!</f>
        <v>#VALUE!:noResult:No valid cells found for operation.</v>
      </c>
      <c r="B12" s="15" t="str">
        <f>#REF!</f>
        <v>#VALUE!:noResult:No valid cells found for operation.</v>
      </c>
      <c r="C12" s="15" t="str">
        <f>#REF!</f>
        <v>#VALUE!:noResult:No valid cells found for operation.</v>
      </c>
      <c r="D12" s="15" t="str">
        <f>IF(Trans!R[106],"AAAAAHz/uwM=",0)</f>
        <v>AAAAAHz/uwM=</v>
      </c>
      <c r="E12" s="15" t="b">
        <f>AND(Trans!A118,"AAAAAHz/uwQ=")</f>
        <v>1</v>
      </c>
      <c r="F12" s="15" t="str">
        <f>AND(Trans!B118,"AAAAAHz/uwU=")</f>
        <v>#VALUE!:noResult:No valid cells found for operation.</v>
      </c>
      <c r="G12" s="15" t="b">
        <f>AND(Trans!C118,"AAAAAHz/uwY=")</f>
        <v>1</v>
      </c>
      <c r="H12" s="15" t="b">
        <f>AND(Trans!D118,"AAAAAHz/uwc=")</f>
        <v>1</v>
      </c>
      <c r="I12" s="15" t="str">
        <f>AND(Trans!E118,"AAAAAHz/uwg=")</f>
        <v>#VALUE!:noResult:No valid cells found for operation.</v>
      </c>
      <c r="J12" s="15" t="str">
        <f>AND(Trans!F118,"AAAAAHz/uwk=")</f>
        <v>#VALUE!:noResult:No valid cells found for operation.</v>
      </c>
      <c r="K12" s="15" t="str">
        <f>AND(Trans!G118,"AAAAAHz/uwo=")</f>
        <v>#VALUE!:noResult:No valid cells found for operation.</v>
      </c>
      <c r="L12" s="15" t="str">
        <f>#REF!</f>
        <v>#VALUE!:noResult:No valid cells found for operation.</v>
      </c>
      <c r="M12" s="15" t="str">
        <f>AND(Trans!H118,"AAAAAHz/uww=")</f>
        <v>#VALUE!:noResult:No valid cells found for operation.</v>
      </c>
      <c r="N12" s="15" t="str">
        <f>#REF!</f>
        <v>#VALUE!:noResult:No valid cells found for operation.</v>
      </c>
      <c r="O12" s="15" t="str">
        <f>#REF!</f>
        <v>#VALUE!:noResult:No valid cells found for operation.</v>
      </c>
      <c r="P12" s="15" t="str">
        <f>#REF!</f>
        <v>#VALUE!:noResult:No valid cells found for operation.</v>
      </c>
      <c r="Q12" s="15" t="str">
        <f>#REF!</f>
        <v>#VALUE!:noResult:No valid cells found for operation.</v>
      </c>
      <c r="R12" s="15" t="str">
        <f>#REF!</f>
        <v>#VALUE!:noResult:No valid cells found for operation.</v>
      </c>
      <c r="S12" s="15" t="str">
        <f>#REF!</f>
        <v>#VALUE!:noResult:No valid cells found for operation.</v>
      </c>
      <c r="T12" s="15">
        <f>IF(Trans!R[107],"AAAAAHz/uxM=",0)</f>
        <v>0</v>
      </c>
      <c r="U12" s="15" t="b">
        <f>AND(Trans!A119,"AAAAAHz/uxQ=")</f>
        <v>1</v>
      </c>
      <c r="V12" s="15" t="str">
        <f>AND(Trans!B119,"AAAAAHz/uxU=")</f>
        <v>#VALUE!:noResult:No valid cells found for operation.</v>
      </c>
      <c r="W12" s="15" t="b">
        <f>AND(Trans!C119,"AAAAAHz/uxY=")</f>
        <v>1</v>
      </c>
      <c r="X12" s="15" t="b">
        <f>AND(Trans!D119,"AAAAAHz/uxc=")</f>
        <v>1</v>
      </c>
      <c r="Y12" s="15" t="str">
        <f>AND(Trans!E119,"AAAAAHz/uxg=")</f>
        <v>#VALUE!:noResult:No valid cells found for operation.</v>
      </c>
      <c r="Z12" s="15" t="str">
        <f>AND(Trans!F119,"AAAAAHz/uxk=")</f>
        <v>#VALUE!:noResult:No valid cells found for operation.</v>
      </c>
      <c r="AA12" s="15" t="str">
        <f>AND(Trans!G119,"AAAAAHz/uxo=")</f>
        <v>#VALUE!:noResult:No valid cells found for operation.</v>
      </c>
      <c r="AB12" s="15" t="str">
        <f>#REF!</f>
        <v>#VALUE!:noResult:No valid cells found for operation.</v>
      </c>
      <c r="AC12" s="15" t="str">
        <f>AND(Trans!H119,"AAAAAHz/uxw=")</f>
        <v>#VALUE!:noResult:No valid cells found for operation.</v>
      </c>
      <c r="AD12" s="15" t="str">
        <f>#REF!</f>
        <v>#VALUE!:noResult:No valid cells found for operation.</v>
      </c>
      <c r="AE12" s="15" t="str">
        <f>#REF!</f>
        <v>#VALUE!:noResult:No valid cells found for operation.</v>
      </c>
      <c r="AF12" s="15" t="str">
        <f>#REF!</f>
        <v>#VALUE!:noResult:No valid cells found for operation.</v>
      </c>
      <c r="AG12" s="15" t="str">
        <f>#REF!</f>
        <v>#VALUE!:noResult:No valid cells found for operation.</v>
      </c>
      <c r="AH12" s="15" t="str">
        <f>#REF!</f>
        <v>#VALUE!:noResult:No valid cells found for operation.</v>
      </c>
      <c r="AI12" s="15" t="str">
        <f>#REF!</f>
        <v>#VALUE!:noResult:No valid cells found for operation.</v>
      </c>
      <c r="AJ12" s="15">
        <f>IF(Trans!R[108],"AAAAAHz/uyM=",0)</f>
        <v>0</v>
      </c>
      <c r="AK12" s="15" t="b">
        <f>AND(Trans!A120,"AAAAAHz/uyQ=")</f>
        <v>1</v>
      </c>
      <c r="AL12" s="15" t="str">
        <f>AND(Trans!B120,"AAAAAHz/uyU=")</f>
        <v>#VALUE!:noResult:No valid cells found for operation.</v>
      </c>
      <c r="AM12" s="15" t="b">
        <f>AND(Trans!C120,"AAAAAHz/uyY=")</f>
        <v>1</v>
      </c>
      <c r="AN12" s="15" t="b">
        <f>AND(Trans!D120,"AAAAAHz/uyc=")</f>
        <v>1</v>
      </c>
      <c r="AO12" s="15" t="str">
        <f>AND(Trans!E120,"AAAAAHz/uyg=")</f>
        <v>#VALUE!:noResult:No valid cells found for operation.</v>
      </c>
      <c r="AP12" s="15" t="str">
        <f>AND(Trans!F120,"AAAAAHz/uyk=")</f>
        <v>#VALUE!:noResult:No valid cells found for operation.</v>
      </c>
      <c r="AQ12" s="15" t="str">
        <f>AND(Trans!G120,"AAAAAHz/uyo=")</f>
        <v>#VALUE!:noResult:No valid cells found for operation.</v>
      </c>
      <c r="AR12" s="15" t="str">
        <f>#REF!</f>
        <v>#VALUE!:noResult:No valid cells found for operation.</v>
      </c>
      <c r="AS12" s="15" t="str">
        <f>AND(Trans!H120,"AAAAAHz/uyw=")</f>
        <v>#VALUE!:noResult:No valid cells found for operation.</v>
      </c>
      <c r="AT12" s="15" t="str">
        <f>#REF!</f>
        <v>#VALUE!:noResult:No valid cells found for operation.</v>
      </c>
      <c r="AU12" s="15" t="str">
        <f>#REF!</f>
        <v>#VALUE!:noResult:No valid cells found for operation.</v>
      </c>
      <c r="AV12" s="15" t="str">
        <f>#REF!</f>
        <v>#VALUE!:noResult:No valid cells found for operation.</v>
      </c>
      <c r="AW12" s="15" t="str">
        <f>#REF!</f>
        <v>#VALUE!:noResult:No valid cells found for operation.</v>
      </c>
      <c r="AX12" s="15" t="str">
        <f>#REF!</f>
        <v>#VALUE!:noResult:No valid cells found for operation.</v>
      </c>
      <c r="AY12" s="15" t="str">
        <f>#REF!</f>
        <v>#VALUE!:noResult:No valid cells found for operation.</v>
      </c>
      <c r="AZ12" s="15">
        <f>IF(Trans!R[109],"AAAAAHz/uzM=",0)</f>
        <v>0</v>
      </c>
      <c r="BA12" s="15" t="b">
        <f>AND(Trans!A121,"AAAAAHz/uzQ=")</f>
        <v>1</v>
      </c>
      <c r="BB12" s="15" t="str">
        <f>AND(Trans!B121,"AAAAAHz/uzU=")</f>
        <v>#VALUE!:noResult:No valid cells found for operation.</v>
      </c>
      <c r="BC12" s="15" t="b">
        <f>AND(Trans!C121,"AAAAAHz/uzY=")</f>
        <v>1</v>
      </c>
      <c r="BD12" s="15" t="b">
        <f>AND(Trans!D121,"AAAAAHz/uzc=")</f>
        <v>1</v>
      </c>
      <c r="BE12" s="15" t="str">
        <f>AND(Trans!E121,"AAAAAHz/uzg=")</f>
        <v>#VALUE!:noResult:No valid cells found for operation.</v>
      </c>
      <c r="BF12" s="15" t="str">
        <f>AND(Trans!F121,"AAAAAHz/uzk=")</f>
        <v>#VALUE!:noResult:No valid cells found for operation.</v>
      </c>
      <c r="BG12" s="15" t="str">
        <f>AND(Trans!G121,"AAAAAHz/uzo=")</f>
        <v>#VALUE!:noResult:No valid cells found for operation.</v>
      </c>
      <c r="BH12" s="15" t="str">
        <f>#REF!</f>
        <v>#VALUE!:noResult:No valid cells found for operation.</v>
      </c>
      <c r="BI12" s="15" t="str">
        <f>AND(Trans!H121,"AAAAAHz/uzw=")</f>
        <v>#VALUE!:noResult:No valid cells found for operation.</v>
      </c>
      <c r="BJ12" s="15" t="str">
        <f>#REF!</f>
        <v>#VALUE!:noResult:No valid cells found for operation.</v>
      </c>
      <c r="BK12" s="15" t="str">
        <f>#REF!</f>
        <v>#VALUE!:noResult:No valid cells found for operation.</v>
      </c>
      <c r="BL12" s="15" t="str">
        <f>#REF!</f>
        <v>#VALUE!:noResult:No valid cells found for operation.</v>
      </c>
      <c r="BM12" s="15" t="str">
        <f>#REF!</f>
        <v>#VALUE!:noResult:No valid cells found for operation.</v>
      </c>
      <c r="BN12" s="15" t="str">
        <f>#REF!</f>
        <v>#VALUE!:noResult:No valid cells found for operation.</v>
      </c>
      <c r="BO12" s="15" t="str">
        <f>#REF!</f>
        <v>#VALUE!:noResult:No valid cells found for operation.</v>
      </c>
      <c r="BP12" s="15">
        <f>IF(Trans!R[110],"AAAAAHz/u0M=",0)</f>
        <v>0</v>
      </c>
      <c r="BQ12" s="15" t="b">
        <f>AND(Trans!A122,"AAAAAHz/u0Q=")</f>
        <v>1</v>
      </c>
      <c r="BR12" s="15" t="str">
        <f>AND(Trans!B122,"AAAAAHz/u0U=")</f>
        <v>#VALUE!:noResult:No valid cells found for operation.</v>
      </c>
      <c r="BS12" s="15" t="b">
        <f>AND(Trans!C122,"AAAAAHz/u0Y=")</f>
        <v>1</v>
      </c>
      <c r="BT12" s="15" t="b">
        <f>AND(Trans!D122,"AAAAAHz/u0c=")</f>
        <v>1</v>
      </c>
      <c r="BU12" s="15" t="str">
        <f>AND(Trans!E122,"AAAAAHz/u0g=")</f>
        <v>#VALUE!:noResult:No valid cells found for operation.</v>
      </c>
      <c r="BV12" s="15" t="str">
        <f>AND(Trans!F122,"AAAAAHz/u0k=")</f>
        <v>#VALUE!:noResult:No valid cells found for operation.</v>
      </c>
      <c r="BW12" s="15" t="str">
        <f>AND(Trans!G122,"AAAAAHz/u0o=")</f>
        <v>#VALUE!:noResult:No valid cells found for operation.</v>
      </c>
      <c r="BX12" s="15" t="str">
        <f>#REF!</f>
        <v>#VALUE!:noResult:No valid cells found for operation.</v>
      </c>
      <c r="BY12" s="15" t="str">
        <f>AND(Trans!H122,"AAAAAHz/u0w=")</f>
        <v>#VALUE!:noResult:No valid cells found for operation.</v>
      </c>
      <c r="BZ12" s="15" t="str">
        <f>#REF!</f>
        <v>#VALUE!:noResult:No valid cells found for operation.</v>
      </c>
      <c r="CA12" s="15" t="str">
        <f>#REF!</f>
        <v>#VALUE!:noResult:No valid cells found for operation.</v>
      </c>
      <c r="CB12" s="15" t="str">
        <f>#REF!</f>
        <v>#VALUE!:noResult:No valid cells found for operation.</v>
      </c>
      <c r="CC12" s="15" t="str">
        <f>#REF!</f>
        <v>#VALUE!:noResult:No valid cells found for operation.</v>
      </c>
      <c r="CD12" s="15" t="str">
        <f>#REF!</f>
        <v>#VALUE!:noResult:No valid cells found for operation.</v>
      </c>
      <c r="CE12" s="15" t="str">
        <f>#REF!</f>
        <v>#VALUE!:noResult:No valid cells found for operation.</v>
      </c>
      <c r="CF12" s="15">
        <f>IF(Trans!R[111],"AAAAAHz/u1M=",0)</f>
        <v>0</v>
      </c>
      <c r="CG12" s="15" t="b">
        <f>AND(Trans!A123,"AAAAAHz/u1Q=")</f>
        <v>1</v>
      </c>
      <c r="CH12" s="15" t="str">
        <f>AND(Trans!B123,"AAAAAHz/u1U=")</f>
        <v>#VALUE!:noResult:No valid cells found for operation.</v>
      </c>
      <c r="CI12" s="15" t="b">
        <f>AND(Trans!C123,"AAAAAHz/u1Y=")</f>
        <v>1</v>
      </c>
      <c r="CJ12" s="15" t="b">
        <f>AND(Trans!D123,"AAAAAHz/u1c=")</f>
        <v>1</v>
      </c>
      <c r="CK12" s="15" t="str">
        <f>AND(Trans!E123,"AAAAAHz/u1g=")</f>
        <v>#VALUE!:noResult:No valid cells found for operation.</v>
      </c>
      <c r="CL12" s="15" t="str">
        <f>AND(Trans!F123,"AAAAAHz/u1k=")</f>
        <v>#VALUE!:noResult:No valid cells found for operation.</v>
      </c>
      <c r="CM12" s="15" t="str">
        <f>AND(Trans!G123,"AAAAAHz/u1o=")</f>
        <v>#VALUE!:noResult:No valid cells found for operation.</v>
      </c>
      <c r="CN12" s="15" t="str">
        <f>#REF!</f>
        <v>#VALUE!:noResult:No valid cells found for operation.</v>
      </c>
      <c r="CO12" s="15" t="str">
        <f>AND(Trans!H123,"AAAAAHz/u1w=")</f>
        <v>#VALUE!:noResult:No valid cells found for operation.</v>
      </c>
      <c r="CP12" s="15" t="str">
        <f>#REF!</f>
        <v>#VALUE!:noResult:No valid cells found for operation.</v>
      </c>
      <c r="CQ12" s="15" t="str">
        <f>#REF!</f>
        <v>#VALUE!:noResult:No valid cells found for operation.</v>
      </c>
      <c r="CR12" s="15" t="str">
        <f>#REF!</f>
        <v>#VALUE!:noResult:No valid cells found for operation.</v>
      </c>
      <c r="CS12" s="15" t="str">
        <f>#REF!</f>
        <v>#VALUE!:noResult:No valid cells found for operation.</v>
      </c>
      <c r="CT12" s="15" t="str">
        <f>#REF!</f>
        <v>#VALUE!:noResult:No valid cells found for operation.</v>
      </c>
      <c r="CU12" s="15" t="str">
        <f>#REF!</f>
        <v>#VALUE!:noResult:No valid cells found for operation.</v>
      </c>
      <c r="CV12" s="15">
        <f>IF(Trans!R[112],"AAAAAHz/u2M=",0)</f>
        <v>0</v>
      </c>
      <c r="CW12" s="15" t="b">
        <f>AND(Trans!A124,"AAAAAHz/u2Q=")</f>
        <v>1</v>
      </c>
      <c r="CX12" s="15" t="str">
        <f>AND(Trans!B124,"AAAAAHz/u2U=")</f>
        <v>#VALUE!:noResult:No valid cells found for operation.</v>
      </c>
      <c r="CY12" s="15" t="b">
        <f>AND(Trans!C124,"AAAAAHz/u2Y=")</f>
        <v>1</v>
      </c>
      <c r="CZ12" s="15" t="b">
        <f>AND(Trans!D124,"AAAAAHz/u2c=")</f>
        <v>1</v>
      </c>
      <c r="DA12" s="15" t="str">
        <f>AND(Trans!E124,"AAAAAHz/u2g=")</f>
        <v>#VALUE!:noResult:No valid cells found for operation.</v>
      </c>
      <c r="DB12" s="15" t="str">
        <f>AND(Trans!F124,"AAAAAHz/u2k=")</f>
        <v>#VALUE!:noResult:No valid cells found for operation.</v>
      </c>
      <c r="DC12" s="15" t="str">
        <f>AND(Trans!G124,"AAAAAHz/u2o=")</f>
        <v>#VALUE!:noResult:No valid cells found for operation.</v>
      </c>
      <c r="DD12" s="15" t="str">
        <f>#REF!</f>
        <v>#VALUE!:noResult:No valid cells found for operation.</v>
      </c>
      <c r="DE12" s="15" t="str">
        <f>AND(Trans!H124,"AAAAAHz/u2w=")</f>
        <v>#VALUE!:noResult:No valid cells found for operation.</v>
      </c>
      <c r="DF12" s="15" t="str">
        <f>#REF!</f>
        <v>#VALUE!:noResult:No valid cells found for operation.</v>
      </c>
      <c r="DG12" s="15" t="str">
        <f>#REF!</f>
        <v>#VALUE!:noResult:No valid cells found for operation.</v>
      </c>
      <c r="DH12" s="15" t="str">
        <f>#REF!</f>
        <v>#VALUE!:noResult:No valid cells found for operation.</v>
      </c>
      <c r="DI12" s="15" t="str">
        <f>#REF!</f>
        <v>#VALUE!:noResult:No valid cells found for operation.</v>
      </c>
      <c r="DJ12" s="15" t="str">
        <f>#REF!</f>
        <v>#VALUE!:noResult:No valid cells found for operation.</v>
      </c>
      <c r="DK12" s="15" t="str">
        <f>#REF!</f>
        <v>#VALUE!:noResult:No valid cells found for operation.</v>
      </c>
      <c r="DL12" s="15">
        <f>IF(Trans!R[113],"AAAAAHz/u3M=",0)</f>
        <v>0</v>
      </c>
      <c r="DM12" s="15" t="b">
        <f>AND(Trans!A125,"AAAAAHz/u3Q=")</f>
        <v>1</v>
      </c>
      <c r="DN12" s="15" t="str">
        <f>AND(Trans!B125,"AAAAAHz/u3U=")</f>
        <v>#VALUE!:noResult:No valid cells found for operation.</v>
      </c>
      <c r="DO12" s="15" t="b">
        <f>AND(Trans!C125,"AAAAAHz/u3Y=")</f>
        <v>1</v>
      </c>
      <c r="DP12" s="15" t="b">
        <f>AND(Trans!D125,"AAAAAHz/u3c=")</f>
        <v>1</v>
      </c>
      <c r="DQ12" s="15" t="str">
        <f>AND(Trans!E125,"AAAAAHz/u3g=")</f>
        <v>#VALUE!:noResult:No valid cells found for operation.</v>
      </c>
      <c r="DR12" s="15" t="str">
        <f>AND(Trans!F125,"AAAAAHz/u3k=")</f>
        <v>#VALUE!:noResult:No valid cells found for operation.</v>
      </c>
      <c r="DS12" s="15" t="str">
        <f>AND(Trans!G125,"AAAAAHz/u3o=")</f>
        <v>#VALUE!:noResult:No valid cells found for operation.</v>
      </c>
      <c r="DT12" s="15" t="str">
        <f>#REF!</f>
        <v>#VALUE!:noResult:No valid cells found for operation.</v>
      </c>
      <c r="DU12" s="15" t="str">
        <f>AND(Trans!H125,"AAAAAHz/u3w=")</f>
        <v>#VALUE!:noResult:No valid cells found for operation.</v>
      </c>
      <c r="DV12" s="15" t="str">
        <f>#REF!</f>
        <v>#VALUE!:noResult:No valid cells found for operation.</v>
      </c>
      <c r="DW12" s="15" t="str">
        <f>#REF!</f>
        <v>#VALUE!:noResult:No valid cells found for operation.</v>
      </c>
      <c r="DX12" s="15" t="str">
        <f>#REF!</f>
        <v>#VALUE!:noResult:No valid cells found for operation.</v>
      </c>
      <c r="DY12" s="15" t="str">
        <f>#REF!</f>
        <v>#VALUE!:noResult:No valid cells found for operation.</v>
      </c>
      <c r="DZ12" s="15" t="str">
        <f>#REF!</f>
        <v>#VALUE!:noResult:No valid cells found for operation.</v>
      </c>
      <c r="EA12" s="15" t="str">
        <f>#REF!</f>
        <v>#VALUE!:noResult:No valid cells found for operation.</v>
      </c>
      <c r="EB12" s="15">
        <f>IF(Trans!R[114],"AAAAAHz/u4M=",0)</f>
        <v>0</v>
      </c>
      <c r="EC12" s="15" t="b">
        <f>AND(Trans!A126,"AAAAAHz/u4Q=")</f>
        <v>1</v>
      </c>
      <c r="ED12" s="15" t="str">
        <f>AND(Trans!B126,"AAAAAHz/u4U=")</f>
        <v>#VALUE!:noResult:No valid cells found for operation.</v>
      </c>
      <c r="EE12" s="15" t="b">
        <f>AND(Trans!C126,"AAAAAHz/u4Y=")</f>
        <v>1</v>
      </c>
      <c r="EF12" s="15" t="b">
        <f>AND(Trans!D126,"AAAAAHz/u4c=")</f>
        <v>1</v>
      </c>
      <c r="EG12" s="15" t="str">
        <f>AND(Trans!E126,"AAAAAHz/u4g=")</f>
        <v>#VALUE!:noResult:No valid cells found for operation.</v>
      </c>
      <c r="EH12" s="15" t="str">
        <f>AND(Trans!F126,"AAAAAHz/u4k=")</f>
        <v>#VALUE!:noResult:No valid cells found for operation.</v>
      </c>
      <c r="EI12" s="15" t="str">
        <f>AND(Trans!G126,"AAAAAHz/u4o=")</f>
        <v>#VALUE!:noResult:No valid cells found for operation.</v>
      </c>
      <c r="EJ12" s="15" t="str">
        <f>#REF!</f>
        <v>#VALUE!:noResult:No valid cells found for operation.</v>
      </c>
      <c r="EK12" s="15" t="str">
        <f>AND(Trans!H126,"AAAAAHz/u4w=")</f>
        <v>#VALUE!:noResult:No valid cells found for operation.</v>
      </c>
      <c r="EL12" s="15" t="str">
        <f>#REF!</f>
        <v>#VALUE!:noResult:No valid cells found for operation.</v>
      </c>
      <c r="EM12" s="15" t="str">
        <f>#REF!</f>
        <v>#VALUE!:noResult:No valid cells found for operation.</v>
      </c>
      <c r="EN12" s="15" t="str">
        <f>#REF!</f>
        <v>#VALUE!:noResult:No valid cells found for operation.</v>
      </c>
      <c r="EO12" s="15" t="str">
        <f>#REF!</f>
        <v>#VALUE!:noResult:No valid cells found for operation.</v>
      </c>
      <c r="EP12" s="15" t="str">
        <f>#REF!</f>
        <v>#VALUE!:noResult:No valid cells found for operation.</v>
      </c>
      <c r="EQ12" s="15" t="str">
        <f>#REF!</f>
        <v>#VALUE!:noResult:No valid cells found for operation.</v>
      </c>
      <c r="ER12" s="15">
        <f>IF(Trans!R[115],"AAAAAHz/u5M=",0)</f>
        <v>0</v>
      </c>
      <c r="ES12" s="15" t="b">
        <f>AND(Trans!A127,"AAAAAHz/u5Q=")</f>
        <v>1</v>
      </c>
      <c r="ET12" s="15" t="str">
        <f>AND(Trans!B127,"AAAAAHz/u5U=")</f>
        <v>#VALUE!:noResult:No valid cells found for operation.</v>
      </c>
      <c r="EU12" s="15" t="b">
        <f>AND(Trans!C127,"AAAAAHz/u5Y=")</f>
        <v>1</v>
      </c>
      <c r="EV12" s="15" t="b">
        <f>AND(Trans!D127,"AAAAAHz/u5c=")</f>
        <v>1</v>
      </c>
      <c r="EW12" s="15" t="str">
        <f>AND(Trans!E127,"AAAAAHz/u5g=")</f>
        <v>#VALUE!:noResult:No valid cells found for operation.</v>
      </c>
      <c r="EX12" s="15" t="str">
        <f>AND(Trans!F127,"AAAAAHz/u5k=")</f>
        <v>#VALUE!:noResult:No valid cells found for operation.</v>
      </c>
      <c r="EY12" s="15" t="str">
        <f>AND(Trans!G127,"AAAAAHz/u5o=")</f>
        <v>#VALUE!:noResult:No valid cells found for operation.</v>
      </c>
      <c r="EZ12" s="15" t="str">
        <f>#REF!</f>
        <v>#VALUE!:noResult:No valid cells found for operation.</v>
      </c>
      <c r="FA12" s="15" t="str">
        <f>AND(Trans!H127,"AAAAAHz/u5w=")</f>
        <v>#VALUE!:noResult:No valid cells found for operation.</v>
      </c>
      <c r="FB12" s="15" t="str">
        <f>#REF!</f>
        <v>#VALUE!:noResult:No valid cells found for operation.</v>
      </c>
      <c r="FC12" s="15" t="str">
        <f>#REF!</f>
        <v>#VALUE!:noResult:No valid cells found for operation.</v>
      </c>
      <c r="FD12" s="15" t="str">
        <f>#REF!</f>
        <v>#VALUE!:noResult:No valid cells found for operation.</v>
      </c>
      <c r="FE12" s="15" t="str">
        <f>#REF!</f>
        <v>#VALUE!:noResult:No valid cells found for operation.</v>
      </c>
      <c r="FF12" s="15" t="str">
        <f>#REF!</f>
        <v>#VALUE!:noResult:No valid cells found for operation.</v>
      </c>
      <c r="FG12" s="15" t="str">
        <f>#REF!</f>
        <v>#VALUE!:noResult:No valid cells found for operation.</v>
      </c>
      <c r="FH12" s="15">
        <f>IF(Trans!R[116],"AAAAAHz/u6M=",0)</f>
        <v>0</v>
      </c>
      <c r="FI12" s="15" t="b">
        <f>AND(Trans!A128,"AAAAAHz/u6Q=")</f>
        <v>1</v>
      </c>
      <c r="FJ12" s="15" t="str">
        <f>AND(Trans!B128,"AAAAAHz/u6U=")</f>
        <v>#VALUE!:noResult:No valid cells found for operation.</v>
      </c>
      <c r="FK12" s="15" t="b">
        <f>AND(Trans!C128,"AAAAAHz/u6Y=")</f>
        <v>1</v>
      </c>
      <c r="FL12" s="15" t="b">
        <f>AND(Trans!D128,"AAAAAHz/u6c=")</f>
        <v>1</v>
      </c>
      <c r="FM12" s="15" t="str">
        <f>AND(Trans!E128,"AAAAAHz/u6g=")</f>
        <v>#VALUE!:noResult:No valid cells found for operation.</v>
      </c>
      <c r="FN12" s="15" t="str">
        <f>AND(Trans!F128,"AAAAAHz/u6k=")</f>
        <v>#VALUE!:noResult:No valid cells found for operation.</v>
      </c>
      <c r="FO12" s="15" t="str">
        <f>AND(Trans!G128,"AAAAAHz/u6o=")</f>
        <v>#VALUE!:noResult:No valid cells found for operation.</v>
      </c>
      <c r="FP12" s="15" t="str">
        <f>#REF!</f>
        <v>#VALUE!:noResult:No valid cells found for operation.</v>
      </c>
      <c r="FQ12" s="15" t="str">
        <f>AND(Trans!H128,"AAAAAHz/u6w=")</f>
        <v>#VALUE!:noResult:No valid cells found for operation.</v>
      </c>
      <c r="FR12" s="15" t="str">
        <f>#REF!</f>
        <v>#VALUE!:noResult:No valid cells found for operation.</v>
      </c>
      <c r="FS12" s="15" t="str">
        <f>#REF!</f>
        <v>#VALUE!:noResult:No valid cells found for operation.</v>
      </c>
      <c r="FT12" s="15" t="str">
        <f>#REF!</f>
        <v>#VALUE!:noResult:No valid cells found for operation.</v>
      </c>
      <c r="FU12" s="15" t="str">
        <f>#REF!</f>
        <v>#VALUE!:noResult:No valid cells found for operation.</v>
      </c>
      <c r="FV12" s="15" t="str">
        <f>#REF!</f>
        <v>#VALUE!:noResult:No valid cells found for operation.</v>
      </c>
      <c r="FW12" s="15" t="str">
        <f>#REF!</f>
        <v>#VALUE!:noResult:No valid cells found for operation.</v>
      </c>
      <c r="FX12" s="15">
        <f>IF(Trans!R[117],"AAAAAHz/u7M=",0)</f>
        <v>0</v>
      </c>
      <c r="FY12" s="15" t="b">
        <f>AND(Trans!A129,"AAAAAHz/u7Q=")</f>
        <v>1</v>
      </c>
      <c r="FZ12" s="15" t="str">
        <f>AND(Trans!B129,"AAAAAHz/u7U=")</f>
        <v>#VALUE!:noResult:No valid cells found for operation.</v>
      </c>
      <c r="GA12" s="15" t="b">
        <f>AND(Trans!C129,"AAAAAHz/u7Y=")</f>
        <v>1</v>
      </c>
      <c r="GB12" s="15" t="b">
        <f>AND(Trans!D129,"AAAAAHz/u7c=")</f>
        <v>1</v>
      </c>
      <c r="GC12" s="15" t="str">
        <f>AND(Trans!E129,"AAAAAHz/u7g=")</f>
        <v>#VALUE!:noResult:No valid cells found for operation.</v>
      </c>
      <c r="GD12" s="15" t="str">
        <f>AND(Trans!F129,"AAAAAHz/u7k=")</f>
        <v>#VALUE!:noResult:No valid cells found for operation.</v>
      </c>
      <c r="GE12" s="15" t="str">
        <f>AND(Trans!G129,"AAAAAHz/u7o=")</f>
        <v>#VALUE!:noResult:No valid cells found for operation.</v>
      </c>
      <c r="GF12" s="15" t="str">
        <f>#REF!</f>
        <v>#VALUE!:noResult:No valid cells found for operation.</v>
      </c>
      <c r="GG12" s="15" t="str">
        <f>AND(Trans!H129,"AAAAAHz/u7w=")</f>
        <v>#VALUE!:noResult:No valid cells found for operation.</v>
      </c>
      <c r="GH12" s="15" t="str">
        <f>#REF!</f>
        <v>#VALUE!:noResult:No valid cells found for operation.</v>
      </c>
      <c r="GI12" s="15" t="str">
        <f>#REF!</f>
        <v>#VALUE!:noResult:No valid cells found for operation.</v>
      </c>
      <c r="GJ12" s="15" t="str">
        <f>#REF!</f>
        <v>#VALUE!:noResult:No valid cells found for operation.</v>
      </c>
      <c r="GK12" s="15" t="str">
        <f>#REF!</f>
        <v>#VALUE!:noResult:No valid cells found for operation.</v>
      </c>
      <c r="GL12" s="15" t="str">
        <f>#REF!</f>
        <v>#VALUE!:noResult:No valid cells found for operation.</v>
      </c>
      <c r="GM12" s="15" t="str">
        <f>#REF!</f>
        <v>#VALUE!:noResult:No valid cells found for operation.</v>
      </c>
      <c r="GN12" s="15">
        <f>IF(Trans!R[118],"AAAAAHz/u8M=",0)</f>
        <v>0</v>
      </c>
      <c r="GO12" s="15" t="b">
        <f>AND(Trans!A130,"AAAAAHz/u8Q=")</f>
        <v>1</v>
      </c>
      <c r="GP12" s="15" t="str">
        <f>AND(Trans!B130,"AAAAAHz/u8U=")</f>
        <v>#VALUE!:noResult:No valid cells found for operation.</v>
      </c>
      <c r="GQ12" s="15" t="b">
        <f>AND(Trans!C130,"AAAAAHz/u8Y=")</f>
        <v>1</v>
      </c>
      <c r="GR12" s="15" t="b">
        <f>AND(Trans!D130,"AAAAAHz/u8c=")</f>
        <v>1</v>
      </c>
      <c r="GS12" s="15" t="str">
        <f>AND(Trans!E130,"AAAAAHz/u8g=")</f>
        <v>#VALUE!:noResult:No valid cells found for operation.</v>
      </c>
      <c r="GT12" s="15" t="str">
        <f>AND(Trans!F130,"AAAAAHz/u8k=")</f>
        <v>#VALUE!:noResult:No valid cells found for operation.</v>
      </c>
      <c r="GU12" s="15" t="str">
        <f>AND(Trans!G130,"AAAAAHz/u8o=")</f>
        <v>#VALUE!:noResult:No valid cells found for operation.</v>
      </c>
      <c r="GV12" s="15" t="str">
        <f>#REF!</f>
        <v>#VALUE!:noResult:No valid cells found for operation.</v>
      </c>
      <c r="GW12" s="15" t="str">
        <f>AND(Trans!H130,"AAAAAHz/u8w=")</f>
        <v>#VALUE!:noResult:No valid cells found for operation.</v>
      </c>
      <c r="GX12" s="15" t="str">
        <f>#REF!</f>
        <v>#VALUE!:noResult:No valid cells found for operation.</v>
      </c>
      <c r="GY12" s="15" t="str">
        <f>#REF!</f>
        <v>#VALUE!:noResult:No valid cells found for operation.</v>
      </c>
      <c r="GZ12" s="15" t="str">
        <f>#REF!</f>
        <v>#VALUE!:noResult:No valid cells found for operation.</v>
      </c>
      <c r="HA12" s="15" t="str">
        <f>#REF!</f>
        <v>#VALUE!:noResult:No valid cells found for operation.</v>
      </c>
      <c r="HB12" s="15" t="str">
        <f>#REF!</f>
        <v>#VALUE!:noResult:No valid cells found for operation.</v>
      </c>
      <c r="HC12" s="15" t="str">
        <f>#REF!</f>
        <v>#VALUE!:noResult:No valid cells found for operation.</v>
      </c>
      <c r="HD12" s="15">
        <f>IF(Trans!R[119],"AAAAAHz/u9M=",0)</f>
        <v>0</v>
      </c>
      <c r="HE12" s="15" t="b">
        <f>AND(Trans!A131,"AAAAAHz/u9Q=")</f>
        <v>1</v>
      </c>
      <c r="HF12" s="15" t="str">
        <f>AND(Trans!B131,"AAAAAHz/u9U=")</f>
        <v>#VALUE!:noResult:No valid cells found for operation.</v>
      </c>
      <c r="HG12" s="15" t="b">
        <f>AND(Trans!C131,"AAAAAHz/u9Y=")</f>
        <v>1</v>
      </c>
      <c r="HH12" s="15" t="b">
        <f>AND(Trans!D131,"AAAAAHz/u9c=")</f>
        <v>1</v>
      </c>
      <c r="HI12" s="15" t="str">
        <f>AND(Trans!E131,"AAAAAHz/u9g=")</f>
        <v>#VALUE!:noResult:No valid cells found for operation.</v>
      </c>
      <c r="HJ12" s="15" t="str">
        <f>AND(Trans!F131,"AAAAAHz/u9k=")</f>
        <v>#VALUE!:noResult:No valid cells found for operation.</v>
      </c>
      <c r="HK12" s="15" t="str">
        <f>AND(Trans!G131,"AAAAAHz/u9o=")</f>
        <v>#VALUE!:noResult:No valid cells found for operation.</v>
      </c>
      <c r="HL12" s="15" t="str">
        <f>#REF!</f>
        <v>#VALUE!:noResult:No valid cells found for operation.</v>
      </c>
      <c r="HM12" s="15" t="str">
        <f>AND(Trans!H131,"AAAAAHz/u9w=")</f>
        <v>#VALUE!:noResult:No valid cells found for operation.</v>
      </c>
      <c r="HN12" s="15" t="str">
        <f>#REF!</f>
        <v>#VALUE!:noResult:No valid cells found for operation.</v>
      </c>
      <c r="HO12" s="15" t="str">
        <f>#REF!</f>
        <v>#VALUE!:noResult:No valid cells found for operation.</v>
      </c>
      <c r="HP12" s="15" t="str">
        <f>#REF!</f>
        <v>#VALUE!:noResult:No valid cells found for operation.</v>
      </c>
      <c r="HQ12" s="15" t="str">
        <f>#REF!</f>
        <v>#VALUE!:noResult:No valid cells found for operation.</v>
      </c>
      <c r="HR12" s="15" t="str">
        <f>#REF!</f>
        <v>#VALUE!:noResult:No valid cells found for operation.</v>
      </c>
      <c r="HS12" s="15" t="str">
        <f>#REF!</f>
        <v>#VALUE!:noResult:No valid cells found for operation.</v>
      </c>
      <c r="HT12" s="15">
        <f>IF(Trans!R[120],"AAAAAHz/u+M=",0)</f>
        <v>0</v>
      </c>
      <c r="HU12" s="15" t="b">
        <f>AND(Trans!A132,"AAAAAHz/u+Q=")</f>
        <v>1</v>
      </c>
      <c r="HV12" s="15" t="str">
        <f>AND(Trans!B132,"AAAAAHz/u+U=")</f>
        <v>#VALUE!:noResult:No valid cells found for operation.</v>
      </c>
      <c r="HW12" s="15" t="b">
        <f>AND(Trans!C132,"AAAAAHz/u+Y=")</f>
        <v>1</v>
      </c>
      <c r="HX12" s="15" t="b">
        <f>AND(Trans!D132,"AAAAAHz/u+c=")</f>
        <v>1</v>
      </c>
      <c r="HY12" s="15" t="str">
        <f>AND(Trans!E132,"AAAAAHz/u+g=")</f>
        <v>#VALUE!:noResult:No valid cells found for operation.</v>
      </c>
      <c r="HZ12" s="15" t="str">
        <f>AND(Trans!F132,"AAAAAHz/u+k=")</f>
        <v>#VALUE!:noResult:No valid cells found for operation.</v>
      </c>
      <c r="IA12" s="15" t="str">
        <f>AND(Trans!G132,"AAAAAHz/u+o=")</f>
        <v>#VALUE!:noResult:No valid cells found for operation.</v>
      </c>
      <c r="IB12" s="15" t="str">
        <f>#REF!</f>
        <v>#VALUE!:noResult:No valid cells found for operation.</v>
      </c>
      <c r="IC12" s="15" t="str">
        <f>AND(Trans!H132,"AAAAAHz/u+w=")</f>
        <v>#VALUE!:noResult:No valid cells found for operation.</v>
      </c>
      <c r="ID12" s="15" t="str">
        <f>#REF!</f>
        <v>#VALUE!:noResult:No valid cells found for operation.</v>
      </c>
      <c r="IE12" s="15" t="str">
        <f>#REF!</f>
        <v>#VALUE!:noResult:No valid cells found for operation.</v>
      </c>
      <c r="IF12" s="15" t="str">
        <f>#REF!</f>
        <v>#VALUE!:noResult:No valid cells found for operation.</v>
      </c>
      <c r="IG12" s="15" t="str">
        <f>#REF!</f>
        <v>#VALUE!:noResult:No valid cells found for operation.</v>
      </c>
      <c r="IH12" s="15" t="str">
        <f>#REF!</f>
        <v>#VALUE!:noResult:No valid cells found for operation.</v>
      </c>
      <c r="II12" s="15" t="str">
        <f>#REF!</f>
        <v>#VALUE!:noResult:No valid cells found for operation.</v>
      </c>
      <c r="IJ12" s="15">
        <f>IF(Trans!R[121],"AAAAAHz/u/M=",0)</f>
        <v>0</v>
      </c>
      <c r="IK12" s="15" t="b">
        <f>AND(Trans!A133,"AAAAAHz/u/Q=")</f>
        <v>1</v>
      </c>
      <c r="IL12" s="15" t="str">
        <f>AND(Trans!B133,"AAAAAHz/u/U=")</f>
        <v>#VALUE!:noResult:No valid cells found for operation.</v>
      </c>
      <c r="IM12" s="15" t="b">
        <f>AND(Trans!C133,"AAAAAHz/u/Y=")</f>
        <v>1</v>
      </c>
      <c r="IN12" s="15" t="b">
        <f>AND(Trans!D133,"AAAAAHz/u/c=")</f>
        <v>1</v>
      </c>
      <c r="IO12" s="15" t="str">
        <f>AND(Trans!E133,"AAAAAHz/u/g=")</f>
        <v>#VALUE!:noResult:No valid cells found for operation.</v>
      </c>
      <c r="IP12" s="15" t="str">
        <f>AND(Trans!F133,"AAAAAHz/u/k=")</f>
        <v>#VALUE!:noResult:No valid cells found for operation.</v>
      </c>
      <c r="IQ12" s="15" t="str">
        <f>AND(Trans!G133,"AAAAAHz/u/o=")</f>
        <v>#VALUE!:noResult:No valid cells found for operation.</v>
      </c>
      <c r="IR12" s="15" t="str">
        <f>#REF!</f>
        <v>#VALUE!:noResult:No valid cells found for operation.</v>
      </c>
      <c r="IS12" s="15" t="str">
        <f>AND(Trans!H133,"AAAAAHz/u/w=")</f>
        <v>#VALUE!:noResult:No valid cells found for operation.</v>
      </c>
      <c r="IT12" s="15" t="str">
        <f>#REF!</f>
        <v>#VALUE!:noResult:No valid cells found for operation.</v>
      </c>
      <c r="IU12" s="15" t="str">
        <f>#REF!</f>
        <v>#VALUE!:noResult:No valid cells found for operation.</v>
      </c>
      <c r="IV12" s="15" t="str">
        <f>#REF!</f>
        <v>#VALUE!:noResult:No valid cells found for operation.</v>
      </c>
    </row>
    <row r="13">
      <c r="A13" s="15" t="str">
        <f>#REF!</f>
        <v>#VALUE!:noResult:No valid cells found for operation.</v>
      </c>
      <c r="B13" s="15" t="str">
        <f>#REF!</f>
        <v>#VALUE!:noResult:No valid cells found for operation.</v>
      </c>
      <c r="C13" s="15" t="str">
        <f>#REF!</f>
        <v>#VALUE!:noResult:No valid cells found for operation.</v>
      </c>
      <c r="D13" s="15" t="str">
        <f>IF(Trans!R[121],"AAAAAEMmbwM=",0)</f>
        <v>AAAAAEMmbwM=</v>
      </c>
      <c r="E13" s="15" t="b">
        <f>AND(Trans!A134,"AAAAAEMmbwQ=")</f>
        <v>1</v>
      </c>
      <c r="F13" s="15" t="str">
        <f>AND(Trans!B134,"AAAAAEMmbwU=")</f>
        <v>#VALUE!:noResult:No valid cells found for operation.</v>
      </c>
      <c r="G13" s="15" t="b">
        <f>AND(Trans!C134,"AAAAAEMmbwY=")</f>
        <v>1</v>
      </c>
      <c r="H13" s="15" t="b">
        <f>AND(Trans!D134,"AAAAAEMmbwc=")</f>
        <v>1</v>
      </c>
      <c r="I13" s="15" t="str">
        <f>AND(Trans!E134,"AAAAAEMmbwg=")</f>
        <v>#VALUE!:noResult:No valid cells found for operation.</v>
      </c>
      <c r="J13" s="15" t="str">
        <f>AND(Trans!F134,"AAAAAEMmbwk=")</f>
        <v>#VALUE!:noResult:No valid cells found for operation.</v>
      </c>
      <c r="K13" s="15" t="str">
        <f>AND(Trans!G134,"AAAAAEMmbwo=")</f>
        <v>#VALUE!:noResult:No valid cells found for operation.</v>
      </c>
      <c r="L13" s="15" t="str">
        <f>#REF!</f>
        <v>#VALUE!:noResult:No valid cells found for operation.</v>
      </c>
      <c r="M13" s="15" t="str">
        <f>AND(Trans!H134,"AAAAAEMmbww=")</f>
        <v>#VALUE!:noResult:No valid cells found for operation.</v>
      </c>
      <c r="N13" s="15" t="str">
        <f>#REF!</f>
        <v>#VALUE!:noResult:No valid cells found for operation.</v>
      </c>
      <c r="O13" s="15" t="str">
        <f>#REF!</f>
        <v>#VALUE!:noResult:No valid cells found for operation.</v>
      </c>
      <c r="P13" s="15" t="str">
        <f>#REF!</f>
        <v>#VALUE!:noResult:No valid cells found for operation.</v>
      </c>
      <c r="Q13" s="15" t="str">
        <f>#REF!</f>
        <v>#VALUE!:noResult:No valid cells found for operation.</v>
      </c>
      <c r="R13" s="15" t="str">
        <f>#REF!</f>
        <v>#VALUE!:noResult:No valid cells found for operation.</v>
      </c>
      <c r="S13" s="15" t="str">
        <f>#REF!</f>
        <v>#VALUE!:noResult:No valid cells found for operation.</v>
      </c>
      <c r="T13" s="15">
        <f>IF(Trans!R[122],"AAAAAEMmbxM=",0)</f>
        <v>0</v>
      </c>
      <c r="U13" s="15" t="b">
        <f>AND(Trans!A135,"AAAAAEMmbxQ=")</f>
        <v>1</v>
      </c>
      <c r="V13" s="15" t="str">
        <f>AND(Trans!B135,"AAAAAEMmbxU=")</f>
        <v>#VALUE!:noResult:No valid cells found for operation.</v>
      </c>
      <c r="W13" s="15" t="b">
        <f>AND(Trans!C135,"AAAAAEMmbxY=")</f>
        <v>1</v>
      </c>
      <c r="X13" s="15" t="b">
        <f>AND(Trans!D135,"AAAAAEMmbxc=")</f>
        <v>1</v>
      </c>
      <c r="Y13" s="15" t="str">
        <f>AND(Trans!E135,"AAAAAEMmbxg=")</f>
        <v>#VALUE!:noResult:No valid cells found for operation.</v>
      </c>
      <c r="Z13" s="15" t="str">
        <f>AND(Trans!F135,"AAAAAEMmbxk=")</f>
        <v>#VALUE!:noResult:No valid cells found for operation.</v>
      </c>
      <c r="AA13" s="15" t="str">
        <f>AND(Trans!G135,"AAAAAEMmbxo=")</f>
        <v>#VALUE!:noResult:No valid cells found for operation.</v>
      </c>
      <c r="AB13" s="15" t="str">
        <f>#REF!</f>
        <v>#VALUE!:noResult:No valid cells found for operation.</v>
      </c>
      <c r="AC13" s="15" t="str">
        <f>AND(Trans!H135,"AAAAAEMmbxw=")</f>
        <v>#VALUE!:noResult:No valid cells found for operation.</v>
      </c>
      <c r="AD13" s="15" t="str">
        <f>#REF!</f>
        <v>#VALUE!:noResult:No valid cells found for operation.</v>
      </c>
      <c r="AE13" s="15" t="str">
        <f>#REF!</f>
        <v>#VALUE!:noResult:No valid cells found for operation.</v>
      </c>
      <c r="AF13" s="15" t="str">
        <f>#REF!</f>
        <v>#VALUE!:noResult:No valid cells found for operation.</v>
      </c>
      <c r="AG13" s="15" t="str">
        <f>#REF!</f>
        <v>#VALUE!:noResult:No valid cells found for operation.</v>
      </c>
      <c r="AH13" s="15" t="str">
        <f>#REF!</f>
        <v>#VALUE!:noResult:No valid cells found for operation.</v>
      </c>
      <c r="AI13" s="15" t="str">
        <f>#REF!</f>
        <v>#VALUE!:noResult:No valid cells found for operation.</v>
      </c>
      <c r="AJ13" s="15">
        <f>IF(Trans!R[123],"AAAAAEMmbyM=",0)</f>
        <v>0</v>
      </c>
      <c r="AK13" s="15" t="b">
        <f>AND(Trans!A136,"AAAAAEMmbyQ=")</f>
        <v>1</v>
      </c>
      <c r="AL13" s="15" t="str">
        <f>AND(Trans!B136,"AAAAAEMmbyU=")</f>
        <v>#VALUE!:noResult:No valid cells found for operation.</v>
      </c>
      <c r="AM13" s="15" t="b">
        <f>AND(Trans!C136,"AAAAAEMmbyY=")</f>
        <v>1</v>
      </c>
      <c r="AN13" s="15" t="b">
        <f>AND(Trans!D136,"AAAAAEMmbyc=")</f>
        <v>1</v>
      </c>
      <c r="AO13" s="15" t="str">
        <f>AND(Trans!E136,"AAAAAEMmbyg=")</f>
        <v>#VALUE!:noResult:No valid cells found for operation.</v>
      </c>
      <c r="AP13" s="15" t="str">
        <f>AND(Trans!F136,"AAAAAEMmbyk=")</f>
        <v>#VALUE!:noResult:No valid cells found for operation.</v>
      </c>
      <c r="AQ13" s="15" t="str">
        <f>AND(Trans!G136,"AAAAAEMmbyo=")</f>
        <v>#VALUE!:noResult:No valid cells found for operation.</v>
      </c>
      <c r="AR13" s="15" t="str">
        <f>#REF!</f>
        <v>#VALUE!:noResult:No valid cells found for operation.</v>
      </c>
      <c r="AS13" s="15" t="str">
        <f>AND(Trans!H136,"AAAAAEMmbyw=")</f>
        <v>#VALUE!:noResult:No valid cells found for operation.</v>
      </c>
      <c r="AT13" s="15" t="str">
        <f>#REF!</f>
        <v>#VALUE!:noResult:No valid cells found for operation.</v>
      </c>
      <c r="AU13" s="15" t="str">
        <f>#REF!</f>
        <v>#VALUE!:noResult:No valid cells found for operation.</v>
      </c>
      <c r="AV13" s="15" t="str">
        <f>#REF!</f>
        <v>#VALUE!:noResult:No valid cells found for operation.</v>
      </c>
      <c r="AW13" s="15" t="str">
        <f>#REF!</f>
        <v>#VALUE!:noResult:No valid cells found for operation.</v>
      </c>
      <c r="AX13" s="15" t="str">
        <f>#REF!</f>
        <v>#VALUE!:noResult:No valid cells found for operation.</v>
      </c>
      <c r="AY13" s="15" t="str">
        <f>#REF!</f>
        <v>#VALUE!:noResult:No valid cells found for operation.</v>
      </c>
      <c r="AZ13" s="15">
        <f>IF(Trans!R[124],"AAAAAEMmbzM=",0)</f>
        <v>0</v>
      </c>
      <c r="BA13" s="15" t="b">
        <f>AND(Trans!A137,"AAAAAEMmbzQ=")</f>
        <v>1</v>
      </c>
      <c r="BB13" s="15" t="str">
        <f>AND(Trans!B137,"AAAAAEMmbzU=")</f>
        <v>#VALUE!:noResult:No valid cells found for operation.</v>
      </c>
      <c r="BC13" s="15" t="b">
        <f>AND(Trans!C137,"AAAAAEMmbzY=")</f>
        <v>1</v>
      </c>
      <c r="BD13" s="15" t="b">
        <f>AND(Trans!D137,"AAAAAEMmbzc=")</f>
        <v>1</v>
      </c>
      <c r="BE13" s="15" t="str">
        <f>AND(Trans!E137,"AAAAAEMmbzg=")</f>
        <v>#VALUE!:noResult:No valid cells found for operation.</v>
      </c>
      <c r="BF13" s="15" t="str">
        <f>AND(Trans!F137,"AAAAAEMmbzk=")</f>
        <v>#VALUE!:noResult:No valid cells found for operation.</v>
      </c>
      <c r="BG13" s="15" t="str">
        <f>AND(Trans!G137,"AAAAAEMmbzo=")</f>
        <v>#VALUE!:noResult:No valid cells found for operation.</v>
      </c>
      <c r="BH13" s="15" t="str">
        <f>#REF!</f>
        <v>#VALUE!:noResult:No valid cells found for operation.</v>
      </c>
      <c r="BI13" s="15" t="str">
        <f>AND(Trans!H137,"AAAAAEMmbzw=")</f>
        <v>#VALUE!:noResult:No valid cells found for operation.</v>
      </c>
      <c r="BJ13" s="15" t="str">
        <f>#REF!</f>
        <v>#VALUE!:noResult:No valid cells found for operation.</v>
      </c>
      <c r="BK13" s="15" t="str">
        <f>#REF!</f>
        <v>#VALUE!:noResult:No valid cells found for operation.</v>
      </c>
      <c r="BL13" s="15" t="str">
        <f>#REF!</f>
        <v>#VALUE!:noResult:No valid cells found for operation.</v>
      </c>
      <c r="BM13" s="15" t="str">
        <f>#REF!</f>
        <v>#VALUE!:noResult:No valid cells found for operation.</v>
      </c>
      <c r="BN13" s="15" t="str">
        <f>#REF!</f>
        <v>#VALUE!:noResult:No valid cells found for operation.</v>
      </c>
      <c r="BO13" s="15" t="str">
        <f>#REF!</f>
        <v>#VALUE!:noResult:No valid cells found for operation.</v>
      </c>
      <c r="BP13" s="15">
        <f>IF(Trans!R[125],"AAAAAEMmb0M=",0)</f>
        <v>0</v>
      </c>
      <c r="BQ13" s="15" t="b">
        <f>AND(Trans!A138,"AAAAAEMmb0Q=")</f>
        <v>1</v>
      </c>
      <c r="BR13" s="15" t="str">
        <f>AND(Trans!B138,"AAAAAEMmb0U=")</f>
        <v>#VALUE!:noResult:No valid cells found for operation.</v>
      </c>
      <c r="BS13" s="15" t="b">
        <f>AND(Trans!C138,"AAAAAEMmb0Y=")</f>
        <v>1</v>
      </c>
      <c r="BT13" s="15" t="b">
        <f>AND(Trans!D138,"AAAAAEMmb0c=")</f>
        <v>1</v>
      </c>
      <c r="BU13" s="15" t="str">
        <f>AND(Trans!E138,"AAAAAEMmb0g=")</f>
        <v>#VALUE!:noResult:No valid cells found for operation.</v>
      </c>
      <c r="BV13" s="15" t="str">
        <f>AND(Trans!F138,"AAAAAEMmb0k=")</f>
        <v>#VALUE!:noResult:No valid cells found for operation.</v>
      </c>
      <c r="BW13" s="15" t="str">
        <f>AND(Trans!G138,"AAAAAEMmb0o=")</f>
        <v>#VALUE!:noResult:No valid cells found for operation.</v>
      </c>
      <c r="BX13" s="15" t="str">
        <f>#REF!</f>
        <v>#VALUE!:noResult:No valid cells found for operation.</v>
      </c>
      <c r="BY13" s="15" t="str">
        <f>AND(Trans!H138,"AAAAAEMmb0w=")</f>
        <v>#VALUE!:noResult:No valid cells found for operation.</v>
      </c>
      <c r="BZ13" s="15" t="str">
        <f>#REF!</f>
        <v>#VALUE!:noResult:No valid cells found for operation.</v>
      </c>
      <c r="CA13" s="15" t="str">
        <f>#REF!</f>
        <v>#VALUE!:noResult:No valid cells found for operation.</v>
      </c>
      <c r="CB13" s="15" t="str">
        <f>#REF!</f>
        <v>#VALUE!:noResult:No valid cells found for operation.</v>
      </c>
      <c r="CC13" s="15" t="str">
        <f>#REF!</f>
        <v>#VALUE!:noResult:No valid cells found for operation.</v>
      </c>
      <c r="CD13" s="15" t="str">
        <f>#REF!</f>
        <v>#VALUE!:noResult:No valid cells found for operation.</v>
      </c>
      <c r="CE13" s="15" t="str">
        <f>#REF!</f>
        <v>#VALUE!:noResult:No valid cells found for operation.</v>
      </c>
      <c r="CF13" s="15">
        <f>IF(Trans!R[126],"AAAAAEMmb1M=",0)</f>
        <v>0</v>
      </c>
      <c r="CG13" s="15" t="b">
        <f>AND(Trans!A139,"AAAAAEMmb1Q=")</f>
        <v>1</v>
      </c>
      <c r="CH13" s="15" t="str">
        <f>AND(Trans!B139,"AAAAAEMmb1U=")</f>
        <v>#VALUE!:noResult:No valid cells found for operation.</v>
      </c>
      <c r="CI13" s="15" t="b">
        <f>AND(Trans!C139,"AAAAAEMmb1Y=")</f>
        <v>1</v>
      </c>
      <c r="CJ13" s="15" t="b">
        <f>AND(Trans!D139,"AAAAAEMmb1c=")</f>
        <v>1</v>
      </c>
      <c r="CK13" s="15" t="str">
        <f>AND(Trans!E139,"AAAAAEMmb1g=")</f>
        <v>#VALUE!:noResult:No valid cells found for operation.</v>
      </c>
      <c r="CL13" s="15" t="str">
        <f>AND(Trans!F139,"AAAAAEMmb1k=")</f>
        <v>#VALUE!:noResult:No valid cells found for operation.</v>
      </c>
      <c r="CM13" s="15" t="str">
        <f>AND(Trans!G139,"AAAAAEMmb1o=")</f>
        <v>#VALUE!:noResult:No valid cells found for operation.</v>
      </c>
      <c r="CN13" s="15" t="str">
        <f>#REF!</f>
        <v>#VALUE!:noResult:No valid cells found for operation.</v>
      </c>
      <c r="CO13" s="15" t="str">
        <f>AND(Trans!H139,"AAAAAEMmb1w=")</f>
        <v>#VALUE!:noResult:No valid cells found for operation.</v>
      </c>
      <c r="CP13" s="15" t="str">
        <f>#REF!</f>
        <v>#VALUE!:noResult:No valid cells found for operation.</v>
      </c>
      <c r="CQ13" s="15" t="str">
        <f>#REF!</f>
        <v>#VALUE!:noResult:No valid cells found for operation.</v>
      </c>
      <c r="CR13" s="15" t="str">
        <f>#REF!</f>
        <v>#VALUE!:noResult:No valid cells found for operation.</v>
      </c>
      <c r="CS13" s="15" t="str">
        <f>#REF!</f>
        <v>#VALUE!:noResult:No valid cells found for operation.</v>
      </c>
      <c r="CT13" s="15" t="str">
        <f>#REF!</f>
        <v>#VALUE!:noResult:No valid cells found for operation.</v>
      </c>
      <c r="CU13" s="15" t="str">
        <f>#REF!</f>
        <v>#VALUE!:noResult:No valid cells found for operation.</v>
      </c>
      <c r="CV13" s="15">
        <f>IF(Trans!R[127],"AAAAAEMmb2M=",0)</f>
        <v>0</v>
      </c>
      <c r="CW13" s="15" t="b">
        <f>AND(Trans!A140,"AAAAAEMmb2Q=")</f>
        <v>1</v>
      </c>
      <c r="CX13" s="15" t="str">
        <f>AND(Trans!B140,"AAAAAEMmb2U=")</f>
        <v>#VALUE!:noResult:No valid cells found for operation.</v>
      </c>
      <c r="CY13" s="15" t="b">
        <f>AND(Trans!C140,"AAAAAEMmb2Y=")</f>
        <v>1</v>
      </c>
      <c r="CZ13" s="15" t="b">
        <f>AND(Trans!D140,"AAAAAEMmb2c=")</f>
        <v>1</v>
      </c>
      <c r="DA13" s="15" t="str">
        <f>AND(Trans!E140,"AAAAAEMmb2g=")</f>
        <v>#VALUE!:noResult:No valid cells found for operation.</v>
      </c>
      <c r="DB13" s="15" t="str">
        <f>AND(Trans!F140,"AAAAAEMmb2k=")</f>
        <v>#VALUE!:noResult:No valid cells found for operation.</v>
      </c>
      <c r="DC13" s="15" t="str">
        <f>AND(Trans!G140,"AAAAAEMmb2o=")</f>
        <v>#VALUE!:noResult:No valid cells found for operation.</v>
      </c>
      <c r="DD13" s="15" t="str">
        <f>#REF!</f>
        <v>#VALUE!:noResult:No valid cells found for operation.</v>
      </c>
      <c r="DE13" s="15" t="str">
        <f>AND(Trans!H140,"AAAAAEMmb2w=")</f>
        <v>#VALUE!:noResult:No valid cells found for operation.</v>
      </c>
      <c r="DF13" s="15" t="str">
        <f>#REF!</f>
        <v>#VALUE!:noResult:No valid cells found for operation.</v>
      </c>
      <c r="DG13" s="15" t="str">
        <f>#REF!</f>
        <v>#VALUE!:noResult:No valid cells found for operation.</v>
      </c>
      <c r="DH13" s="15" t="str">
        <f>#REF!</f>
        <v>#VALUE!:noResult:No valid cells found for operation.</v>
      </c>
      <c r="DI13" s="15" t="str">
        <f>#REF!</f>
        <v>#VALUE!:noResult:No valid cells found for operation.</v>
      </c>
      <c r="DJ13" s="15" t="str">
        <f>#REF!</f>
        <v>#VALUE!:noResult:No valid cells found for operation.</v>
      </c>
      <c r="DK13" s="15" t="str">
        <f>#REF!</f>
        <v>#VALUE!:noResult:No valid cells found for operation.</v>
      </c>
      <c r="DL13" s="15">
        <f>IF(Trans!R[128],"AAAAAEMmb3M=",0)</f>
        <v>0</v>
      </c>
      <c r="DM13" s="15" t="b">
        <f>AND(Trans!A141,"AAAAAEMmb3Q=")</f>
        <v>1</v>
      </c>
      <c r="DN13" s="15" t="str">
        <f>AND(Trans!B141,"AAAAAEMmb3U=")</f>
        <v>#VALUE!:noResult:No valid cells found for operation.</v>
      </c>
      <c r="DO13" s="15" t="b">
        <f>AND(Trans!C141,"AAAAAEMmb3Y=")</f>
        <v>1</v>
      </c>
      <c r="DP13" s="15" t="b">
        <f>AND(Trans!D141,"AAAAAEMmb3c=")</f>
        <v>1</v>
      </c>
      <c r="DQ13" s="15" t="str">
        <f>AND(Trans!E141,"AAAAAEMmb3g=")</f>
        <v>#VALUE!:noResult:No valid cells found for operation.</v>
      </c>
      <c r="DR13" s="15" t="str">
        <f>AND(Trans!F141,"AAAAAEMmb3k=")</f>
        <v>#VALUE!:noResult:No valid cells found for operation.</v>
      </c>
      <c r="DS13" s="15" t="str">
        <f>AND(Trans!G141,"AAAAAEMmb3o=")</f>
        <v>#VALUE!:noResult:No valid cells found for operation.</v>
      </c>
      <c r="DT13" s="15" t="str">
        <f>#REF!</f>
        <v>#VALUE!:noResult:No valid cells found for operation.</v>
      </c>
      <c r="DU13" s="15" t="str">
        <f>AND(Trans!H141,"AAAAAEMmb3w=")</f>
        <v>#VALUE!:noResult:No valid cells found for operation.</v>
      </c>
      <c r="DV13" s="15" t="str">
        <f>#REF!</f>
        <v>#VALUE!:noResult:No valid cells found for operation.</v>
      </c>
      <c r="DW13" s="15" t="str">
        <f>#REF!</f>
        <v>#VALUE!:noResult:No valid cells found for operation.</v>
      </c>
      <c r="DX13" s="15" t="str">
        <f>#REF!</f>
        <v>#VALUE!:noResult:No valid cells found for operation.</v>
      </c>
      <c r="DY13" s="15" t="str">
        <f>#REF!</f>
        <v>#VALUE!:noResult:No valid cells found for operation.</v>
      </c>
      <c r="DZ13" s="15" t="str">
        <f>#REF!</f>
        <v>#VALUE!:noResult:No valid cells found for operation.</v>
      </c>
      <c r="EA13" s="15" t="str">
        <f>#REF!</f>
        <v>#VALUE!:noResult:No valid cells found for operation.</v>
      </c>
      <c r="EB13" s="15">
        <f>IF(Trans!R[129],"AAAAAEMmb4M=",0)</f>
        <v>0</v>
      </c>
      <c r="EC13" s="15" t="b">
        <f>AND(Trans!A142,"AAAAAEMmb4Q=")</f>
        <v>1</v>
      </c>
      <c r="ED13" s="15" t="str">
        <f>AND(Trans!B142,"AAAAAEMmb4U=")</f>
        <v>#VALUE!:noResult:No valid cells found for operation.</v>
      </c>
      <c r="EE13" s="15" t="b">
        <f>AND(Trans!C142,"AAAAAEMmb4Y=")</f>
        <v>1</v>
      </c>
      <c r="EF13" s="15" t="b">
        <f>AND(Trans!D142,"AAAAAEMmb4c=")</f>
        <v>1</v>
      </c>
      <c r="EG13" s="15" t="str">
        <f>AND(Trans!E142,"AAAAAEMmb4g=")</f>
        <v>#VALUE!:noResult:No valid cells found for operation.</v>
      </c>
      <c r="EH13" s="15" t="str">
        <f>AND(Trans!F142,"AAAAAEMmb4k=")</f>
        <v>#VALUE!:noResult:No valid cells found for operation.</v>
      </c>
      <c r="EI13" s="15" t="str">
        <f>AND(Trans!G142,"AAAAAEMmb4o=")</f>
        <v>#VALUE!:noResult:No valid cells found for operation.</v>
      </c>
      <c r="EJ13" s="15" t="str">
        <f>#REF!</f>
        <v>#VALUE!:noResult:No valid cells found for operation.</v>
      </c>
      <c r="EK13" s="15" t="str">
        <f>AND(Trans!H142,"AAAAAEMmb4w=")</f>
        <v>#VALUE!:noResult:No valid cells found for operation.</v>
      </c>
      <c r="EL13" s="15" t="str">
        <f>#REF!</f>
        <v>#VALUE!:noResult:No valid cells found for operation.</v>
      </c>
      <c r="EM13" s="15" t="str">
        <f>#REF!</f>
        <v>#VALUE!:noResult:No valid cells found for operation.</v>
      </c>
      <c r="EN13" s="15" t="str">
        <f>#REF!</f>
        <v>#VALUE!:noResult:No valid cells found for operation.</v>
      </c>
      <c r="EO13" s="15" t="str">
        <f>#REF!</f>
        <v>#VALUE!:noResult:No valid cells found for operation.</v>
      </c>
      <c r="EP13" s="15" t="str">
        <f>#REF!</f>
        <v>#VALUE!:noResult:No valid cells found for operation.</v>
      </c>
      <c r="EQ13" s="15" t="str">
        <f>#REF!</f>
        <v>#VALUE!:noResult:No valid cells found for operation.</v>
      </c>
      <c r="ER13" s="15">
        <f>IF(Trans!R[130],"AAAAAEMmb5M=",0)</f>
        <v>0</v>
      </c>
      <c r="ES13" s="15" t="b">
        <f>AND(Trans!A143,"AAAAAEMmb5Q=")</f>
        <v>1</v>
      </c>
      <c r="ET13" s="15" t="str">
        <f>AND(Trans!B143,"AAAAAEMmb5U=")</f>
        <v>#VALUE!:noResult:No valid cells found for operation.</v>
      </c>
      <c r="EU13" s="15" t="b">
        <f>AND(Trans!C143,"AAAAAEMmb5Y=")</f>
        <v>1</v>
      </c>
      <c r="EV13" s="15" t="b">
        <f>AND(Trans!D143,"AAAAAEMmb5c=")</f>
        <v>1</v>
      </c>
      <c r="EW13" s="15" t="str">
        <f>AND(Trans!E143,"AAAAAEMmb5g=")</f>
        <v>#VALUE!:noResult:No valid cells found for operation.</v>
      </c>
      <c r="EX13" s="15" t="str">
        <f>AND(Trans!F143,"AAAAAEMmb5k=")</f>
        <v>#VALUE!:noResult:No valid cells found for operation.</v>
      </c>
      <c r="EY13" s="15" t="str">
        <f>AND(Trans!G143,"AAAAAEMmb5o=")</f>
        <v>#VALUE!:noResult:No valid cells found for operation.</v>
      </c>
      <c r="EZ13" s="15" t="str">
        <f>#REF!</f>
        <v>#VALUE!:noResult:No valid cells found for operation.</v>
      </c>
      <c r="FA13" s="15" t="str">
        <f>AND(Trans!H143,"AAAAAEMmb5w=")</f>
        <v>#VALUE!:noResult:No valid cells found for operation.</v>
      </c>
      <c r="FB13" s="15" t="str">
        <f>#REF!</f>
        <v>#VALUE!:noResult:No valid cells found for operation.</v>
      </c>
      <c r="FC13" s="15" t="str">
        <f>#REF!</f>
        <v>#VALUE!:noResult:No valid cells found for operation.</v>
      </c>
      <c r="FD13" s="15" t="str">
        <f>#REF!</f>
        <v>#VALUE!:noResult:No valid cells found for operation.</v>
      </c>
      <c r="FE13" s="15" t="str">
        <f>#REF!</f>
        <v>#VALUE!:noResult:No valid cells found for operation.</v>
      </c>
      <c r="FF13" s="15" t="str">
        <f>#REF!</f>
        <v>#VALUE!:noResult:No valid cells found for operation.</v>
      </c>
      <c r="FG13" s="15" t="str">
        <f>#REF!</f>
        <v>#VALUE!:noResult:No valid cells found for operation.</v>
      </c>
      <c r="FH13" s="15">
        <f>IF(Trans!R[131],"AAAAAEMmb6M=",0)</f>
        <v>0</v>
      </c>
      <c r="FI13" s="15" t="b">
        <f>AND(Trans!A144,"AAAAAEMmb6Q=")</f>
        <v>1</v>
      </c>
      <c r="FJ13" s="15" t="str">
        <f>AND(Trans!B144,"AAAAAEMmb6U=")</f>
        <v>#VALUE!:noResult:No valid cells found for operation.</v>
      </c>
      <c r="FK13" s="15" t="b">
        <f>AND(Trans!C144,"AAAAAEMmb6Y=")</f>
        <v>1</v>
      </c>
      <c r="FL13" s="15" t="b">
        <f>AND(Trans!D144,"AAAAAEMmb6c=")</f>
        <v>1</v>
      </c>
      <c r="FM13" s="15" t="str">
        <f>AND(Trans!E144,"AAAAAEMmb6g=")</f>
        <v>#VALUE!:noResult:No valid cells found for operation.</v>
      </c>
      <c r="FN13" s="15" t="str">
        <f>AND(Trans!F144,"AAAAAEMmb6k=")</f>
        <v>#VALUE!:noResult:No valid cells found for operation.</v>
      </c>
      <c r="FO13" s="15" t="str">
        <f>AND(Trans!G144,"AAAAAEMmb6o=")</f>
        <v>#VALUE!:noResult:No valid cells found for operation.</v>
      </c>
      <c r="FP13" s="15" t="str">
        <f>#REF!</f>
        <v>#VALUE!:noResult:No valid cells found for operation.</v>
      </c>
      <c r="FQ13" s="15" t="str">
        <f>AND(Trans!H144,"AAAAAEMmb6w=")</f>
        <v>#VALUE!:noResult:No valid cells found for operation.</v>
      </c>
      <c r="FR13" s="15" t="str">
        <f>#REF!</f>
        <v>#VALUE!:noResult:No valid cells found for operation.</v>
      </c>
      <c r="FS13" s="15" t="str">
        <f>#REF!</f>
        <v>#VALUE!:noResult:No valid cells found for operation.</v>
      </c>
      <c r="FT13" s="15" t="str">
        <f>#REF!</f>
        <v>#VALUE!:noResult:No valid cells found for operation.</v>
      </c>
      <c r="FU13" s="15" t="str">
        <f>#REF!</f>
        <v>#VALUE!:noResult:No valid cells found for operation.</v>
      </c>
      <c r="FV13" s="15" t="str">
        <f>#REF!</f>
        <v>#VALUE!:noResult:No valid cells found for operation.</v>
      </c>
      <c r="FW13" s="15" t="str">
        <f>#REF!</f>
        <v>#VALUE!:noResult:No valid cells found for operation.</v>
      </c>
      <c r="FX13" s="15">
        <f>IF(Trans!R[132],"AAAAAEMmb7M=",0)</f>
        <v>0</v>
      </c>
      <c r="FY13" s="15" t="b">
        <f>AND(Trans!A145,"AAAAAEMmb7Q=")</f>
        <v>1</v>
      </c>
      <c r="FZ13" s="15" t="str">
        <f>AND(Trans!B145,"AAAAAEMmb7U=")</f>
        <v>#VALUE!:noResult:No valid cells found for operation.</v>
      </c>
      <c r="GA13" s="15" t="b">
        <f>AND(Trans!C145,"AAAAAEMmb7Y=")</f>
        <v>1</v>
      </c>
      <c r="GB13" s="15" t="b">
        <f>AND(Trans!D145,"AAAAAEMmb7c=")</f>
        <v>1</v>
      </c>
      <c r="GC13" s="15" t="str">
        <f>AND(Trans!E145,"AAAAAEMmb7g=")</f>
        <v>#VALUE!:noResult:No valid cells found for operation.</v>
      </c>
      <c r="GD13" s="15" t="str">
        <f>AND(Trans!F145,"AAAAAEMmb7k=")</f>
        <v>#VALUE!:noResult:No valid cells found for operation.</v>
      </c>
      <c r="GE13" s="15" t="str">
        <f>AND(Trans!G145,"AAAAAEMmb7o=")</f>
        <v>#VALUE!:noResult:No valid cells found for operation.</v>
      </c>
      <c r="GF13" s="15" t="str">
        <f>#REF!</f>
        <v>#VALUE!:noResult:No valid cells found for operation.</v>
      </c>
      <c r="GG13" s="15" t="str">
        <f>AND(Trans!H145,"AAAAAEMmb7w=")</f>
        <v>#VALUE!:noResult:No valid cells found for operation.</v>
      </c>
      <c r="GH13" s="15" t="str">
        <f>#REF!</f>
        <v>#VALUE!:noResult:No valid cells found for operation.</v>
      </c>
      <c r="GI13" s="15" t="str">
        <f>#REF!</f>
        <v>#VALUE!:noResult:No valid cells found for operation.</v>
      </c>
      <c r="GJ13" s="15" t="str">
        <f>#REF!</f>
        <v>#VALUE!:noResult:No valid cells found for operation.</v>
      </c>
      <c r="GK13" s="15" t="str">
        <f>#REF!</f>
        <v>#VALUE!:noResult:No valid cells found for operation.</v>
      </c>
      <c r="GL13" s="15" t="str">
        <f>#REF!</f>
        <v>#VALUE!:noResult:No valid cells found for operation.</v>
      </c>
      <c r="GM13" s="15" t="str">
        <f>#REF!</f>
        <v>#VALUE!:noResult:No valid cells found for operation.</v>
      </c>
      <c r="GN13" s="15">
        <f>IF(Trans!R[133],"AAAAAEMmb8M=",0)</f>
        <v>0</v>
      </c>
      <c r="GO13" s="15" t="b">
        <f>AND(Trans!A146,"AAAAAEMmb8Q=")</f>
        <v>1</v>
      </c>
      <c r="GP13" s="15" t="str">
        <f>AND(Trans!B146,"AAAAAEMmb8U=")</f>
        <v>#VALUE!:noResult:No valid cells found for operation.</v>
      </c>
      <c r="GQ13" s="15" t="b">
        <f>AND(Trans!C146,"AAAAAEMmb8Y=")</f>
        <v>1</v>
      </c>
      <c r="GR13" s="15" t="b">
        <f>AND(Trans!D146,"AAAAAEMmb8c=")</f>
        <v>1</v>
      </c>
      <c r="GS13" s="15" t="str">
        <f>AND(Trans!E146,"AAAAAEMmb8g=")</f>
        <v>#VALUE!:noResult:No valid cells found for operation.</v>
      </c>
      <c r="GT13" s="15" t="str">
        <f>AND(Trans!F146,"AAAAAEMmb8k=")</f>
        <v>#VALUE!:noResult:No valid cells found for operation.</v>
      </c>
      <c r="GU13" s="15" t="str">
        <f>AND(Trans!G146,"AAAAAEMmb8o=")</f>
        <v>#VALUE!:noResult:No valid cells found for operation.</v>
      </c>
      <c r="GV13" s="15" t="str">
        <f>#REF!</f>
        <v>#VALUE!:noResult:No valid cells found for operation.</v>
      </c>
      <c r="GW13" s="15" t="str">
        <f>AND(Trans!H146,"AAAAAEMmb8w=")</f>
        <v>#VALUE!:noResult:No valid cells found for operation.</v>
      </c>
      <c r="GX13" s="15" t="str">
        <f>#REF!</f>
        <v>#VALUE!:noResult:No valid cells found for operation.</v>
      </c>
      <c r="GY13" s="15" t="str">
        <f>#REF!</f>
        <v>#VALUE!:noResult:No valid cells found for operation.</v>
      </c>
      <c r="GZ13" s="15" t="str">
        <f>#REF!</f>
        <v>#VALUE!:noResult:No valid cells found for operation.</v>
      </c>
      <c r="HA13" s="15" t="str">
        <f>#REF!</f>
        <v>#VALUE!:noResult:No valid cells found for operation.</v>
      </c>
      <c r="HB13" s="15" t="str">
        <f>#REF!</f>
        <v>#VALUE!:noResult:No valid cells found for operation.</v>
      </c>
      <c r="HC13" s="15" t="str">
        <f>#REF!</f>
        <v>#VALUE!:noResult:No valid cells found for operation.</v>
      </c>
      <c r="HD13" s="15">
        <f>IF(Trans!R[134],"AAAAAEMmb9M=",0)</f>
        <v>0</v>
      </c>
      <c r="HE13" s="15" t="b">
        <f>AND(Trans!A147,"AAAAAEMmb9Q=")</f>
        <v>1</v>
      </c>
      <c r="HF13" s="15" t="str">
        <f>AND(Trans!B147,"AAAAAEMmb9U=")</f>
        <v>#VALUE!:noResult:No valid cells found for operation.</v>
      </c>
      <c r="HG13" s="15" t="b">
        <f>AND(Trans!C147,"AAAAAEMmb9Y=")</f>
        <v>1</v>
      </c>
      <c r="HH13" s="15" t="b">
        <f>AND(Trans!D147,"AAAAAEMmb9c=")</f>
        <v>1</v>
      </c>
      <c r="HI13" s="15" t="str">
        <f>AND(Trans!E147,"AAAAAEMmb9g=")</f>
        <v>#VALUE!:noResult:No valid cells found for operation.</v>
      </c>
      <c r="HJ13" s="15" t="str">
        <f>AND(Trans!F147,"AAAAAEMmb9k=")</f>
        <v>#VALUE!:noResult:No valid cells found for operation.</v>
      </c>
      <c r="HK13" s="15" t="str">
        <f>AND(Trans!G147,"AAAAAEMmb9o=")</f>
        <v>#VALUE!:noResult:No valid cells found for operation.</v>
      </c>
      <c r="HL13" s="15" t="str">
        <f>#REF!</f>
        <v>#VALUE!:noResult:No valid cells found for operation.</v>
      </c>
      <c r="HM13" s="15" t="str">
        <f>AND(Trans!H147,"AAAAAEMmb9w=")</f>
        <v>#VALUE!:noResult:No valid cells found for operation.</v>
      </c>
      <c r="HN13" s="15" t="str">
        <f>#REF!</f>
        <v>#VALUE!:noResult:No valid cells found for operation.</v>
      </c>
      <c r="HO13" s="15" t="str">
        <f>#REF!</f>
        <v>#VALUE!:noResult:No valid cells found for operation.</v>
      </c>
      <c r="HP13" s="15" t="str">
        <f>#REF!</f>
        <v>#VALUE!:noResult:No valid cells found for operation.</v>
      </c>
      <c r="HQ13" s="15" t="str">
        <f>#REF!</f>
        <v>#VALUE!:noResult:No valid cells found for operation.</v>
      </c>
      <c r="HR13" s="15" t="str">
        <f>#REF!</f>
        <v>#VALUE!:noResult:No valid cells found for operation.</v>
      </c>
      <c r="HS13" s="15" t="str">
        <f>#REF!</f>
        <v>#VALUE!:noResult:No valid cells found for operation.</v>
      </c>
      <c r="HT13" s="15">
        <f>IF(Trans!R[135],"AAAAAEMmb+M=",0)</f>
        <v>0</v>
      </c>
      <c r="HU13" s="15" t="b">
        <f>AND(Trans!A148,"AAAAAEMmb+Q=")</f>
        <v>1</v>
      </c>
      <c r="HV13" s="15" t="str">
        <f>AND(Trans!B148,"AAAAAEMmb+U=")</f>
        <v>#VALUE!:noResult:No valid cells found for operation.</v>
      </c>
      <c r="HW13" s="15" t="b">
        <f>AND(Trans!C148,"AAAAAEMmb+Y=")</f>
        <v>1</v>
      </c>
      <c r="HX13" s="15" t="b">
        <f>AND(Trans!D148,"AAAAAEMmb+c=")</f>
        <v>1</v>
      </c>
      <c r="HY13" s="15" t="str">
        <f>AND(Trans!E148,"AAAAAEMmb+g=")</f>
        <v>#VALUE!:noResult:No valid cells found for operation.</v>
      </c>
      <c r="HZ13" s="15" t="str">
        <f>AND(Trans!F148,"AAAAAEMmb+k=")</f>
        <v>#VALUE!:noResult:No valid cells found for operation.</v>
      </c>
      <c r="IA13" s="15" t="str">
        <f>AND(Trans!G148,"AAAAAEMmb+o=")</f>
        <v>#VALUE!:noResult:No valid cells found for operation.</v>
      </c>
      <c r="IB13" s="15" t="str">
        <f>#REF!</f>
        <v>#VALUE!:noResult:No valid cells found for operation.</v>
      </c>
      <c r="IC13" s="15" t="str">
        <f>AND(Trans!H148,"AAAAAEMmb+w=")</f>
        <v>#VALUE!:noResult:No valid cells found for operation.</v>
      </c>
      <c r="ID13" s="15" t="str">
        <f>#REF!</f>
        <v>#VALUE!:noResult:No valid cells found for operation.</v>
      </c>
      <c r="IE13" s="15" t="str">
        <f>#REF!</f>
        <v>#VALUE!:noResult:No valid cells found for operation.</v>
      </c>
      <c r="IF13" s="15" t="str">
        <f>#REF!</f>
        <v>#VALUE!:noResult:No valid cells found for operation.</v>
      </c>
      <c r="IG13" s="15" t="str">
        <f>#REF!</f>
        <v>#VALUE!:noResult:No valid cells found for operation.</v>
      </c>
      <c r="IH13" s="15" t="str">
        <f>#REF!</f>
        <v>#VALUE!:noResult:No valid cells found for operation.</v>
      </c>
      <c r="II13" s="15" t="str">
        <f>#REF!</f>
        <v>#VALUE!:noResult:No valid cells found for operation.</v>
      </c>
      <c r="IJ13" s="15">
        <f>IF(Trans!R[136],"AAAAAEMmb/M=",0)</f>
        <v>0</v>
      </c>
      <c r="IK13" s="15" t="b">
        <f>AND(Trans!A149,"AAAAAEMmb/Q=")</f>
        <v>1</v>
      </c>
      <c r="IL13" s="15" t="str">
        <f>AND(Trans!B149,"AAAAAEMmb/U=")</f>
        <v>#VALUE!:noResult:No valid cells found for operation.</v>
      </c>
      <c r="IM13" s="15" t="b">
        <f>AND(Trans!C149,"AAAAAEMmb/Y=")</f>
        <v>1</v>
      </c>
      <c r="IN13" s="15" t="b">
        <f>AND(Trans!D149,"AAAAAEMmb/c=")</f>
        <v>1</v>
      </c>
      <c r="IO13" s="15" t="str">
        <f>AND(Trans!E149,"AAAAAEMmb/g=")</f>
        <v>#VALUE!:noResult:No valid cells found for operation.</v>
      </c>
      <c r="IP13" s="15" t="str">
        <f>AND(Trans!F149,"AAAAAEMmb/k=")</f>
        <v>#VALUE!:noResult:No valid cells found for operation.</v>
      </c>
      <c r="IQ13" s="15" t="str">
        <f>AND(Trans!G149,"AAAAAEMmb/o=")</f>
        <v>#VALUE!:noResult:No valid cells found for operation.</v>
      </c>
      <c r="IR13" s="15" t="str">
        <f>#REF!</f>
        <v>#VALUE!:noResult:No valid cells found for operation.</v>
      </c>
      <c r="IS13" s="15" t="str">
        <f>AND(Trans!H149,"AAAAAEMmb/w=")</f>
        <v>#VALUE!:noResult:No valid cells found for operation.</v>
      </c>
      <c r="IT13" s="15" t="str">
        <f>#REF!</f>
        <v>#VALUE!:noResult:No valid cells found for operation.</v>
      </c>
      <c r="IU13" s="15" t="str">
        <f>#REF!</f>
        <v>#VALUE!:noResult:No valid cells found for operation.</v>
      </c>
      <c r="IV13" s="15" t="str">
        <f>#REF!</f>
        <v>#VALUE!:noResult:No valid cells found for operation.</v>
      </c>
    </row>
    <row r="14">
      <c r="A14" s="15" t="str">
        <f>#REF!</f>
        <v>#VALUE!:noResult:No valid cells found for operation.</v>
      </c>
      <c r="B14" s="15" t="str">
        <f>#REF!</f>
        <v>#VALUE!:noResult:No valid cells found for operation.</v>
      </c>
      <c r="C14" s="15" t="str">
        <f>#REF!</f>
        <v>#VALUE!:noResult:No valid cells found for operation.</v>
      </c>
      <c r="D14" s="15" t="str">
        <f>IF(Trans!R[136],"AAAAAH9bygM=",0)</f>
        <v>AAAAAH9bygM=</v>
      </c>
      <c r="E14" s="15" t="b">
        <f>AND(Trans!A150,"AAAAAH9bygQ=")</f>
        <v>1</v>
      </c>
      <c r="F14" s="15" t="str">
        <f>AND(Trans!B150,"AAAAAH9bygU=")</f>
        <v>#VALUE!:noResult:No valid cells found for operation.</v>
      </c>
      <c r="G14" s="15" t="b">
        <f>AND(Trans!C150,"AAAAAH9bygY=")</f>
        <v>1</v>
      </c>
      <c r="H14" s="15" t="b">
        <f>AND(Trans!D150,"AAAAAH9bygc=")</f>
        <v>1</v>
      </c>
      <c r="I14" s="15" t="str">
        <f>AND(Trans!E150,"AAAAAH9bygg=")</f>
        <v>#VALUE!:noResult:No valid cells found for operation.</v>
      </c>
      <c r="J14" s="15" t="str">
        <f>AND(Trans!F150,"AAAAAH9bygk=")</f>
        <v>#VALUE!:noResult:No valid cells found for operation.</v>
      </c>
      <c r="K14" s="15" t="str">
        <f>AND(Trans!G150,"AAAAAH9bygo=")</f>
        <v>#VALUE!:noResult:No valid cells found for operation.</v>
      </c>
      <c r="L14" s="15" t="str">
        <f>#REF!</f>
        <v>#VALUE!:noResult:No valid cells found for operation.</v>
      </c>
      <c r="M14" s="15" t="str">
        <f>AND(Trans!H150,"AAAAAH9bygw=")</f>
        <v>#VALUE!:noResult:No valid cells found for operation.</v>
      </c>
      <c r="N14" s="15" t="str">
        <f>#REF!</f>
        <v>#VALUE!:noResult:No valid cells found for operation.</v>
      </c>
      <c r="O14" s="15" t="str">
        <f>#REF!</f>
        <v>#VALUE!:noResult:No valid cells found for operation.</v>
      </c>
      <c r="P14" s="15" t="str">
        <f>#REF!</f>
        <v>#VALUE!:noResult:No valid cells found for operation.</v>
      </c>
      <c r="Q14" s="15" t="str">
        <f>#REF!</f>
        <v>#VALUE!:noResult:No valid cells found for operation.</v>
      </c>
      <c r="R14" s="15" t="str">
        <f>#REF!</f>
        <v>#VALUE!:noResult:No valid cells found for operation.</v>
      </c>
      <c r="S14" s="15" t="str">
        <f>#REF!</f>
        <v>#VALUE!:noResult:No valid cells found for operation.</v>
      </c>
      <c r="T14" s="15">
        <f>IF(Trans!R[137],"AAAAAH9byhM=",0)</f>
        <v>0</v>
      </c>
      <c r="U14" s="15" t="b">
        <f>AND(Trans!A151,"AAAAAH9byhQ=")</f>
        <v>1</v>
      </c>
      <c r="V14" s="15" t="str">
        <f>AND(Trans!B151,"AAAAAH9byhU=")</f>
        <v>#VALUE!:noResult:No valid cells found for operation.</v>
      </c>
      <c r="W14" s="15" t="b">
        <f>AND(Trans!C151,"AAAAAH9byhY=")</f>
        <v>1</v>
      </c>
      <c r="X14" s="15" t="b">
        <f>AND(Trans!D151,"AAAAAH9byhc=")</f>
        <v>1</v>
      </c>
      <c r="Y14" s="15" t="str">
        <f>AND(Trans!E151,"AAAAAH9byhg=")</f>
        <v>#VALUE!:noResult:No valid cells found for operation.</v>
      </c>
      <c r="Z14" s="15" t="str">
        <f>AND(Trans!F151,"AAAAAH9byhk=")</f>
        <v>#VALUE!:noResult:No valid cells found for operation.</v>
      </c>
      <c r="AA14" s="15" t="str">
        <f>AND(Trans!G151,"AAAAAH9byho=")</f>
        <v>#VALUE!:noResult:No valid cells found for operation.</v>
      </c>
      <c r="AB14" s="15" t="str">
        <f>#REF!</f>
        <v>#VALUE!:noResult:No valid cells found for operation.</v>
      </c>
      <c r="AC14" s="15" t="str">
        <f>AND(Trans!H151,"AAAAAH9byhw=")</f>
        <v>#VALUE!:noResult:No valid cells found for operation.</v>
      </c>
      <c r="AD14" s="15" t="str">
        <f>#REF!</f>
        <v>#VALUE!:noResult:No valid cells found for operation.</v>
      </c>
      <c r="AE14" s="15" t="str">
        <f>#REF!</f>
        <v>#VALUE!:noResult:No valid cells found for operation.</v>
      </c>
      <c r="AF14" s="15" t="str">
        <f>#REF!</f>
        <v>#VALUE!:noResult:No valid cells found for operation.</v>
      </c>
      <c r="AG14" s="15" t="str">
        <f>#REF!</f>
        <v>#VALUE!:noResult:No valid cells found for operation.</v>
      </c>
      <c r="AH14" s="15" t="str">
        <f>#REF!</f>
        <v>#VALUE!:noResult:No valid cells found for operation.</v>
      </c>
      <c r="AI14" s="15" t="str">
        <f>#REF!</f>
        <v>#VALUE!:noResult:No valid cells found for operation.</v>
      </c>
      <c r="AJ14" s="15">
        <f>IF(Trans!R[138],"AAAAAH9byiM=",0)</f>
        <v>0</v>
      </c>
      <c r="AK14" s="15" t="b">
        <f>AND(Trans!A152,"AAAAAH9byiQ=")</f>
        <v>1</v>
      </c>
      <c r="AL14" s="15" t="str">
        <f>AND(Trans!B152,"AAAAAH9byiU=")</f>
        <v>#VALUE!:noResult:No valid cells found for operation.</v>
      </c>
      <c r="AM14" s="15" t="b">
        <f>AND(Trans!C152,"AAAAAH9byiY=")</f>
        <v>1</v>
      </c>
      <c r="AN14" s="15" t="b">
        <f>AND(Trans!D152,"AAAAAH9byic=")</f>
        <v>1</v>
      </c>
      <c r="AO14" s="15" t="str">
        <f>AND(Trans!E152,"AAAAAH9byig=")</f>
        <v>#VALUE!:noResult:No valid cells found for operation.</v>
      </c>
      <c r="AP14" s="15" t="str">
        <f>AND(Trans!F152,"AAAAAH9byik=")</f>
        <v>#VALUE!:noResult:No valid cells found for operation.</v>
      </c>
      <c r="AQ14" s="15" t="str">
        <f>AND(Trans!G152,"AAAAAH9byio=")</f>
        <v>#VALUE!:noResult:No valid cells found for operation.</v>
      </c>
      <c r="AR14" s="15" t="str">
        <f>#REF!</f>
        <v>#VALUE!:noResult:No valid cells found for operation.</v>
      </c>
      <c r="AS14" s="15" t="str">
        <f>AND(Trans!H152,"AAAAAH9byiw=")</f>
        <v>#VALUE!:noResult:No valid cells found for operation.</v>
      </c>
      <c r="AT14" s="15" t="str">
        <f>#REF!</f>
        <v>#VALUE!:noResult:No valid cells found for operation.</v>
      </c>
      <c r="AU14" s="15" t="str">
        <f>#REF!</f>
        <v>#VALUE!:noResult:No valid cells found for operation.</v>
      </c>
      <c r="AV14" s="15" t="str">
        <f>#REF!</f>
        <v>#VALUE!:noResult:No valid cells found for operation.</v>
      </c>
      <c r="AW14" s="15" t="str">
        <f>#REF!</f>
        <v>#VALUE!:noResult:No valid cells found for operation.</v>
      </c>
      <c r="AX14" s="15" t="str">
        <f>#REF!</f>
        <v>#VALUE!:noResult:No valid cells found for operation.</v>
      </c>
      <c r="AY14" s="15" t="str">
        <f>#REF!</f>
        <v>#VALUE!:noResult:No valid cells found for operation.</v>
      </c>
      <c r="AZ14" s="15">
        <f>IF(Trans!R[139],"AAAAAH9byjM=",0)</f>
        <v>0</v>
      </c>
      <c r="BA14" s="15" t="b">
        <f>AND(Trans!A153,"AAAAAH9byjQ=")</f>
        <v>1</v>
      </c>
      <c r="BB14" s="15" t="str">
        <f>AND(Trans!B153,"AAAAAH9byjU=")</f>
        <v>#VALUE!:noResult:No valid cells found for operation.</v>
      </c>
      <c r="BC14" s="15" t="b">
        <f>AND(Trans!C153,"AAAAAH9byjY=")</f>
        <v>1</v>
      </c>
      <c r="BD14" s="15" t="b">
        <f>AND(Trans!D153,"AAAAAH9byjc=")</f>
        <v>1</v>
      </c>
      <c r="BE14" s="15" t="str">
        <f>AND(Trans!E153,"AAAAAH9byjg=")</f>
        <v>#VALUE!:noResult:No valid cells found for operation.</v>
      </c>
      <c r="BF14" s="15" t="str">
        <f>AND(Trans!F153,"AAAAAH9byjk=")</f>
        <v>#VALUE!:noResult:No valid cells found for operation.</v>
      </c>
      <c r="BG14" s="15" t="str">
        <f>AND(Trans!G153,"AAAAAH9byjo=")</f>
        <v>#VALUE!:noResult:No valid cells found for operation.</v>
      </c>
      <c r="BH14" s="15" t="str">
        <f>#REF!</f>
        <v>#VALUE!:noResult:No valid cells found for operation.</v>
      </c>
      <c r="BI14" s="15" t="str">
        <f>AND(Trans!H153,"AAAAAH9byjw=")</f>
        <v>#VALUE!:noResult:No valid cells found for operation.</v>
      </c>
      <c r="BJ14" s="15" t="str">
        <f>#REF!</f>
        <v>#VALUE!:noResult:No valid cells found for operation.</v>
      </c>
      <c r="BK14" s="15" t="str">
        <f>#REF!</f>
        <v>#VALUE!:noResult:No valid cells found for operation.</v>
      </c>
      <c r="BL14" s="15" t="str">
        <f>#REF!</f>
        <v>#VALUE!:noResult:No valid cells found for operation.</v>
      </c>
      <c r="BM14" s="15" t="str">
        <f>#REF!</f>
        <v>#VALUE!:noResult:No valid cells found for operation.</v>
      </c>
      <c r="BN14" s="15" t="str">
        <f>#REF!</f>
        <v>#VALUE!:noResult:No valid cells found for operation.</v>
      </c>
      <c r="BO14" s="15" t="str">
        <f>#REF!</f>
        <v>#VALUE!:noResult:No valid cells found for operation.</v>
      </c>
      <c r="BP14" s="15">
        <f>IF(Trans!R[140],"AAAAAH9bykM=",0)</f>
        <v>0</v>
      </c>
      <c r="BQ14" s="15" t="b">
        <f>AND(Trans!A154,"AAAAAH9bykQ=")</f>
        <v>1</v>
      </c>
      <c r="BR14" s="15" t="str">
        <f>AND(Trans!B154,"AAAAAH9bykU=")</f>
        <v>#VALUE!:noResult:No valid cells found for operation.</v>
      </c>
      <c r="BS14" s="15" t="b">
        <f>AND(Trans!C154,"AAAAAH9bykY=")</f>
        <v>1</v>
      </c>
      <c r="BT14" s="15" t="b">
        <f>AND(Trans!D154,"AAAAAH9bykc=")</f>
        <v>1</v>
      </c>
      <c r="BU14" s="15" t="str">
        <f>AND(Trans!E154,"AAAAAH9bykg=")</f>
        <v>#VALUE!:noResult:No valid cells found for operation.</v>
      </c>
      <c r="BV14" s="15" t="str">
        <f>AND(Trans!F154,"AAAAAH9bykk=")</f>
        <v>#VALUE!:noResult:No valid cells found for operation.</v>
      </c>
      <c r="BW14" s="15" t="str">
        <f>AND(Trans!G154,"AAAAAH9byko=")</f>
        <v>#VALUE!:noResult:No valid cells found for operation.</v>
      </c>
      <c r="BX14" s="15" t="str">
        <f>#REF!</f>
        <v>#VALUE!:noResult:No valid cells found for operation.</v>
      </c>
      <c r="BY14" s="15" t="str">
        <f>AND(Trans!H154,"AAAAAH9bykw=")</f>
        <v>#VALUE!:noResult:No valid cells found for operation.</v>
      </c>
      <c r="BZ14" s="15" t="str">
        <f>#REF!</f>
        <v>#VALUE!:noResult:No valid cells found for operation.</v>
      </c>
      <c r="CA14" s="15" t="str">
        <f>#REF!</f>
        <v>#VALUE!:noResult:No valid cells found for operation.</v>
      </c>
      <c r="CB14" s="15" t="str">
        <f>#REF!</f>
        <v>#VALUE!:noResult:No valid cells found for operation.</v>
      </c>
      <c r="CC14" s="15" t="str">
        <f>#REF!</f>
        <v>#VALUE!:noResult:No valid cells found for operation.</v>
      </c>
      <c r="CD14" s="15" t="str">
        <f>#REF!</f>
        <v>#VALUE!:noResult:No valid cells found for operation.</v>
      </c>
      <c r="CE14" s="15" t="str">
        <f>#REF!</f>
        <v>#VALUE!:noResult:No valid cells found for operation.</v>
      </c>
      <c r="CF14" s="15">
        <f>IF(Trans!R[141],"AAAAAH9bylM=",0)</f>
        <v>0</v>
      </c>
      <c r="CG14" s="15" t="b">
        <f>AND(Trans!A155,"AAAAAH9bylQ=")</f>
        <v>1</v>
      </c>
      <c r="CH14" s="15" t="str">
        <f>AND(Trans!B155,"AAAAAH9bylU=")</f>
        <v>#VALUE!:noResult:No valid cells found for operation.</v>
      </c>
      <c r="CI14" s="15" t="b">
        <f>AND(Trans!C155,"AAAAAH9bylY=")</f>
        <v>1</v>
      </c>
      <c r="CJ14" s="15" t="b">
        <f>AND(Trans!D155,"AAAAAH9bylc=")</f>
        <v>1</v>
      </c>
      <c r="CK14" s="15" t="str">
        <f>AND(Trans!E155,"AAAAAH9bylg=")</f>
        <v>#VALUE!:noResult:No valid cells found for operation.</v>
      </c>
      <c r="CL14" s="15" t="str">
        <f>AND(Trans!F155,"AAAAAH9bylk=")</f>
        <v>#VALUE!:noResult:No valid cells found for operation.</v>
      </c>
      <c r="CM14" s="15" t="str">
        <f>AND(Trans!G155,"AAAAAH9bylo=")</f>
        <v>#VALUE!:noResult:No valid cells found for operation.</v>
      </c>
      <c r="CN14" s="15" t="str">
        <f>#REF!</f>
        <v>#VALUE!:noResult:No valid cells found for operation.</v>
      </c>
      <c r="CO14" s="15" t="str">
        <f>AND(Trans!H155,"AAAAAH9bylw=")</f>
        <v>#VALUE!:noResult:No valid cells found for operation.</v>
      </c>
      <c r="CP14" s="15" t="str">
        <f>#REF!</f>
        <v>#VALUE!:noResult:No valid cells found for operation.</v>
      </c>
      <c r="CQ14" s="15" t="str">
        <f>#REF!</f>
        <v>#VALUE!:noResult:No valid cells found for operation.</v>
      </c>
      <c r="CR14" s="15" t="str">
        <f>#REF!</f>
        <v>#VALUE!:noResult:No valid cells found for operation.</v>
      </c>
      <c r="CS14" s="15" t="str">
        <f>#REF!</f>
        <v>#VALUE!:noResult:No valid cells found for operation.</v>
      </c>
      <c r="CT14" s="15" t="str">
        <f>#REF!</f>
        <v>#VALUE!:noResult:No valid cells found for operation.</v>
      </c>
      <c r="CU14" s="15" t="str">
        <f>#REF!</f>
        <v>#VALUE!:noResult:No valid cells found for operation.</v>
      </c>
      <c r="CV14" s="15">
        <f>IF(Trans!R[142],"AAAAAH9bymM=",0)</f>
        <v>0</v>
      </c>
      <c r="CW14" s="15" t="b">
        <f>AND(Trans!A156,"AAAAAH9bymQ=")</f>
        <v>1</v>
      </c>
      <c r="CX14" s="15" t="str">
        <f>AND(Trans!B156,"AAAAAH9bymU=")</f>
        <v>#VALUE!:noResult:No valid cells found for operation.</v>
      </c>
      <c r="CY14" s="15" t="b">
        <f>AND(Trans!C156,"AAAAAH9bymY=")</f>
        <v>1</v>
      </c>
      <c r="CZ14" s="15" t="b">
        <f>AND(Trans!D156,"AAAAAH9bymc=")</f>
        <v>1</v>
      </c>
      <c r="DA14" s="15" t="str">
        <f>AND(Trans!E156,"AAAAAH9bymg=")</f>
        <v>#VALUE!:noResult:No valid cells found for operation.</v>
      </c>
      <c r="DB14" s="15" t="str">
        <f>AND(Trans!F156,"AAAAAH9bymk=")</f>
        <v>#VALUE!:noResult:No valid cells found for operation.</v>
      </c>
      <c r="DC14" s="15" t="str">
        <f>AND(Trans!G156,"AAAAAH9bymo=")</f>
        <v>#VALUE!:noResult:No valid cells found for operation.</v>
      </c>
      <c r="DD14" s="15" t="str">
        <f>#REF!</f>
        <v>#VALUE!:noResult:No valid cells found for operation.</v>
      </c>
      <c r="DE14" s="15" t="str">
        <f>AND(Trans!H156,"AAAAAH9bymw=")</f>
        <v>#VALUE!:noResult:No valid cells found for operation.</v>
      </c>
      <c r="DF14" s="15" t="str">
        <f>#REF!</f>
        <v>#VALUE!:noResult:No valid cells found for operation.</v>
      </c>
      <c r="DG14" s="15" t="str">
        <f>#REF!</f>
        <v>#VALUE!:noResult:No valid cells found for operation.</v>
      </c>
      <c r="DH14" s="15" t="str">
        <f>#REF!</f>
        <v>#VALUE!:noResult:No valid cells found for operation.</v>
      </c>
      <c r="DI14" s="15" t="str">
        <f>#REF!</f>
        <v>#VALUE!:noResult:No valid cells found for operation.</v>
      </c>
      <c r="DJ14" s="15" t="str">
        <f>#REF!</f>
        <v>#VALUE!:noResult:No valid cells found for operation.</v>
      </c>
      <c r="DK14" s="15" t="str">
        <f>#REF!</f>
        <v>#VALUE!:noResult:No valid cells found for operation.</v>
      </c>
      <c r="DL14" s="15">
        <f>IF(Trans!R[143],"AAAAAH9bynM=",0)</f>
        <v>0</v>
      </c>
      <c r="DM14" s="15" t="b">
        <f>AND(Trans!A157,"AAAAAH9bynQ=")</f>
        <v>1</v>
      </c>
      <c r="DN14" s="15" t="str">
        <f>AND(Trans!B157,"AAAAAH9bynU=")</f>
        <v>#VALUE!:noResult:No valid cells found for operation.</v>
      </c>
      <c r="DO14" s="15" t="b">
        <f>AND(Trans!C157,"AAAAAH9bynY=")</f>
        <v>1</v>
      </c>
      <c r="DP14" s="15" t="b">
        <f>AND(Trans!D157,"AAAAAH9bync=")</f>
        <v>1</v>
      </c>
      <c r="DQ14" s="15" t="str">
        <f>AND(Trans!E157,"AAAAAH9byng=")</f>
        <v>#VALUE!:noResult:No valid cells found for operation.</v>
      </c>
      <c r="DR14" s="15" t="str">
        <f>AND(Trans!F157,"AAAAAH9bynk=")</f>
        <v>#VALUE!:noResult:No valid cells found for operation.</v>
      </c>
      <c r="DS14" s="15" t="str">
        <f>AND(Trans!G157,"AAAAAH9byno=")</f>
        <v>#VALUE!:noResult:No valid cells found for operation.</v>
      </c>
      <c r="DT14" s="15" t="str">
        <f>#REF!</f>
        <v>#VALUE!:noResult:No valid cells found for operation.</v>
      </c>
      <c r="DU14" s="15" t="str">
        <f>AND(Trans!H157,"AAAAAH9bynw=")</f>
        <v>#VALUE!:noResult:No valid cells found for operation.</v>
      </c>
      <c r="DV14" s="15" t="str">
        <f>#REF!</f>
        <v>#VALUE!:noResult:No valid cells found for operation.</v>
      </c>
      <c r="DW14" s="15" t="str">
        <f>#REF!</f>
        <v>#VALUE!:noResult:No valid cells found for operation.</v>
      </c>
      <c r="DX14" s="15" t="str">
        <f>#REF!</f>
        <v>#VALUE!:noResult:No valid cells found for operation.</v>
      </c>
      <c r="DY14" s="15" t="str">
        <f>#REF!</f>
        <v>#VALUE!:noResult:No valid cells found for operation.</v>
      </c>
      <c r="DZ14" s="15" t="str">
        <f>#REF!</f>
        <v>#VALUE!:noResult:No valid cells found for operation.</v>
      </c>
      <c r="EA14" s="15" t="str">
        <f>#REF!</f>
        <v>#VALUE!:noResult:No valid cells found for operation.</v>
      </c>
      <c r="EB14" s="15">
        <f>IF(Trans!R[144],"AAAAAH9byoM=",0)</f>
        <v>0</v>
      </c>
      <c r="EC14" s="15" t="b">
        <f>AND(Trans!A158,"AAAAAH9byoQ=")</f>
        <v>1</v>
      </c>
      <c r="ED14" s="15" t="str">
        <f>AND(Trans!B158,"AAAAAH9byoU=")</f>
        <v>#VALUE!:noResult:No valid cells found for operation.</v>
      </c>
      <c r="EE14" s="15" t="b">
        <f>AND(Trans!C158,"AAAAAH9byoY=")</f>
        <v>1</v>
      </c>
      <c r="EF14" s="15" t="b">
        <f>AND(Trans!D158,"AAAAAH9byoc=")</f>
        <v>1</v>
      </c>
      <c r="EG14" s="15" t="str">
        <f>AND(Trans!E158,"AAAAAH9byog=")</f>
        <v>#VALUE!:noResult:No valid cells found for operation.</v>
      </c>
      <c r="EH14" s="15" t="str">
        <f>AND(Trans!F158,"AAAAAH9byok=")</f>
        <v>#VALUE!:noResult:No valid cells found for operation.</v>
      </c>
      <c r="EI14" s="15" t="str">
        <f>AND(Trans!G158,"AAAAAH9byoo=")</f>
        <v>#VALUE!:noResult:No valid cells found for operation.</v>
      </c>
      <c r="EJ14" s="15" t="str">
        <f>#REF!</f>
        <v>#VALUE!:noResult:No valid cells found for operation.</v>
      </c>
      <c r="EK14" s="15" t="str">
        <f>AND(Trans!H158,"AAAAAH9byow=")</f>
        <v>#VALUE!:noResult:No valid cells found for operation.</v>
      </c>
      <c r="EL14" s="15" t="str">
        <f>#REF!</f>
        <v>#VALUE!:noResult:No valid cells found for operation.</v>
      </c>
      <c r="EM14" s="15" t="str">
        <f>#REF!</f>
        <v>#VALUE!:noResult:No valid cells found for operation.</v>
      </c>
      <c r="EN14" s="15" t="str">
        <f>#REF!</f>
        <v>#VALUE!:noResult:No valid cells found for operation.</v>
      </c>
      <c r="EO14" s="15" t="str">
        <f>#REF!</f>
        <v>#VALUE!:noResult:No valid cells found for operation.</v>
      </c>
      <c r="EP14" s="15" t="str">
        <f>#REF!</f>
        <v>#VALUE!:noResult:No valid cells found for operation.</v>
      </c>
      <c r="EQ14" s="15" t="str">
        <f>#REF!</f>
        <v>#VALUE!:noResult:No valid cells found for operation.</v>
      </c>
      <c r="ER14" s="15">
        <f>IF(Trans!R[145],"AAAAAH9bypM=",0)</f>
        <v>0</v>
      </c>
      <c r="ES14" s="15" t="b">
        <f>AND(Trans!A159,"AAAAAH9bypQ=")</f>
        <v>1</v>
      </c>
      <c r="ET14" s="15" t="str">
        <f>AND(Trans!B159,"AAAAAH9bypU=")</f>
        <v>#VALUE!:noResult:No valid cells found for operation.</v>
      </c>
      <c r="EU14" s="15" t="b">
        <f>AND(Trans!C159,"AAAAAH9bypY=")</f>
        <v>1</v>
      </c>
      <c r="EV14" s="15" t="b">
        <f>AND(Trans!D159,"AAAAAH9bypc=")</f>
        <v>1</v>
      </c>
      <c r="EW14" s="15" t="str">
        <f>AND(Trans!E159,"AAAAAH9bypg=")</f>
        <v>#VALUE!:noResult:No valid cells found for operation.</v>
      </c>
      <c r="EX14" s="15" t="str">
        <f>AND(Trans!F159,"AAAAAH9bypk=")</f>
        <v>#VALUE!:noResult:No valid cells found for operation.</v>
      </c>
      <c r="EY14" s="15" t="str">
        <f>AND(Trans!G159,"AAAAAH9bypo=")</f>
        <v>#VALUE!:noResult:No valid cells found for operation.</v>
      </c>
      <c r="EZ14" s="15" t="str">
        <f>#REF!</f>
        <v>#VALUE!:noResult:No valid cells found for operation.</v>
      </c>
      <c r="FA14" s="15" t="str">
        <f>AND(Trans!H159,"AAAAAH9bypw=")</f>
        <v>#VALUE!:noResult:No valid cells found for operation.</v>
      </c>
      <c r="FB14" s="15" t="str">
        <f>#REF!</f>
        <v>#VALUE!:noResult:No valid cells found for operation.</v>
      </c>
      <c r="FC14" s="15" t="str">
        <f>#REF!</f>
        <v>#VALUE!:noResult:No valid cells found for operation.</v>
      </c>
      <c r="FD14" s="15" t="str">
        <f>#REF!</f>
        <v>#VALUE!:noResult:No valid cells found for operation.</v>
      </c>
      <c r="FE14" s="15" t="str">
        <f>#REF!</f>
        <v>#VALUE!:noResult:No valid cells found for operation.</v>
      </c>
      <c r="FF14" s="15" t="str">
        <f>#REF!</f>
        <v>#VALUE!:noResult:No valid cells found for operation.</v>
      </c>
      <c r="FG14" s="15" t="str">
        <f>#REF!</f>
        <v>#VALUE!:noResult:No valid cells found for operation.</v>
      </c>
      <c r="FH14" s="15">
        <f>IF(Trans!R[146],"AAAAAH9byqM=",0)</f>
        <v>0</v>
      </c>
      <c r="FI14" s="15" t="b">
        <f>AND(Trans!A160,"AAAAAH9byqQ=")</f>
        <v>1</v>
      </c>
      <c r="FJ14" s="15" t="str">
        <f>AND(Trans!B160,"AAAAAH9byqU=")</f>
        <v>#VALUE!:noResult:No valid cells found for operation.</v>
      </c>
      <c r="FK14" s="15" t="b">
        <f>AND(Trans!C160,"AAAAAH9byqY=")</f>
        <v>1</v>
      </c>
      <c r="FL14" s="15" t="b">
        <f>AND(Trans!D160,"AAAAAH9byqc=")</f>
        <v>1</v>
      </c>
      <c r="FM14" s="15" t="str">
        <f>AND(Trans!E160,"AAAAAH9byqg=")</f>
        <v>#VALUE!:noResult:No valid cells found for operation.</v>
      </c>
      <c r="FN14" s="15" t="str">
        <f>AND(Trans!F160,"AAAAAH9byqk=")</f>
        <v>#VALUE!:noResult:No valid cells found for operation.</v>
      </c>
      <c r="FO14" s="15" t="str">
        <f>AND(Trans!G160,"AAAAAH9byqo=")</f>
        <v>#VALUE!:noResult:No valid cells found for operation.</v>
      </c>
      <c r="FP14" s="15" t="str">
        <f>#REF!</f>
        <v>#VALUE!:noResult:No valid cells found for operation.</v>
      </c>
      <c r="FQ14" s="15" t="str">
        <f>AND(Trans!H160,"AAAAAH9byqw=")</f>
        <v>#VALUE!:noResult:No valid cells found for operation.</v>
      </c>
      <c r="FR14" s="15" t="str">
        <f>#REF!</f>
        <v>#VALUE!:noResult:No valid cells found for operation.</v>
      </c>
      <c r="FS14" s="15" t="str">
        <f>#REF!</f>
        <v>#VALUE!:noResult:No valid cells found for operation.</v>
      </c>
      <c r="FT14" s="15" t="str">
        <f>#REF!</f>
        <v>#VALUE!:noResult:No valid cells found for operation.</v>
      </c>
      <c r="FU14" s="15" t="str">
        <f>#REF!</f>
        <v>#VALUE!:noResult:No valid cells found for operation.</v>
      </c>
      <c r="FV14" s="15" t="str">
        <f>#REF!</f>
        <v>#VALUE!:noResult:No valid cells found for operation.</v>
      </c>
      <c r="FW14" s="15" t="str">
        <f>#REF!</f>
        <v>#VALUE!:noResult:No valid cells found for operation.</v>
      </c>
      <c r="FX14" s="15">
        <f>IF(Trans!R[147],"AAAAAH9byrM=",0)</f>
        <v>0</v>
      </c>
      <c r="FY14" s="15" t="b">
        <f>AND(Trans!A161,"AAAAAH9byrQ=")</f>
        <v>1</v>
      </c>
      <c r="FZ14" s="15" t="str">
        <f>AND(Trans!B161,"AAAAAH9byrU=")</f>
        <v>#VALUE!:noResult:No valid cells found for operation.</v>
      </c>
      <c r="GA14" s="15" t="b">
        <f>AND(Trans!C161,"AAAAAH9byrY=")</f>
        <v>1</v>
      </c>
      <c r="GB14" s="15" t="b">
        <f>AND(Trans!D161,"AAAAAH9byrc=")</f>
        <v>1</v>
      </c>
      <c r="GC14" s="15" t="str">
        <f>AND(Trans!E161,"AAAAAH9byrg=")</f>
        <v>#VALUE!:noResult:No valid cells found for operation.</v>
      </c>
      <c r="GD14" s="15" t="str">
        <f>AND(Trans!F161,"AAAAAH9byrk=")</f>
        <v>#VALUE!:noResult:No valid cells found for operation.</v>
      </c>
      <c r="GE14" s="15" t="str">
        <f>AND(Trans!G161,"AAAAAH9byro=")</f>
        <v>#VALUE!:noResult:No valid cells found for operation.</v>
      </c>
      <c r="GF14" s="15" t="str">
        <f>#REF!</f>
        <v>#VALUE!:noResult:No valid cells found for operation.</v>
      </c>
      <c r="GG14" s="15" t="str">
        <f>AND(Trans!H161,"AAAAAH9byrw=")</f>
        <v>#VALUE!:noResult:No valid cells found for operation.</v>
      </c>
      <c r="GH14" s="15" t="str">
        <f>#REF!</f>
        <v>#VALUE!:noResult:No valid cells found for operation.</v>
      </c>
      <c r="GI14" s="15" t="str">
        <f>#REF!</f>
        <v>#VALUE!:noResult:No valid cells found for operation.</v>
      </c>
      <c r="GJ14" s="15" t="str">
        <f>#REF!</f>
        <v>#VALUE!:noResult:No valid cells found for operation.</v>
      </c>
      <c r="GK14" s="15" t="str">
        <f>#REF!</f>
        <v>#VALUE!:noResult:No valid cells found for operation.</v>
      </c>
      <c r="GL14" s="15" t="str">
        <f>#REF!</f>
        <v>#VALUE!:noResult:No valid cells found for operation.</v>
      </c>
      <c r="GM14" s="15" t="str">
        <f>#REF!</f>
        <v>#VALUE!:noResult:No valid cells found for operation.</v>
      </c>
      <c r="GN14" s="15">
        <f>IF(Trans!R[148],"AAAAAH9bysM=",0)</f>
        <v>0</v>
      </c>
      <c r="GO14" s="15" t="b">
        <f>AND(Trans!A162,"AAAAAH9bysQ=")</f>
        <v>1</v>
      </c>
      <c r="GP14" s="15" t="str">
        <f>AND(Trans!B162,"AAAAAH9bysU=")</f>
        <v>#VALUE!:noResult:No valid cells found for operation.</v>
      </c>
      <c r="GQ14" s="15" t="b">
        <f>AND(Trans!C162,"AAAAAH9bysY=")</f>
        <v>1</v>
      </c>
      <c r="GR14" s="15" t="b">
        <f>AND(Trans!D162,"AAAAAH9bysc=")</f>
        <v>1</v>
      </c>
      <c r="GS14" s="15" t="str">
        <f>AND(Trans!E162,"AAAAAH9bysg=")</f>
        <v>#VALUE!:noResult:No valid cells found for operation.</v>
      </c>
      <c r="GT14" s="15" t="str">
        <f>AND(Trans!F162,"AAAAAH9bysk=")</f>
        <v>#VALUE!:noResult:No valid cells found for operation.</v>
      </c>
      <c r="GU14" s="15" t="str">
        <f>AND(Trans!G162,"AAAAAH9byso=")</f>
        <v>#VALUE!:noResult:No valid cells found for operation.</v>
      </c>
      <c r="GV14" s="15" t="str">
        <f>#REF!</f>
        <v>#VALUE!:noResult:No valid cells found for operation.</v>
      </c>
      <c r="GW14" s="15" t="str">
        <f>AND(Trans!H162,"AAAAAH9bysw=")</f>
        <v>#VALUE!:noResult:No valid cells found for operation.</v>
      </c>
      <c r="GX14" s="15" t="str">
        <f>#REF!</f>
        <v>#VALUE!:noResult:No valid cells found for operation.</v>
      </c>
      <c r="GY14" s="15" t="str">
        <f>#REF!</f>
        <v>#VALUE!:noResult:No valid cells found for operation.</v>
      </c>
      <c r="GZ14" s="15" t="str">
        <f>#REF!</f>
        <v>#VALUE!:noResult:No valid cells found for operation.</v>
      </c>
      <c r="HA14" s="15" t="str">
        <f>#REF!</f>
        <v>#VALUE!:noResult:No valid cells found for operation.</v>
      </c>
      <c r="HB14" s="15" t="str">
        <f>#REF!</f>
        <v>#VALUE!:noResult:No valid cells found for operation.</v>
      </c>
      <c r="HC14" s="15" t="str">
        <f>#REF!</f>
        <v>#VALUE!:noResult:No valid cells found for operation.</v>
      </c>
      <c r="HD14" s="15">
        <f>IF(Trans!R[149],"AAAAAH9bytM=",0)</f>
        <v>0</v>
      </c>
      <c r="HE14" s="15" t="b">
        <f>AND(Trans!A163,"AAAAAH9bytQ=")</f>
        <v>1</v>
      </c>
      <c r="HF14" s="15" t="str">
        <f>AND(Trans!B163,"AAAAAH9bytU=")</f>
        <v>#VALUE!:noResult:No valid cells found for operation.</v>
      </c>
      <c r="HG14" s="15" t="b">
        <f>AND(Trans!C163,"AAAAAH9bytY=")</f>
        <v>1</v>
      </c>
      <c r="HH14" s="15" t="b">
        <f>AND(Trans!D163,"AAAAAH9bytc=")</f>
        <v>1</v>
      </c>
      <c r="HI14" s="15" t="str">
        <f>AND(Trans!E163,"AAAAAH9bytg=")</f>
        <v>#VALUE!:noResult:No valid cells found for operation.</v>
      </c>
      <c r="HJ14" s="15" t="str">
        <f>AND(Trans!F163,"AAAAAH9bytk=")</f>
        <v>#VALUE!:noResult:No valid cells found for operation.</v>
      </c>
      <c r="HK14" s="15" t="str">
        <f>AND(Trans!G163,"AAAAAH9byto=")</f>
        <v>#VALUE!:noResult:No valid cells found for operation.</v>
      </c>
      <c r="HL14" s="15" t="str">
        <f>#REF!</f>
        <v>#VALUE!:noResult:No valid cells found for operation.</v>
      </c>
      <c r="HM14" s="15" t="str">
        <f>AND(Trans!H163,"AAAAAH9bytw=")</f>
        <v>#VALUE!:noResult:No valid cells found for operation.</v>
      </c>
      <c r="HN14" s="15" t="str">
        <f>#REF!</f>
        <v>#VALUE!:noResult:No valid cells found for operation.</v>
      </c>
      <c r="HO14" s="15" t="str">
        <f>#REF!</f>
        <v>#VALUE!:noResult:No valid cells found for operation.</v>
      </c>
      <c r="HP14" s="15" t="str">
        <f>#REF!</f>
        <v>#VALUE!:noResult:No valid cells found for operation.</v>
      </c>
      <c r="HQ14" s="15" t="str">
        <f>#REF!</f>
        <v>#VALUE!:noResult:No valid cells found for operation.</v>
      </c>
      <c r="HR14" s="15" t="str">
        <f>#REF!</f>
        <v>#VALUE!:noResult:No valid cells found for operation.</v>
      </c>
      <c r="HS14" s="15" t="str">
        <f>#REF!</f>
        <v>#VALUE!:noResult:No valid cells found for operation.</v>
      </c>
      <c r="HT14" s="15">
        <f>IF(Trans!R[150],"AAAAAH9byuM=",0)</f>
        <v>0</v>
      </c>
      <c r="HU14" s="15" t="b">
        <f>AND(Trans!A164,"AAAAAH9byuQ=")</f>
        <v>1</v>
      </c>
      <c r="HV14" s="15" t="str">
        <f>AND(Trans!B164,"AAAAAH9byuU=")</f>
        <v>#VALUE!:noResult:No valid cells found for operation.</v>
      </c>
      <c r="HW14" s="15" t="b">
        <f>AND(Trans!C164,"AAAAAH9byuY=")</f>
        <v>1</v>
      </c>
      <c r="HX14" s="15" t="b">
        <f>AND(Trans!D164,"AAAAAH9byuc=")</f>
        <v>1</v>
      </c>
      <c r="HY14" s="15" t="str">
        <f>AND(Trans!E164,"AAAAAH9byug=")</f>
        <v>#VALUE!:noResult:No valid cells found for operation.</v>
      </c>
      <c r="HZ14" s="15" t="str">
        <f>AND(Trans!F164,"AAAAAH9byuk=")</f>
        <v>#VALUE!:noResult:No valid cells found for operation.</v>
      </c>
      <c r="IA14" s="15" t="str">
        <f>AND(Trans!G164,"AAAAAH9byuo=")</f>
        <v>#VALUE!:noResult:No valid cells found for operation.</v>
      </c>
      <c r="IB14" s="15" t="str">
        <f>#REF!</f>
        <v>#VALUE!:noResult:No valid cells found for operation.</v>
      </c>
      <c r="IC14" s="15" t="str">
        <f>AND(Trans!H164,"AAAAAH9byuw=")</f>
        <v>#VALUE!:noResult:No valid cells found for operation.</v>
      </c>
      <c r="ID14" s="15" t="str">
        <f>#REF!</f>
        <v>#VALUE!:noResult:No valid cells found for operation.</v>
      </c>
      <c r="IE14" s="15" t="str">
        <f>#REF!</f>
        <v>#VALUE!:noResult:No valid cells found for operation.</v>
      </c>
      <c r="IF14" s="15" t="str">
        <f>#REF!</f>
        <v>#VALUE!:noResult:No valid cells found for operation.</v>
      </c>
      <c r="IG14" s="15" t="str">
        <f>#REF!</f>
        <v>#VALUE!:noResult:No valid cells found for operation.</v>
      </c>
      <c r="IH14" s="15" t="str">
        <f>#REF!</f>
        <v>#VALUE!:noResult:No valid cells found for operation.</v>
      </c>
      <c r="II14" s="15" t="str">
        <f>#REF!</f>
        <v>#VALUE!:noResult:No valid cells found for operation.</v>
      </c>
      <c r="IJ14" s="15">
        <f>IF(Trans!R[151],"AAAAAH9byvM=",0)</f>
        <v>0</v>
      </c>
      <c r="IK14" s="15" t="b">
        <f>AND(Trans!A165,"AAAAAH9byvQ=")</f>
        <v>1</v>
      </c>
      <c r="IL14" s="15" t="str">
        <f>AND(Trans!B165,"AAAAAH9byvU=")</f>
        <v>#VALUE!:noResult:No valid cells found for operation.</v>
      </c>
      <c r="IM14" s="15" t="b">
        <f>AND(Trans!C165,"AAAAAH9byvY=")</f>
        <v>1</v>
      </c>
      <c r="IN14" s="15" t="b">
        <f>AND(Trans!D165,"AAAAAH9byvc=")</f>
        <v>1</v>
      </c>
      <c r="IO14" s="15" t="str">
        <f>AND(Trans!E165,"AAAAAH9byvg=")</f>
        <v>#VALUE!:noResult:No valid cells found for operation.</v>
      </c>
      <c r="IP14" s="15" t="str">
        <f>AND(Trans!F165,"AAAAAH9byvk=")</f>
        <v>#VALUE!:noResult:No valid cells found for operation.</v>
      </c>
      <c r="IQ14" s="15" t="str">
        <f>AND(Trans!G165,"AAAAAH9byvo=")</f>
        <v>#VALUE!:noResult:No valid cells found for operation.</v>
      </c>
      <c r="IR14" s="15" t="str">
        <f>#REF!</f>
        <v>#VALUE!:noResult:No valid cells found for operation.</v>
      </c>
      <c r="IS14" s="15" t="str">
        <f>AND(Trans!H165,"AAAAAH9byvw=")</f>
        <v>#VALUE!:noResult:No valid cells found for operation.</v>
      </c>
      <c r="IT14" s="15" t="str">
        <f>#REF!</f>
        <v>#VALUE!:noResult:No valid cells found for operation.</v>
      </c>
      <c r="IU14" s="15" t="str">
        <f>#REF!</f>
        <v>#VALUE!:noResult:No valid cells found for operation.</v>
      </c>
      <c r="IV14" s="15" t="str">
        <f>#REF!</f>
        <v>#VALUE!:noResult:No valid cells found for operation.</v>
      </c>
    </row>
    <row r="15">
      <c r="A15" s="15" t="str">
        <f>#REF!</f>
        <v>#VALUE!:noResult:No valid cells found for operation.</v>
      </c>
      <c r="B15" s="15" t="str">
        <f>#REF!</f>
        <v>#VALUE!:noResult:No valid cells found for operation.</v>
      </c>
      <c r="C15" s="15" t="str">
        <f>#REF!</f>
        <v>#VALUE!:noResult:No valid cells found for operation.</v>
      </c>
      <c r="D15" s="15" t="str">
        <f>IF(Trans!R[151],"AAAAAH/3pwM=",0)</f>
        <v>AAAAAH/3pwM=</v>
      </c>
      <c r="E15" s="15" t="b">
        <f>AND(Trans!A166,"AAAAAH/3pwQ=")</f>
        <v>1</v>
      </c>
      <c r="F15" s="15" t="str">
        <f>AND(Trans!B166,"AAAAAH/3pwU=")</f>
        <v>#VALUE!:noResult:No valid cells found for operation.</v>
      </c>
      <c r="G15" s="15" t="b">
        <f>AND(Trans!C166,"AAAAAH/3pwY=")</f>
        <v>1</v>
      </c>
      <c r="H15" s="15" t="b">
        <f>AND(Trans!D166,"AAAAAH/3pwc=")</f>
        <v>1</v>
      </c>
      <c r="I15" s="15" t="str">
        <f>AND(Trans!E166,"AAAAAH/3pwg=")</f>
        <v>#VALUE!:noResult:No valid cells found for operation.</v>
      </c>
      <c r="J15" s="15" t="str">
        <f>AND(Trans!F166,"AAAAAH/3pwk=")</f>
        <v>#VALUE!:noResult:No valid cells found for operation.</v>
      </c>
      <c r="K15" s="15" t="str">
        <f>AND(Trans!G166,"AAAAAH/3pwo=")</f>
        <v>#VALUE!:noResult:No valid cells found for operation.</v>
      </c>
      <c r="L15" s="15" t="str">
        <f>#REF!</f>
        <v>#VALUE!:noResult:No valid cells found for operation.</v>
      </c>
      <c r="M15" s="15" t="str">
        <f>AND(Trans!H166,"AAAAAH/3pww=")</f>
        <v>#VALUE!:noResult:No valid cells found for operation.</v>
      </c>
      <c r="N15" s="15" t="str">
        <f>#REF!</f>
        <v>#VALUE!:noResult:No valid cells found for operation.</v>
      </c>
      <c r="O15" s="15" t="str">
        <f>#REF!</f>
        <v>#VALUE!:noResult:No valid cells found for operation.</v>
      </c>
      <c r="P15" s="15" t="str">
        <f>#REF!</f>
        <v>#VALUE!:noResult:No valid cells found for operation.</v>
      </c>
      <c r="Q15" s="15" t="str">
        <f>#REF!</f>
        <v>#VALUE!:noResult:No valid cells found for operation.</v>
      </c>
      <c r="R15" s="15" t="str">
        <f>#REF!</f>
        <v>#VALUE!:noResult:No valid cells found for operation.</v>
      </c>
      <c r="S15" s="15" t="str">
        <f>#REF!</f>
        <v>#VALUE!:noResult:No valid cells found for operation.</v>
      </c>
      <c r="T15" s="15">
        <f>IF(Trans!R[152],"AAAAAH/3pxM=",0)</f>
        <v>0</v>
      </c>
      <c r="U15" s="15" t="b">
        <f>AND(Trans!A167,"AAAAAH/3pxQ=")</f>
        <v>1</v>
      </c>
      <c r="V15" s="15" t="str">
        <f>AND(Trans!B167,"AAAAAH/3pxU=")</f>
        <v>#VALUE!:noResult:No valid cells found for operation.</v>
      </c>
      <c r="W15" s="15" t="b">
        <f>AND(Trans!C167,"AAAAAH/3pxY=")</f>
        <v>1</v>
      </c>
      <c r="X15" s="15" t="b">
        <f>AND(Trans!D167,"AAAAAH/3pxc=")</f>
        <v>1</v>
      </c>
      <c r="Y15" s="15" t="str">
        <f>AND(Trans!E167,"AAAAAH/3pxg=")</f>
        <v>#VALUE!:noResult:No valid cells found for operation.</v>
      </c>
      <c r="Z15" s="15" t="str">
        <f>AND(Trans!F167,"AAAAAH/3pxk=")</f>
        <v>#VALUE!:noResult:No valid cells found for operation.</v>
      </c>
      <c r="AA15" s="15" t="str">
        <f>AND(Trans!G167,"AAAAAH/3pxo=")</f>
        <v>#VALUE!:noResult:No valid cells found for operation.</v>
      </c>
      <c r="AB15" s="15" t="str">
        <f>#REF!</f>
        <v>#VALUE!:noResult:No valid cells found for operation.</v>
      </c>
      <c r="AC15" s="15" t="str">
        <f>AND(Trans!H167,"AAAAAH/3pxw=")</f>
        <v>#VALUE!:noResult:No valid cells found for operation.</v>
      </c>
      <c r="AD15" s="15" t="str">
        <f>#REF!</f>
        <v>#VALUE!:noResult:No valid cells found for operation.</v>
      </c>
      <c r="AE15" s="15" t="str">
        <f>#REF!</f>
        <v>#VALUE!:noResult:No valid cells found for operation.</v>
      </c>
      <c r="AF15" s="15" t="str">
        <f>#REF!</f>
        <v>#VALUE!:noResult:No valid cells found for operation.</v>
      </c>
      <c r="AG15" s="15" t="str">
        <f>#REF!</f>
        <v>#VALUE!:noResult:No valid cells found for operation.</v>
      </c>
      <c r="AH15" s="15" t="str">
        <f>#REF!</f>
        <v>#VALUE!:noResult:No valid cells found for operation.</v>
      </c>
      <c r="AI15" s="15" t="str">
        <f>#REF!</f>
        <v>#VALUE!:noResult:No valid cells found for operation.</v>
      </c>
      <c r="AJ15" s="15">
        <f>IF(Trans!R[153],"AAAAAH/3pyM=",0)</f>
        <v>0</v>
      </c>
      <c r="AK15" s="15" t="b">
        <f>AND(Trans!A168,"AAAAAH/3pyQ=")</f>
        <v>1</v>
      </c>
      <c r="AL15" s="15" t="str">
        <f>AND(Trans!B168,"AAAAAH/3pyU=")</f>
        <v>#VALUE!:noResult:No valid cells found for operation.</v>
      </c>
      <c r="AM15" s="15" t="b">
        <f>AND(Trans!C168,"AAAAAH/3pyY=")</f>
        <v>1</v>
      </c>
      <c r="AN15" s="15" t="b">
        <f>AND(Trans!D168,"AAAAAH/3pyc=")</f>
        <v>1</v>
      </c>
      <c r="AO15" s="15" t="str">
        <f>AND(Trans!E168,"AAAAAH/3pyg=")</f>
        <v>#VALUE!:noResult:No valid cells found for operation.</v>
      </c>
      <c r="AP15" s="15" t="str">
        <f>AND(Trans!F168,"AAAAAH/3pyk=")</f>
        <v>#VALUE!:noResult:No valid cells found for operation.</v>
      </c>
      <c r="AQ15" s="15" t="str">
        <f>AND(Trans!G168,"AAAAAH/3pyo=")</f>
        <v>#VALUE!:noResult:No valid cells found for operation.</v>
      </c>
      <c r="AR15" s="15" t="str">
        <f>#REF!</f>
        <v>#VALUE!:noResult:No valid cells found for operation.</v>
      </c>
      <c r="AS15" s="15" t="str">
        <f>AND(Trans!H168,"AAAAAH/3pyw=")</f>
        <v>#VALUE!:noResult:No valid cells found for operation.</v>
      </c>
      <c r="AT15" s="15" t="str">
        <f>#REF!</f>
        <v>#VALUE!:noResult:No valid cells found for operation.</v>
      </c>
      <c r="AU15" s="15" t="str">
        <f>#REF!</f>
        <v>#VALUE!:noResult:No valid cells found for operation.</v>
      </c>
      <c r="AV15" s="15" t="str">
        <f>#REF!</f>
        <v>#VALUE!:noResult:No valid cells found for operation.</v>
      </c>
      <c r="AW15" s="15" t="str">
        <f>#REF!</f>
        <v>#VALUE!:noResult:No valid cells found for operation.</v>
      </c>
      <c r="AX15" s="15" t="str">
        <f>#REF!</f>
        <v>#VALUE!:noResult:No valid cells found for operation.</v>
      </c>
      <c r="AY15" s="15" t="str">
        <f>#REF!</f>
        <v>#VALUE!:noResult:No valid cells found for operation.</v>
      </c>
      <c r="AZ15" s="15">
        <f>IF(Trans!R[154],"AAAAAH/3pzM=",0)</f>
        <v>0</v>
      </c>
      <c r="BA15" s="15" t="b">
        <f>AND(Trans!A169,"AAAAAH/3pzQ=")</f>
        <v>1</v>
      </c>
      <c r="BB15" s="15" t="str">
        <f>AND(Trans!B169,"AAAAAH/3pzU=")</f>
        <v>#VALUE!:noResult:No valid cells found for operation.</v>
      </c>
      <c r="BC15" s="15" t="b">
        <f>AND(Trans!C169,"AAAAAH/3pzY=")</f>
        <v>1</v>
      </c>
      <c r="BD15" s="15" t="b">
        <f>AND(Trans!D169,"AAAAAH/3pzc=")</f>
        <v>1</v>
      </c>
      <c r="BE15" s="15" t="str">
        <f>AND(Trans!E169,"AAAAAH/3pzg=")</f>
        <v>#VALUE!:noResult:No valid cells found for operation.</v>
      </c>
      <c r="BF15" s="15" t="str">
        <f>AND(Trans!F169,"AAAAAH/3pzk=")</f>
        <v>#VALUE!:noResult:No valid cells found for operation.</v>
      </c>
      <c r="BG15" s="15" t="str">
        <f>AND(Trans!G169,"AAAAAH/3pzo=")</f>
        <v>#VALUE!:noResult:No valid cells found for operation.</v>
      </c>
      <c r="BH15" s="15" t="str">
        <f>#REF!</f>
        <v>#VALUE!:noResult:No valid cells found for operation.</v>
      </c>
      <c r="BI15" s="15" t="str">
        <f>AND(Trans!H169,"AAAAAH/3pzw=")</f>
        <v>#VALUE!:noResult:No valid cells found for operation.</v>
      </c>
      <c r="BJ15" s="15" t="str">
        <f>#REF!</f>
        <v>#VALUE!:noResult:No valid cells found for operation.</v>
      </c>
      <c r="BK15" s="15" t="str">
        <f>#REF!</f>
        <v>#VALUE!:noResult:No valid cells found for operation.</v>
      </c>
      <c r="BL15" s="15" t="str">
        <f>#REF!</f>
        <v>#VALUE!:noResult:No valid cells found for operation.</v>
      </c>
      <c r="BM15" s="15" t="str">
        <f>#REF!</f>
        <v>#VALUE!:noResult:No valid cells found for operation.</v>
      </c>
      <c r="BN15" s="15" t="str">
        <f>#REF!</f>
        <v>#VALUE!:noResult:No valid cells found for operation.</v>
      </c>
      <c r="BO15" s="15" t="str">
        <f>#REF!</f>
        <v>#VALUE!:noResult:No valid cells found for operation.</v>
      </c>
      <c r="BP15" s="15">
        <f>IF(Trans!R[155],"AAAAAH/3p0M=",0)</f>
        <v>0</v>
      </c>
      <c r="BQ15" s="15" t="b">
        <f>AND(Trans!A170,"AAAAAH/3p0Q=")</f>
        <v>1</v>
      </c>
      <c r="BR15" s="15" t="str">
        <f>AND(Trans!B170,"AAAAAH/3p0U=")</f>
        <v>#VALUE!:noResult:No valid cells found for operation.</v>
      </c>
      <c r="BS15" s="15" t="b">
        <f>AND(Trans!C170,"AAAAAH/3p0Y=")</f>
        <v>1</v>
      </c>
      <c r="BT15" s="15" t="b">
        <f>AND(Trans!D170,"AAAAAH/3p0c=")</f>
        <v>1</v>
      </c>
      <c r="BU15" s="15" t="str">
        <f>AND(Trans!E170,"AAAAAH/3p0g=")</f>
        <v>#VALUE!:noResult:No valid cells found for operation.</v>
      </c>
      <c r="BV15" s="15" t="str">
        <f>AND(Trans!F170,"AAAAAH/3p0k=")</f>
        <v>#VALUE!:noResult:No valid cells found for operation.</v>
      </c>
      <c r="BW15" s="15" t="str">
        <f>AND(Trans!G170,"AAAAAH/3p0o=")</f>
        <v>#VALUE!:noResult:No valid cells found for operation.</v>
      </c>
      <c r="BX15" s="15" t="str">
        <f>#REF!</f>
        <v>#VALUE!:noResult:No valid cells found for operation.</v>
      </c>
      <c r="BY15" s="15" t="str">
        <f>AND(Trans!H170,"AAAAAH/3p0w=")</f>
        <v>#VALUE!:noResult:No valid cells found for operation.</v>
      </c>
      <c r="BZ15" s="15" t="str">
        <f>#REF!</f>
        <v>#VALUE!:noResult:No valid cells found for operation.</v>
      </c>
      <c r="CA15" s="15" t="str">
        <f>#REF!</f>
        <v>#VALUE!:noResult:No valid cells found for operation.</v>
      </c>
      <c r="CB15" s="15" t="str">
        <f>#REF!</f>
        <v>#VALUE!:noResult:No valid cells found for operation.</v>
      </c>
      <c r="CC15" s="15" t="str">
        <f>#REF!</f>
        <v>#VALUE!:noResult:No valid cells found for operation.</v>
      </c>
      <c r="CD15" s="15" t="str">
        <f>#REF!</f>
        <v>#VALUE!:noResult:No valid cells found for operation.</v>
      </c>
      <c r="CE15" s="15" t="str">
        <f>#REF!</f>
        <v>#VALUE!:noResult:No valid cells found for operation.</v>
      </c>
      <c r="CF15" s="15">
        <f>IF(Trans!R[156],"AAAAAH/3p1M=",0)</f>
        <v>0</v>
      </c>
      <c r="CG15" s="15" t="b">
        <f>AND(Trans!A171,"AAAAAH/3p1Q=")</f>
        <v>1</v>
      </c>
      <c r="CH15" s="15" t="str">
        <f>AND(Trans!B171,"AAAAAH/3p1U=")</f>
        <v>#VALUE!:noResult:No valid cells found for operation.</v>
      </c>
      <c r="CI15" s="15" t="b">
        <f>AND(Trans!C171,"AAAAAH/3p1Y=")</f>
        <v>1</v>
      </c>
      <c r="CJ15" s="15" t="b">
        <f>AND(Trans!D171,"AAAAAH/3p1c=")</f>
        <v>1</v>
      </c>
      <c r="CK15" s="15" t="str">
        <f>AND(Trans!E171,"AAAAAH/3p1g=")</f>
        <v>#VALUE!:noResult:No valid cells found for operation.</v>
      </c>
      <c r="CL15" s="15" t="str">
        <f>AND(Trans!F171,"AAAAAH/3p1k=")</f>
        <v>#VALUE!:noResult:No valid cells found for operation.</v>
      </c>
      <c r="CM15" s="15" t="str">
        <f>AND(Trans!G171,"AAAAAH/3p1o=")</f>
        <v>#VALUE!:noResult:No valid cells found for operation.</v>
      </c>
      <c r="CN15" s="15" t="str">
        <f>#REF!</f>
        <v>#VALUE!:noResult:No valid cells found for operation.</v>
      </c>
      <c r="CO15" s="15" t="str">
        <f>AND(Trans!H171,"AAAAAH/3p1w=")</f>
        <v>#VALUE!:noResult:No valid cells found for operation.</v>
      </c>
      <c r="CP15" s="15" t="str">
        <f>#REF!</f>
        <v>#VALUE!:noResult:No valid cells found for operation.</v>
      </c>
      <c r="CQ15" s="15" t="str">
        <f>#REF!</f>
        <v>#VALUE!:noResult:No valid cells found for operation.</v>
      </c>
      <c r="CR15" s="15" t="str">
        <f>#REF!</f>
        <v>#VALUE!:noResult:No valid cells found for operation.</v>
      </c>
      <c r="CS15" s="15" t="str">
        <f>#REF!</f>
        <v>#VALUE!:noResult:No valid cells found for operation.</v>
      </c>
      <c r="CT15" s="15" t="str">
        <f>#REF!</f>
        <v>#VALUE!:noResult:No valid cells found for operation.</v>
      </c>
      <c r="CU15" s="15" t="str">
        <f>#REF!</f>
        <v>#VALUE!:noResult:No valid cells found for operation.</v>
      </c>
      <c r="CV15" s="15">
        <f>IF(Trans!R[157],"AAAAAH/3p2M=",0)</f>
        <v>0</v>
      </c>
      <c r="CW15" s="15" t="b">
        <f>AND(Trans!A172,"AAAAAH/3p2Q=")</f>
        <v>1</v>
      </c>
      <c r="CX15" s="15" t="str">
        <f>AND(Trans!B172,"AAAAAH/3p2U=")</f>
        <v>#VALUE!:noResult:No valid cells found for operation.</v>
      </c>
      <c r="CY15" s="15" t="b">
        <f>AND(Trans!C172,"AAAAAH/3p2Y=")</f>
        <v>1</v>
      </c>
      <c r="CZ15" s="15" t="b">
        <f>AND(Trans!D172,"AAAAAH/3p2c=")</f>
        <v>1</v>
      </c>
      <c r="DA15" s="15" t="str">
        <f>AND(Trans!E172,"AAAAAH/3p2g=")</f>
        <v>#VALUE!:noResult:No valid cells found for operation.</v>
      </c>
      <c r="DB15" s="15" t="str">
        <f>AND(Trans!F172,"AAAAAH/3p2k=")</f>
        <v>#VALUE!:noResult:No valid cells found for operation.</v>
      </c>
      <c r="DC15" s="15" t="str">
        <f>AND(Trans!G172,"AAAAAH/3p2o=")</f>
        <v>#VALUE!:noResult:No valid cells found for operation.</v>
      </c>
      <c r="DD15" s="15" t="str">
        <f>#REF!</f>
        <v>#VALUE!:noResult:No valid cells found for operation.</v>
      </c>
      <c r="DE15" s="15" t="str">
        <f>AND(Trans!H172,"AAAAAH/3p2w=")</f>
        <v>#VALUE!:noResult:No valid cells found for operation.</v>
      </c>
      <c r="DF15" s="15" t="str">
        <f>#REF!</f>
        <v>#VALUE!:noResult:No valid cells found for operation.</v>
      </c>
      <c r="DG15" s="15" t="str">
        <f>#REF!</f>
        <v>#VALUE!:noResult:No valid cells found for operation.</v>
      </c>
      <c r="DH15" s="15" t="str">
        <f>#REF!</f>
        <v>#VALUE!:noResult:No valid cells found for operation.</v>
      </c>
      <c r="DI15" s="15" t="str">
        <f>#REF!</f>
        <v>#VALUE!:noResult:No valid cells found for operation.</v>
      </c>
      <c r="DJ15" s="15" t="str">
        <f>#REF!</f>
        <v>#VALUE!:noResult:No valid cells found for operation.</v>
      </c>
      <c r="DK15" s="15" t="str">
        <f>#REF!</f>
        <v>#VALUE!:noResult:No valid cells found for operation.</v>
      </c>
      <c r="DL15" s="15">
        <f>IF(Trans!R[158],"AAAAAH/3p3M=",0)</f>
        <v>0</v>
      </c>
      <c r="DM15" s="15" t="b">
        <f>AND(Trans!A173,"AAAAAH/3p3Q=")</f>
        <v>1</v>
      </c>
      <c r="DN15" s="15" t="str">
        <f>AND(Trans!B173,"AAAAAH/3p3U=")</f>
        <v>#VALUE!:noResult:No valid cells found for operation.</v>
      </c>
      <c r="DO15" s="15" t="b">
        <f>AND(Trans!C173,"AAAAAH/3p3Y=")</f>
        <v>1</v>
      </c>
      <c r="DP15" s="15" t="b">
        <f>AND(Trans!D173,"AAAAAH/3p3c=")</f>
        <v>1</v>
      </c>
      <c r="DQ15" s="15" t="str">
        <f>AND(Trans!E173,"AAAAAH/3p3g=")</f>
        <v>#VALUE!:noResult:No valid cells found for operation.</v>
      </c>
      <c r="DR15" s="15" t="str">
        <f>AND(Trans!F173,"AAAAAH/3p3k=")</f>
        <v>#VALUE!:noResult:No valid cells found for operation.</v>
      </c>
      <c r="DS15" s="15" t="str">
        <f>AND(Trans!G173,"AAAAAH/3p3o=")</f>
        <v>#VALUE!:noResult:No valid cells found for operation.</v>
      </c>
      <c r="DT15" s="15" t="str">
        <f>#REF!</f>
        <v>#VALUE!:noResult:No valid cells found for operation.</v>
      </c>
      <c r="DU15" s="15" t="str">
        <f>AND(Trans!H173,"AAAAAH/3p3w=")</f>
        <v>#VALUE!:noResult:No valid cells found for operation.</v>
      </c>
      <c r="DV15" s="15" t="str">
        <f>#REF!</f>
        <v>#VALUE!:noResult:No valid cells found for operation.</v>
      </c>
      <c r="DW15" s="15" t="str">
        <f>#REF!</f>
        <v>#VALUE!:noResult:No valid cells found for operation.</v>
      </c>
      <c r="DX15" s="15" t="str">
        <f>#REF!</f>
        <v>#VALUE!:noResult:No valid cells found for operation.</v>
      </c>
      <c r="DY15" s="15" t="str">
        <f>#REF!</f>
        <v>#VALUE!:noResult:No valid cells found for operation.</v>
      </c>
      <c r="DZ15" s="15" t="str">
        <f>#REF!</f>
        <v>#VALUE!:noResult:No valid cells found for operation.</v>
      </c>
      <c r="EA15" s="15" t="str">
        <f>#REF!</f>
        <v>#VALUE!:noResult:No valid cells found for operation.</v>
      </c>
      <c r="EB15" s="15">
        <f>IF(Trans!R[159],"AAAAAH/3p4M=",0)</f>
        <v>0</v>
      </c>
      <c r="EC15" s="15" t="b">
        <f>AND(Trans!A174,"AAAAAH/3p4Q=")</f>
        <v>1</v>
      </c>
      <c r="ED15" s="15" t="str">
        <f>AND(Trans!B174,"AAAAAH/3p4U=")</f>
        <v>#VALUE!:noResult:No valid cells found for operation.</v>
      </c>
      <c r="EE15" s="15" t="b">
        <f>AND(Trans!C174,"AAAAAH/3p4Y=")</f>
        <v>1</v>
      </c>
      <c r="EF15" s="15" t="b">
        <f>AND(Trans!D174,"AAAAAH/3p4c=")</f>
        <v>1</v>
      </c>
      <c r="EG15" s="15" t="str">
        <f>AND(Trans!E174,"AAAAAH/3p4g=")</f>
        <v>#VALUE!:noResult:No valid cells found for operation.</v>
      </c>
      <c r="EH15" s="15" t="str">
        <f>AND(Trans!F174,"AAAAAH/3p4k=")</f>
        <v>#VALUE!:noResult:No valid cells found for operation.</v>
      </c>
      <c r="EI15" s="15" t="str">
        <f>AND(Trans!G174,"AAAAAH/3p4o=")</f>
        <v>#VALUE!:noResult:No valid cells found for operation.</v>
      </c>
      <c r="EJ15" s="15" t="str">
        <f>#REF!</f>
        <v>#VALUE!:noResult:No valid cells found for operation.</v>
      </c>
      <c r="EK15" s="15" t="str">
        <f>AND(Trans!H174,"AAAAAH/3p4w=")</f>
        <v>#VALUE!:noResult:No valid cells found for operation.</v>
      </c>
      <c r="EL15" s="15" t="str">
        <f>#REF!</f>
        <v>#VALUE!:noResult:No valid cells found for operation.</v>
      </c>
      <c r="EM15" s="15" t="str">
        <f>#REF!</f>
        <v>#VALUE!:noResult:No valid cells found for operation.</v>
      </c>
      <c r="EN15" s="15" t="str">
        <f>#REF!</f>
        <v>#VALUE!:noResult:No valid cells found for operation.</v>
      </c>
      <c r="EO15" s="15" t="str">
        <f>#REF!</f>
        <v>#VALUE!:noResult:No valid cells found for operation.</v>
      </c>
      <c r="EP15" s="15" t="str">
        <f>#REF!</f>
        <v>#VALUE!:noResult:No valid cells found for operation.</v>
      </c>
      <c r="EQ15" s="15" t="str">
        <f>#REF!</f>
        <v>#VALUE!:noResult:No valid cells found for operation.</v>
      </c>
      <c r="ER15" s="15">
        <f>IF(Trans!R[160],"AAAAAH/3p5M=",0)</f>
        <v>0</v>
      </c>
      <c r="ES15" s="15" t="b">
        <f>AND(Trans!A175,"AAAAAH/3p5Q=")</f>
        <v>1</v>
      </c>
      <c r="ET15" s="15" t="str">
        <f>AND(Trans!B175,"AAAAAH/3p5U=")</f>
        <v>#VALUE!:noResult:No valid cells found for operation.</v>
      </c>
      <c r="EU15" s="15" t="b">
        <f>AND(Trans!C175,"AAAAAH/3p5Y=")</f>
        <v>1</v>
      </c>
      <c r="EV15" s="15" t="b">
        <f>AND(Trans!D175,"AAAAAH/3p5c=")</f>
        <v>1</v>
      </c>
      <c r="EW15" s="15" t="str">
        <f>AND(Trans!E175,"AAAAAH/3p5g=")</f>
        <v>#VALUE!:noResult:No valid cells found for operation.</v>
      </c>
      <c r="EX15" s="15" t="str">
        <f>AND(Trans!F175,"AAAAAH/3p5k=")</f>
        <v>#VALUE!:noResult:No valid cells found for operation.</v>
      </c>
      <c r="EY15" s="15" t="str">
        <f>AND(Trans!G175,"AAAAAH/3p5o=")</f>
        <v>#VALUE!:noResult:No valid cells found for operation.</v>
      </c>
      <c r="EZ15" s="15" t="str">
        <f>#REF!</f>
        <v>#VALUE!:noResult:No valid cells found for operation.</v>
      </c>
      <c r="FA15" s="15" t="str">
        <f>AND(Trans!H175,"AAAAAH/3p5w=")</f>
        <v>#VALUE!:noResult:No valid cells found for operation.</v>
      </c>
      <c r="FB15" s="15" t="str">
        <f>#REF!</f>
        <v>#VALUE!:noResult:No valid cells found for operation.</v>
      </c>
      <c r="FC15" s="15" t="str">
        <f>#REF!</f>
        <v>#VALUE!:noResult:No valid cells found for operation.</v>
      </c>
      <c r="FD15" s="15" t="str">
        <f>#REF!</f>
        <v>#VALUE!:noResult:No valid cells found for operation.</v>
      </c>
      <c r="FE15" s="15" t="str">
        <f>#REF!</f>
        <v>#VALUE!:noResult:No valid cells found for operation.</v>
      </c>
      <c r="FF15" s="15" t="str">
        <f>#REF!</f>
        <v>#VALUE!:noResult:No valid cells found for operation.</v>
      </c>
      <c r="FG15" s="15" t="str">
        <f>#REF!</f>
        <v>#VALUE!:noResult:No valid cells found for operation.</v>
      </c>
      <c r="FH15" s="15">
        <f>IF(Trans!R[161],"AAAAAH/3p6M=",0)</f>
        <v>0</v>
      </c>
      <c r="FI15" s="15" t="b">
        <f>AND(Trans!A176,"AAAAAH/3p6Q=")</f>
        <v>1</v>
      </c>
      <c r="FJ15" s="15" t="str">
        <f>AND(Trans!B176,"AAAAAH/3p6U=")</f>
        <v>#VALUE!:noResult:No valid cells found for operation.</v>
      </c>
      <c r="FK15" s="15" t="b">
        <f>AND(Trans!C176,"AAAAAH/3p6Y=")</f>
        <v>1</v>
      </c>
      <c r="FL15" s="15" t="b">
        <f>AND(Trans!D176,"AAAAAH/3p6c=")</f>
        <v>1</v>
      </c>
      <c r="FM15" s="15" t="str">
        <f>AND(Trans!E176,"AAAAAH/3p6g=")</f>
        <v>#VALUE!:noResult:No valid cells found for operation.</v>
      </c>
      <c r="FN15" s="15" t="str">
        <f>AND(Trans!F176,"AAAAAH/3p6k=")</f>
        <v>#VALUE!:noResult:No valid cells found for operation.</v>
      </c>
      <c r="FO15" s="15" t="str">
        <f>AND(Trans!G176,"AAAAAH/3p6o=")</f>
        <v>#VALUE!:noResult:No valid cells found for operation.</v>
      </c>
      <c r="FP15" s="15" t="str">
        <f>#REF!</f>
        <v>#VALUE!:noResult:No valid cells found for operation.</v>
      </c>
      <c r="FQ15" s="15" t="str">
        <f>AND(Trans!H176,"AAAAAH/3p6w=")</f>
        <v>#VALUE!:noResult:No valid cells found for operation.</v>
      </c>
      <c r="FR15" s="15" t="str">
        <f>#REF!</f>
        <v>#VALUE!:noResult:No valid cells found for operation.</v>
      </c>
      <c r="FS15" s="15" t="str">
        <f>#REF!</f>
        <v>#VALUE!:noResult:No valid cells found for operation.</v>
      </c>
      <c r="FT15" s="15" t="str">
        <f>#REF!</f>
        <v>#VALUE!:noResult:No valid cells found for operation.</v>
      </c>
      <c r="FU15" s="15" t="str">
        <f>#REF!</f>
        <v>#VALUE!:noResult:No valid cells found for operation.</v>
      </c>
      <c r="FV15" s="15" t="str">
        <f>#REF!</f>
        <v>#VALUE!:noResult:No valid cells found for operation.</v>
      </c>
      <c r="FW15" s="15" t="str">
        <f>#REF!</f>
        <v>#VALUE!:noResult:No valid cells found for operation.</v>
      </c>
      <c r="FX15" s="15">
        <f>IF(Trans!R[162],"AAAAAH/3p7M=",0)</f>
        <v>0</v>
      </c>
      <c r="FY15" s="15" t="b">
        <f>AND(Trans!A177,"AAAAAH/3p7Q=")</f>
        <v>1</v>
      </c>
      <c r="FZ15" s="15" t="str">
        <f>AND(Trans!B177,"AAAAAH/3p7U=")</f>
        <v>#VALUE!:noResult:No valid cells found for operation.</v>
      </c>
      <c r="GA15" s="15" t="b">
        <f>AND(Trans!C177,"AAAAAH/3p7Y=")</f>
        <v>1</v>
      </c>
      <c r="GB15" s="15" t="b">
        <f>AND(Trans!D177,"AAAAAH/3p7c=")</f>
        <v>1</v>
      </c>
      <c r="GC15" s="15" t="str">
        <f>AND(Trans!E177,"AAAAAH/3p7g=")</f>
        <v>#VALUE!:noResult:No valid cells found for operation.</v>
      </c>
      <c r="GD15" s="15" t="str">
        <f>AND(Trans!F177,"AAAAAH/3p7k=")</f>
        <v>#VALUE!:noResult:No valid cells found for operation.</v>
      </c>
      <c r="GE15" s="15" t="str">
        <f>AND(Trans!G177,"AAAAAH/3p7o=")</f>
        <v>#VALUE!:noResult:No valid cells found for operation.</v>
      </c>
      <c r="GF15" s="15" t="str">
        <f>#REF!</f>
        <v>#VALUE!:noResult:No valid cells found for operation.</v>
      </c>
      <c r="GG15" s="15" t="str">
        <f>AND(Trans!H177,"AAAAAH/3p7w=")</f>
        <v>#VALUE!:noResult:No valid cells found for operation.</v>
      </c>
      <c r="GH15" s="15" t="str">
        <f>#REF!</f>
        <v>#VALUE!:noResult:No valid cells found for operation.</v>
      </c>
      <c r="GI15" s="15" t="str">
        <f>#REF!</f>
        <v>#VALUE!:noResult:No valid cells found for operation.</v>
      </c>
      <c r="GJ15" s="15" t="str">
        <f>#REF!</f>
        <v>#VALUE!:noResult:No valid cells found for operation.</v>
      </c>
      <c r="GK15" s="15" t="str">
        <f>#REF!</f>
        <v>#VALUE!:noResult:No valid cells found for operation.</v>
      </c>
      <c r="GL15" s="15" t="str">
        <f>#REF!</f>
        <v>#VALUE!:noResult:No valid cells found for operation.</v>
      </c>
      <c r="GM15" s="15" t="str">
        <f>#REF!</f>
        <v>#VALUE!:noResult:No valid cells found for operation.</v>
      </c>
      <c r="GN15" s="15">
        <f>IF(Trans!R[163],"AAAAAH/3p8M=",0)</f>
        <v>0</v>
      </c>
      <c r="GO15" s="15" t="b">
        <f>AND(Trans!A178,"AAAAAH/3p8Q=")</f>
        <v>1</v>
      </c>
      <c r="GP15" s="15" t="str">
        <f>AND(Trans!B178,"AAAAAH/3p8U=")</f>
        <v>#VALUE!:noResult:No valid cells found for operation.</v>
      </c>
      <c r="GQ15" s="15" t="b">
        <f>AND(Trans!C178,"AAAAAH/3p8Y=")</f>
        <v>1</v>
      </c>
      <c r="GR15" s="15" t="b">
        <f>AND(Trans!D178,"AAAAAH/3p8c=")</f>
        <v>1</v>
      </c>
      <c r="GS15" s="15" t="str">
        <f>AND(Trans!E178,"AAAAAH/3p8g=")</f>
        <v>#VALUE!:noResult:No valid cells found for operation.</v>
      </c>
      <c r="GT15" s="15" t="str">
        <f>AND(Trans!F178,"AAAAAH/3p8k=")</f>
        <v>#VALUE!:noResult:No valid cells found for operation.</v>
      </c>
      <c r="GU15" s="15" t="str">
        <f>AND(Trans!G178,"AAAAAH/3p8o=")</f>
        <v>#VALUE!:noResult:No valid cells found for operation.</v>
      </c>
      <c r="GV15" s="15" t="str">
        <f>#REF!</f>
        <v>#VALUE!:noResult:No valid cells found for operation.</v>
      </c>
      <c r="GW15" s="15" t="str">
        <f>AND(Trans!H178,"AAAAAH/3p8w=")</f>
        <v>#VALUE!:noResult:No valid cells found for operation.</v>
      </c>
      <c r="GX15" s="15" t="str">
        <f>#REF!</f>
        <v>#VALUE!:noResult:No valid cells found for operation.</v>
      </c>
      <c r="GY15" s="15" t="str">
        <f>#REF!</f>
        <v>#VALUE!:noResult:No valid cells found for operation.</v>
      </c>
      <c r="GZ15" s="15" t="str">
        <f>#REF!</f>
        <v>#VALUE!:noResult:No valid cells found for operation.</v>
      </c>
      <c r="HA15" s="15" t="str">
        <f>#REF!</f>
        <v>#VALUE!:noResult:No valid cells found for operation.</v>
      </c>
      <c r="HB15" s="15" t="str">
        <f>#REF!</f>
        <v>#VALUE!:noResult:No valid cells found for operation.</v>
      </c>
      <c r="HC15" s="15" t="str">
        <f>#REF!</f>
        <v>#VALUE!:noResult:No valid cells found for operation.</v>
      </c>
      <c r="HD15" s="15">
        <f>IF(Trans!R[164],"AAAAAH/3p9M=",0)</f>
        <v>0</v>
      </c>
      <c r="HE15" s="15" t="b">
        <f>AND(Trans!A179,"AAAAAH/3p9Q=")</f>
        <v>1</v>
      </c>
      <c r="HF15" s="15" t="str">
        <f>AND(Trans!B179,"AAAAAH/3p9U=")</f>
        <v>#VALUE!:noResult:No valid cells found for operation.</v>
      </c>
      <c r="HG15" s="15" t="b">
        <f>AND(Trans!C179,"AAAAAH/3p9Y=")</f>
        <v>1</v>
      </c>
      <c r="HH15" s="15" t="b">
        <f>AND(Trans!D179,"AAAAAH/3p9c=")</f>
        <v>1</v>
      </c>
      <c r="HI15" s="15" t="str">
        <f>AND(Trans!E179,"AAAAAH/3p9g=")</f>
        <v>#VALUE!:noResult:No valid cells found for operation.</v>
      </c>
      <c r="HJ15" s="15" t="str">
        <f>AND(Trans!F179,"AAAAAH/3p9k=")</f>
        <v>#VALUE!:noResult:No valid cells found for operation.</v>
      </c>
      <c r="HK15" s="15" t="str">
        <f>AND(Trans!G179,"AAAAAH/3p9o=")</f>
        <v>#VALUE!:noResult:No valid cells found for operation.</v>
      </c>
      <c r="HL15" s="15" t="str">
        <f>#REF!</f>
        <v>#VALUE!:noResult:No valid cells found for operation.</v>
      </c>
      <c r="HM15" s="15" t="str">
        <f>AND(Trans!H179,"AAAAAH/3p9w=")</f>
        <v>#VALUE!:noResult:No valid cells found for operation.</v>
      </c>
      <c r="HN15" s="15" t="str">
        <f>#REF!</f>
        <v>#VALUE!:noResult:No valid cells found for operation.</v>
      </c>
      <c r="HO15" s="15" t="str">
        <f>#REF!</f>
        <v>#VALUE!:noResult:No valid cells found for operation.</v>
      </c>
      <c r="HP15" s="15" t="str">
        <f>#REF!</f>
        <v>#VALUE!:noResult:No valid cells found for operation.</v>
      </c>
      <c r="HQ15" s="15" t="str">
        <f>#REF!</f>
        <v>#VALUE!:noResult:No valid cells found for operation.</v>
      </c>
      <c r="HR15" s="15" t="str">
        <f>#REF!</f>
        <v>#VALUE!:noResult:No valid cells found for operation.</v>
      </c>
      <c r="HS15" s="15" t="str">
        <f>#REF!</f>
        <v>#VALUE!:noResult:No valid cells found for operation.</v>
      </c>
      <c r="HT15" s="15">
        <f>IF(Trans!R[165],"AAAAAH/3p+M=",0)</f>
        <v>0</v>
      </c>
      <c r="HU15" s="15" t="b">
        <f>AND(Trans!A180,"AAAAAH/3p+Q=")</f>
        <v>1</v>
      </c>
      <c r="HV15" s="15" t="str">
        <f>AND(Trans!B180,"AAAAAH/3p+U=")</f>
        <v>#VALUE!:noResult:No valid cells found for operation.</v>
      </c>
      <c r="HW15" s="15" t="b">
        <f>AND(Trans!C180,"AAAAAH/3p+Y=")</f>
        <v>1</v>
      </c>
      <c r="HX15" s="15" t="b">
        <f>AND(Trans!D180,"AAAAAH/3p+c=")</f>
        <v>1</v>
      </c>
      <c r="HY15" s="15" t="str">
        <f>AND(Trans!E180,"AAAAAH/3p+g=")</f>
        <v>#VALUE!:noResult:No valid cells found for operation.</v>
      </c>
      <c r="HZ15" s="15" t="str">
        <f>AND(Trans!F180,"AAAAAH/3p+k=")</f>
        <v>#VALUE!:noResult:No valid cells found for operation.</v>
      </c>
      <c r="IA15" s="15" t="str">
        <f>AND(Trans!G180,"AAAAAH/3p+o=")</f>
        <v>#VALUE!:noResult:No valid cells found for operation.</v>
      </c>
      <c r="IB15" s="15" t="str">
        <f>#REF!</f>
        <v>#VALUE!:noResult:No valid cells found for operation.</v>
      </c>
      <c r="IC15" s="15" t="str">
        <f>AND(Trans!H180,"AAAAAH/3p+w=")</f>
        <v>#VALUE!:noResult:No valid cells found for operation.</v>
      </c>
      <c r="ID15" s="15" t="str">
        <f>#REF!</f>
        <v>#VALUE!:noResult:No valid cells found for operation.</v>
      </c>
      <c r="IE15" s="15" t="str">
        <f>#REF!</f>
        <v>#VALUE!:noResult:No valid cells found for operation.</v>
      </c>
      <c r="IF15" s="15" t="str">
        <f>#REF!</f>
        <v>#VALUE!:noResult:No valid cells found for operation.</v>
      </c>
      <c r="IG15" s="15" t="str">
        <f>#REF!</f>
        <v>#VALUE!:noResult:No valid cells found for operation.</v>
      </c>
      <c r="IH15" s="15" t="str">
        <f>#REF!</f>
        <v>#VALUE!:noResult:No valid cells found for operation.</v>
      </c>
      <c r="II15" s="15" t="str">
        <f>#REF!</f>
        <v>#VALUE!:noResult:No valid cells found for operation.</v>
      </c>
      <c r="IJ15" s="15">
        <f>IF(Trans!R[166],"AAAAAH/3p/M=",0)</f>
        <v>0</v>
      </c>
      <c r="IK15" s="15" t="b">
        <f>AND(Trans!A181,"AAAAAH/3p/Q=")</f>
        <v>1</v>
      </c>
      <c r="IL15" s="15" t="str">
        <f>AND(Trans!B181,"AAAAAH/3p/U=")</f>
        <v>#VALUE!:noResult:No valid cells found for operation.</v>
      </c>
      <c r="IM15" s="15" t="b">
        <f>AND(Trans!C181,"AAAAAH/3p/Y=")</f>
        <v>1</v>
      </c>
      <c r="IN15" s="15" t="b">
        <f>AND(Trans!D181,"AAAAAH/3p/c=")</f>
        <v>1</v>
      </c>
      <c r="IO15" s="15" t="str">
        <f>AND(Trans!E181,"AAAAAH/3p/g=")</f>
        <v>#VALUE!:noResult:No valid cells found for operation.</v>
      </c>
      <c r="IP15" s="15" t="str">
        <f>AND(Trans!F181,"AAAAAH/3p/k=")</f>
        <v>#VALUE!:noResult:No valid cells found for operation.</v>
      </c>
      <c r="IQ15" s="15" t="str">
        <f>AND(Trans!G181,"AAAAAH/3p/o=")</f>
        <v>#VALUE!:noResult:No valid cells found for operation.</v>
      </c>
      <c r="IR15" s="15" t="str">
        <f>#REF!</f>
        <v>#VALUE!:noResult:No valid cells found for operation.</v>
      </c>
      <c r="IS15" s="15" t="str">
        <f>AND(Trans!H181,"AAAAAH/3p/w=")</f>
        <v>#VALUE!:noResult:No valid cells found for operation.</v>
      </c>
      <c r="IT15" s="15" t="str">
        <f>#REF!</f>
        <v>#VALUE!:noResult:No valid cells found for operation.</v>
      </c>
      <c r="IU15" s="15" t="str">
        <f>#REF!</f>
        <v>#VALUE!:noResult:No valid cells found for operation.</v>
      </c>
      <c r="IV15" s="15" t="str">
        <f>#REF!</f>
        <v>#VALUE!:noResult:No valid cells found for operation.</v>
      </c>
    </row>
    <row r="16">
      <c r="A16" s="15" t="str">
        <f>#REF!</f>
        <v>#VALUE!:noResult:No valid cells found for operation.</v>
      </c>
      <c r="B16" s="15" t="str">
        <f>#REF!</f>
        <v>#VALUE!:noResult:No valid cells found for operation.</v>
      </c>
      <c r="C16" s="15" t="str">
        <f>#REF!</f>
        <v>#VALUE!:noResult:No valid cells found for operation.</v>
      </c>
      <c r="D16" s="15" t="str">
        <f>IF(Trans!R[166],"AAAAAH2q7wM=",0)</f>
        <v>AAAAAH2q7wM=</v>
      </c>
      <c r="E16" s="15" t="b">
        <f>AND(Trans!A182,"AAAAAH2q7wQ=")</f>
        <v>1</v>
      </c>
      <c r="F16" s="15" t="str">
        <f>AND(Trans!B182,"AAAAAH2q7wU=")</f>
        <v>#VALUE!:noResult:No valid cells found for operation.</v>
      </c>
      <c r="G16" s="15" t="b">
        <f>AND(Trans!C182,"AAAAAH2q7wY=")</f>
        <v>1</v>
      </c>
      <c r="H16" s="15" t="b">
        <f>AND(Trans!D182,"AAAAAH2q7wc=")</f>
        <v>1</v>
      </c>
      <c r="I16" s="15" t="str">
        <f>AND(Trans!E182,"AAAAAH2q7wg=")</f>
        <v>#VALUE!:noResult:No valid cells found for operation.</v>
      </c>
      <c r="J16" s="15" t="str">
        <f>AND(Trans!F182,"AAAAAH2q7wk=")</f>
        <v>#VALUE!:noResult:No valid cells found for operation.</v>
      </c>
      <c r="K16" s="15" t="str">
        <f>AND(Trans!G182,"AAAAAH2q7wo=")</f>
        <v>#VALUE!:noResult:No valid cells found for operation.</v>
      </c>
      <c r="L16" s="15" t="str">
        <f>#REF!</f>
        <v>#VALUE!:noResult:No valid cells found for operation.</v>
      </c>
      <c r="M16" s="15" t="str">
        <f>AND(Trans!H182,"AAAAAH2q7ww=")</f>
        <v>#VALUE!:noResult:No valid cells found for operation.</v>
      </c>
      <c r="N16" s="15" t="str">
        <f>#REF!</f>
        <v>#VALUE!:noResult:No valid cells found for operation.</v>
      </c>
      <c r="O16" s="15" t="str">
        <f>#REF!</f>
        <v>#VALUE!:noResult:No valid cells found for operation.</v>
      </c>
      <c r="P16" s="15" t="str">
        <f>#REF!</f>
        <v>#VALUE!:noResult:No valid cells found for operation.</v>
      </c>
      <c r="Q16" s="15" t="str">
        <f>#REF!</f>
        <v>#VALUE!:noResult:No valid cells found for operation.</v>
      </c>
      <c r="R16" s="15" t="str">
        <f>#REF!</f>
        <v>#VALUE!:noResult:No valid cells found for operation.</v>
      </c>
      <c r="S16" s="15" t="str">
        <f>#REF!</f>
        <v>#VALUE!:noResult:No valid cells found for operation.</v>
      </c>
      <c r="T16" s="15">
        <f>IF(Trans!R[167],"AAAAAH2q7xM=",0)</f>
        <v>0</v>
      </c>
      <c r="U16" s="15" t="b">
        <f>AND(Trans!A183,"AAAAAH2q7xQ=")</f>
        <v>1</v>
      </c>
      <c r="V16" s="15" t="str">
        <f>AND(Trans!B183,"AAAAAH2q7xU=")</f>
        <v>#VALUE!:noResult:No valid cells found for operation.</v>
      </c>
      <c r="W16" s="15" t="b">
        <f>AND(Trans!C183,"AAAAAH2q7xY=")</f>
        <v>1</v>
      </c>
      <c r="X16" s="15" t="b">
        <f>AND(Trans!D183,"AAAAAH2q7xc=")</f>
        <v>1</v>
      </c>
      <c r="Y16" s="15" t="str">
        <f>AND(Trans!E183,"AAAAAH2q7xg=")</f>
        <v>#VALUE!:noResult:No valid cells found for operation.</v>
      </c>
      <c r="Z16" s="15" t="str">
        <f>AND(Trans!F183,"AAAAAH2q7xk=")</f>
        <v>#VALUE!:noResult:No valid cells found for operation.</v>
      </c>
      <c r="AA16" s="15" t="str">
        <f>AND(Trans!G183,"AAAAAH2q7xo=")</f>
        <v>#VALUE!:noResult:No valid cells found for operation.</v>
      </c>
      <c r="AB16" s="15" t="str">
        <f>#REF!</f>
        <v>#VALUE!:noResult:No valid cells found for operation.</v>
      </c>
      <c r="AC16" s="15" t="str">
        <f>AND(Trans!H183,"AAAAAH2q7xw=")</f>
        <v>#VALUE!:noResult:No valid cells found for operation.</v>
      </c>
      <c r="AD16" s="15" t="str">
        <f>#REF!</f>
        <v>#VALUE!:noResult:No valid cells found for operation.</v>
      </c>
      <c r="AE16" s="15" t="str">
        <f>#REF!</f>
        <v>#VALUE!:noResult:No valid cells found for operation.</v>
      </c>
      <c r="AF16" s="15" t="str">
        <f>#REF!</f>
        <v>#VALUE!:noResult:No valid cells found for operation.</v>
      </c>
      <c r="AG16" s="15" t="str">
        <f>#REF!</f>
        <v>#VALUE!:noResult:No valid cells found for operation.</v>
      </c>
      <c r="AH16" s="15" t="str">
        <f>#REF!</f>
        <v>#VALUE!:noResult:No valid cells found for operation.</v>
      </c>
      <c r="AI16" s="15" t="str">
        <f>#REF!</f>
        <v>#VALUE!:noResult:No valid cells found for operation.</v>
      </c>
      <c r="AJ16" s="15">
        <f>IF(Trans!R[168],"AAAAAH2q7yM=",0)</f>
        <v>0</v>
      </c>
      <c r="AK16" s="15" t="b">
        <f>AND(Trans!A184,"AAAAAH2q7yQ=")</f>
        <v>1</v>
      </c>
      <c r="AL16" s="15" t="str">
        <f>AND(Trans!B184,"AAAAAH2q7yU=")</f>
        <v>#VALUE!:noResult:No valid cells found for operation.</v>
      </c>
      <c r="AM16" s="15" t="b">
        <f>AND(Trans!C184,"AAAAAH2q7yY=")</f>
        <v>1</v>
      </c>
      <c r="AN16" s="15" t="b">
        <f>AND(Trans!D184,"AAAAAH2q7yc=")</f>
        <v>1</v>
      </c>
      <c r="AO16" s="15" t="str">
        <f>AND(Trans!E184,"AAAAAH2q7yg=")</f>
        <v>#VALUE!:noResult:No valid cells found for operation.</v>
      </c>
      <c r="AP16" s="15" t="str">
        <f>AND(Trans!F184,"AAAAAH2q7yk=")</f>
        <v>#VALUE!:noResult:No valid cells found for operation.</v>
      </c>
      <c r="AQ16" s="15" t="str">
        <f>AND(Trans!G184,"AAAAAH2q7yo=")</f>
        <v>#VALUE!:noResult:No valid cells found for operation.</v>
      </c>
      <c r="AR16" s="15" t="str">
        <f>#REF!</f>
        <v>#VALUE!:noResult:No valid cells found for operation.</v>
      </c>
      <c r="AS16" s="15" t="str">
        <f>AND(Trans!H184,"AAAAAH2q7yw=")</f>
        <v>#VALUE!:noResult:No valid cells found for operation.</v>
      </c>
      <c r="AT16" s="15" t="str">
        <f>#REF!</f>
        <v>#VALUE!:noResult:No valid cells found for operation.</v>
      </c>
      <c r="AU16" s="15" t="str">
        <f>#REF!</f>
        <v>#VALUE!:noResult:No valid cells found for operation.</v>
      </c>
      <c r="AV16" s="15" t="str">
        <f>#REF!</f>
        <v>#VALUE!:noResult:No valid cells found for operation.</v>
      </c>
      <c r="AW16" s="15" t="str">
        <f>#REF!</f>
        <v>#VALUE!:noResult:No valid cells found for operation.</v>
      </c>
      <c r="AX16" s="15" t="str">
        <f>#REF!</f>
        <v>#VALUE!:noResult:No valid cells found for operation.</v>
      </c>
      <c r="AY16" s="15" t="str">
        <f>#REF!</f>
        <v>#VALUE!:noResult:No valid cells found for operation.</v>
      </c>
      <c r="AZ16" s="15">
        <f>IF(Trans!R[169],"AAAAAH2q7zM=",0)</f>
        <v>0</v>
      </c>
      <c r="BA16" s="15" t="b">
        <f>AND(Trans!A185,"AAAAAH2q7zQ=")</f>
        <v>1</v>
      </c>
      <c r="BB16" s="15" t="str">
        <f>AND(Trans!B185,"AAAAAH2q7zU=")</f>
        <v>#VALUE!:noResult:No valid cells found for operation.</v>
      </c>
      <c r="BC16" s="15" t="b">
        <f>AND(Trans!C185,"AAAAAH2q7zY=")</f>
        <v>1</v>
      </c>
      <c r="BD16" s="15" t="b">
        <f>AND(Trans!D185,"AAAAAH2q7zc=")</f>
        <v>1</v>
      </c>
      <c r="BE16" s="15" t="str">
        <f>AND(Trans!E185,"AAAAAH2q7zg=")</f>
        <v>#VALUE!:noResult:No valid cells found for operation.</v>
      </c>
      <c r="BF16" s="15" t="str">
        <f>AND(Trans!F185,"AAAAAH2q7zk=")</f>
        <v>#VALUE!:noResult:No valid cells found for operation.</v>
      </c>
      <c r="BG16" s="15" t="str">
        <f>AND(Trans!G185,"AAAAAH2q7zo=")</f>
        <v>#VALUE!:noResult:No valid cells found for operation.</v>
      </c>
      <c r="BH16" s="15" t="str">
        <f>#REF!</f>
        <v>#VALUE!:noResult:No valid cells found for operation.</v>
      </c>
      <c r="BI16" s="15" t="str">
        <f>AND(Trans!H185,"AAAAAH2q7zw=")</f>
        <v>#VALUE!:noResult:No valid cells found for operation.</v>
      </c>
      <c r="BJ16" s="15" t="str">
        <f>#REF!</f>
        <v>#VALUE!:noResult:No valid cells found for operation.</v>
      </c>
      <c r="BK16" s="15" t="str">
        <f>#REF!</f>
        <v>#VALUE!:noResult:No valid cells found for operation.</v>
      </c>
      <c r="BL16" s="15" t="str">
        <f>#REF!</f>
        <v>#VALUE!:noResult:No valid cells found for operation.</v>
      </c>
      <c r="BM16" s="15" t="str">
        <f>#REF!</f>
        <v>#VALUE!:noResult:No valid cells found for operation.</v>
      </c>
      <c r="BN16" s="15" t="str">
        <f>#REF!</f>
        <v>#VALUE!:noResult:No valid cells found for operation.</v>
      </c>
      <c r="BO16" s="15" t="str">
        <f>#REF!</f>
        <v>#VALUE!:noResult:No valid cells found for operation.</v>
      </c>
      <c r="BP16" s="15">
        <f>IF(Trans!R[170],"AAAAAH2q70M=",0)</f>
        <v>0</v>
      </c>
      <c r="BQ16" s="15" t="b">
        <f>AND(Trans!A186,"AAAAAH2q70Q=")</f>
        <v>1</v>
      </c>
      <c r="BR16" s="15" t="str">
        <f>AND(Trans!B186,"AAAAAH2q70U=")</f>
        <v>#VALUE!:noResult:No valid cells found for operation.</v>
      </c>
      <c r="BS16" s="15" t="b">
        <f>AND(Trans!C186,"AAAAAH2q70Y=")</f>
        <v>1</v>
      </c>
      <c r="BT16" s="15" t="b">
        <f>AND(Trans!D186,"AAAAAH2q70c=")</f>
        <v>1</v>
      </c>
      <c r="BU16" s="15" t="str">
        <f>AND(Trans!E186,"AAAAAH2q70g=")</f>
        <v>#VALUE!:noResult:No valid cells found for operation.</v>
      </c>
      <c r="BV16" s="15" t="str">
        <f>AND(Trans!F186,"AAAAAH2q70k=")</f>
        <v>#VALUE!:noResult:No valid cells found for operation.</v>
      </c>
      <c r="BW16" s="15" t="str">
        <f>AND(Trans!G186,"AAAAAH2q70o=")</f>
        <v>#VALUE!:noResult:No valid cells found for operation.</v>
      </c>
      <c r="BX16" s="15" t="str">
        <f>#REF!</f>
        <v>#VALUE!:noResult:No valid cells found for operation.</v>
      </c>
      <c r="BY16" s="15" t="str">
        <f>AND(Trans!H186,"AAAAAH2q70w=")</f>
        <v>#VALUE!:noResult:No valid cells found for operation.</v>
      </c>
      <c r="BZ16" s="15" t="str">
        <f>#REF!</f>
        <v>#VALUE!:noResult:No valid cells found for operation.</v>
      </c>
      <c r="CA16" s="15" t="str">
        <f>#REF!</f>
        <v>#VALUE!:noResult:No valid cells found for operation.</v>
      </c>
      <c r="CB16" s="15" t="str">
        <f>#REF!</f>
        <v>#VALUE!:noResult:No valid cells found for operation.</v>
      </c>
      <c r="CC16" s="15" t="str">
        <f>#REF!</f>
        <v>#VALUE!:noResult:No valid cells found for operation.</v>
      </c>
      <c r="CD16" s="15" t="str">
        <f>#REF!</f>
        <v>#VALUE!:noResult:No valid cells found for operation.</v>
      </c>
      <c r="CE16" s="15" t="str">
        <f>#REF!</f>
        <v>#VALUE!:noResult:No valid cells found for operation.</v>
      </c>
      <c r="CF16" s="15">
        <f>IF(Trans!R[171],"AAAAAH2q71M=",0)</f>
        <v>0</v>
      </c>
      <c r="CG16" s="15" t="b">
        <f>AND(Trans!A187,"AAAAAH2q71Q=")</f>
        <v>1</v>
      </c>
      <c r="CH16" s="15" t="str">
        <f>AND(Trans!B187,"AAAAAH2q71U=")</f>
        <v>#VALUE!:noResult:No valid cells found for operation.</v>
      </c>
      <c r="CI16" s="15" t="b">
        <f>AND(Trans!C187,"AAAAAH2q71Y=")</f>
        <v>1</v>
      </c>
      <c r="CJ16" s="15" t="b">
        <f>AND(Trans!D187,"AAAAAH2q71c=")</f>
        <v>1</v>
      </c>
      <c r="CK16" s="15" t="str">
        <f>AND(Trans!E187,"AAAAAH2q71g=")</f>
        <v>#VALUE!:noResult:No valid cells found for operation.</v>
      </c>
      <c r="CL16" s="15" t="str">
        <f>AND(Trans!F187,"AAAAAH2q71k=")</f>
        <v>#VALUE!:noResult:No valid cells found for operation.</v>
      </c>
      <c r="CM16" s="15" t="str">
        <f>AND(Trans!G187,"AAAAAH2q71o=")</f>
        <v>#VALUE!:noResult:No valid cells found for operation.</v>
      </c>
      <c r="CN16" s="15" t="str">
        <f>#REF!</f>
        <v>#VALUE!:noResult:No valid cells found for operation.</v>
      </c>
      <c r="CO16" s="15" t="str">
        <f>AND(Trans!H187,"AAAAAH2q71w=")</f>
        <v>#VALUE!:noResult:No valid cells found for operation.</v>
      </c>
      <c r="CP16" s="15" t="str">
        <f>#REF!</f>
        <v>#VALUE!:noResult:No valid cells found for operation.</v>
      </c>
      <c r="CQ16" s="15" t="str">
        <f>#REF!</f>
        <v>#VALUE!:noResult:No valid cells found for operation.</v>
      </c>
      <c r="CR16" s="15" t="str">
        <f>#REF!</f>
        <v>#VALUE!:noResult:No valid cells found for operation.</v>
      </c>
      <c r="CS16" s="15" t="str">
        <f>#REF!</f>
        <v>#VALUE!:noResult:No valid cells found for operation.</v>
      </c>
      <c r="CT16" s="15" t="str">
        <f>#REF!</f>
        <v>#VALUE!:noResult:No valid cells found for operation.</v>
      </c>
      <c r="CU16" s="15" t="str">
        <f>#REF!</f>
        <v>#VALUE!:noResult:No valid cells found for operation.</v>
      </c>
      <c r="CV16" s="15">
        <f>IF(Trans!R[172],"AAAAAH2q72M=",0)</f>
        <v>0</v>
      </c>
      <c r="CW16" s="15" t="b">
        <f>AND(Trans!A188,"AAAAAH2q72Q=")</f>
        <v>1</v>
      </c>
      <c r="CX16" s="15" t="str">
        <f>AND(Trans!B188,"AAAAAH2q72U=")</f>
        <v>#VALUE!:noResult:No valid cells found for operation.</v>
      </c>
      <c r="CY16" s="15" t="b">
        <f>AND(Trans!C188,"AAAAAH2q72Y=")</f>
        <v>1</v>
      </c>
      <c r="CZ16" s="15" t="b">
        <f>AND(Trans!D188,"AAAAAH2q72c=")</f>
        <v>1</v>
      </c>
      <c r="DA16" s="15" t="str">
        <f>AND(Trans!E188,"AAAAAH2q72g=")</f>
        <v>#VALUE!:noResult:No valid cells found for operation.</v>
      </c>
      <c r="DB16" s="15" t="str">
        <f>AND(Trans!F188,"AAAAAH2q72k=")</f>
        <v>#VALUE!:noResult:No valid cells found for operation.</v>
      </c>
      <c r="DC16" s="15" t="str">
        <f>AND(Trans!G188,"AAAAAH2q72o=")</f>
        <v>#VALUE!:noResult:No valid cells found for operation.</v>
      </c>
      <c r="DD16" s="15" t="str">
        <f>#REF!</f>
        <v>#VALUE!:noResult:No valid cells found for operation.</v>
      </c>
      <c r="DE16" s="15" t="str">
        <f>AND(Trans!H188,"AAAAAH2q72w=")</f>
        <v>#VALUE!:noResult:No valid cells found for operation.</v>
      </c>
      <c r="DF16" s="15" t="str">
        <f>#REF!</f>
        <v>#VALUE!:noResult:No valid cells found for operation.</v>
      </c>
      <c r="DG16" s="15" t="str">
        <f>#REF!</f>
        <v>#VALUE!:noResult:No valid cells found for operation.</v>
      </c>
      <c r="DH16" s="15" t="str">
        <f>#REF!</f>
        <v>#VALUE!:noResult:No valid cells found for operation.</v>
      </c>
      <c r="DI16" s="15" t="str">
        <f>#REF!</f>
        <v>#VALUE!:noResult:No valid cells found for operation.</v>
      </c>
      <c r="DJ16" s="15" t="str">
        <f>#REF!</f>
        <v>#VALUE!:noResult:No valid cells found for operation.</v>
      </c>
      <c r="DK16" s="15" t="str">
        <f>#REF!</f>
        <v>#VALUE!:noResult:No valid cells found for operation.</v>
      </c>
      <c r="DL16" s="15">
        <f>IF(Trans!R[173],"AAAAAH2q73M=",0)</f>
        <v>0</v>
      </c>
      <c r="DM16" s="15" t="b">
        <f>AND(Trans!A189,"AAAAAH2q73Q=")</f>
        <v>1</v>
      </c>
      <c r="DN16" s="15" t="str">
        <f>AND(Trans!B189,"AAAAAH2q73U=")</f>
        <v>#VALUE!:noResult:No valid cells found for operation.</v>
      </c>
      <c r="DO16" s="15" t="b">
        <f>AND(Trans!C189,"AAAAAH2q73Y=")</f>
        <v>1</v>
      </c>
      <c r="DP16" s="15" t="b">
        <f>AND(Trans!D189,"AAAAAH2q73c=")</f>
        <v>1</v>
      </c>
      <c r="DQ16" s="15" t="str">
        <f>AND(Trans!E189,"AAAAAH2q73g=")</f>
        <v>#VALUE!:noResult:No valid cells found for operation.</v>
      </c>
      <c r="DR16" s="15" t="str">
        <f>AND(Trans!F189,"AAAAAH2q73k=")</f>
        <v>#VALUE!:noResult:No valid cells found for operation.</v>
      </c>
      <c r="DS16" s="15" t="str">
        <f>AND(Trans!G189,"AAAAAH2q73o=")</f>
        <v>#VALUE!:noResult:No valid cells found for operation.</v>
      </c>
      <c r="DT16" s="15" t="str">
        <f>#REF!</f>
        <v>#VALUE!:noResult:No valid cells found for operation.</v>
      </c>
      <c r="DU16" s="15" t="str">
        <f>AND(Trans!H189,"AAAAAH2q73w=")</f>
        <v>#VALUE!:noResult:No valid cells found for operation.</v>
      </c>
      <c r="DV16" s="15" t="str">
        <f>#REF!</f>
        <v>#VALUE!:noResult:No valid cells found for operation.</v>
      </c>
      <c r="DW16" s="15" t="str">
        <f>#REF!</f>
        <v>#VALUE!:noResult:No valid cells found for operation.</v>
      </c>
      <c r="DX16" s="15" t="str">
        <f>#REF!</f>
        <v>#VALUE!:noResult:No valid cells found for operation.</v>
      </c>
      <c r="DY16" s="15" t="str">
        <f>#REF!</f>
        <v>#VALUE!:noResult:No valid cells found for operation.</v>
      </c>
      <c r="DZ16" s="15" t="str">
        <f>#REF!</f>
        <v>#VALUE!:noResult:No valid cells found for operation.</v>
      </c>
      <c r="EA16" s="15" t="str">
        <f>#REF!</f>
        <v>#VALUE!:noResult:No valid cells found for operation.</v>
      </c>
      <c r="EB16" s="15">
        <f>IF(Trans!R[174],"AAAAAH2q74M=",0)</f>
        <v>0</v>
      </c>
      <c r="EC16" s="15" t="b">
        <f>AND(Trans!A190,"AAAAAH2q74Q=")</f>
        <v>1</v>
      </c>
      <c r="ED16" s="15" t="str">
        <f>AND(Trans!B190,"AAAAAH2q74U=")</f>
        <v>#VALUE!:noResult:No valid cells found for operation.</v>
      </c>
      <c r="EE16" s="15" t="b">
        <f>AND(Trans!C190,"AAAAAH2q74Y=")</f>
        <v>1</v>
      </c>
      <c r="EF16" s="15" t="b">
        <f>AND(Trans!D190,"AAAAAH2q74c=")</f>
        <v>1</v>
      </c>
      <c r="EG16" s="15" t="str">
        <f>AND(Trans!E190,"AAAAAH2q74g=")</f>
        <v>#VALUE!:noResult:No valid cells found for operation.</v>
      </c>
      <c r="EH16" s="15" t="str">
        <f>AND(Trans!F190,"AAAAAH2q74k=")</f>
        <v>#VALUE!:noResult:No valid cells found for operation.</v>
      </c>
      <c r="EI16" s="15" t="str">
        <f>AND(Trans!G190,"AAAAAH2q74o=")</f>
        <v>#VALUE!:noResult:No valid cells found for operation.</v>
      </c>
      <c r="EJ16" s="15" t="str">
        <f>#REF!</f>
        <v>#VALUE!:noResult:No valid cells found for operation.</v>
      </c>
      <c r="EK16" s="15" t="str">
        <f>AND(Trans!H190,"AAAAAH2q74w=")</f>
        <v>#VALUE!:noResult:No valid cells found for operation.</v>
      </c>
      <c r="EL16" s="15" t="str">
        <f>#REF!</f>
        <v>#VALUE!:noResult:No valid cells found for operation.</v>
      </c>
      <c r="EM16" s="15" t="str">
        <f>#REF!</f>
        <v>#VALUE!:noResult:No valid cells found for operation.</v>
      </c>
      <c r="EN16" s="15" t="str">
        <f>#REF!</f>
        <v>#VALUE!:noResult:No valid cells found for operation.</v>
      </c>
      <c r="EO16" s="15" t="str">
        <f>#REF!</f>
        <v>#VALUE!:noResult:No valid cells found for operation.</v>
      </c>
      <c r="EP16" s="15" t="str">
        <f>#REF!</f>
        <v>#VALUE!:noResult:No valid cells found for operation.</v>
      </c>
      <c r="EQ16" s="15" t="str">
        <f>#REF!</f>
        <v>#VALUE!:noResult:No valid cells found for operation.</v>
      </c>
      <c r="ER16" s="15">
        <f>IF(Trans!R[175],"AAAAAH2q75M=",0)</f>
        <v>0</v>
      </c>
      <c r="ES16" s="15" t="b">
        <f>AND(Trans!A191,"AAAAAH2q75Q=")</f>
        <v>1</v>
      </c>
      <c r="ET16" s="15" t="str">
        <f>AND(Trans!B191,"AAAAAH2q75U=")</f>
        <v>#VALUE!:noResult:No valid cells found for operation.</v>
      </c>
      <c r="EU16" s="15" t="b">
        <f>AND(Trans!C191,"AAAAAH2q75Y=")</f>
        <v>1</v>
      </c>
      <c r="EV16" s="15" t="b">
        <f>AND(Trans!D191,"AAAAAH2q75c=")</f>
        <v>1</v>
      </c>
      <c r="EW16" s="15" t="str">
        <f>AND(Trans!E191,"AAAAAH2q75g=")</f>
        <v>#VALUE!:noResult:No valid cells found for operation.</v>
      </c>
      <c r="EX16" s="15" t="str">
        <f>AND(Trans!F191,"AAAAAH2q75k=")</f>
        <v>#VALUE!:noResult:No valid cells found for operation.</v>
      </c>
      <c r="EY16" s="15" t="str">
        <f>AND(Trans!G191,"AAAAAH2q75o=")</f>
        <v>#VALUE!:noResult:No valid cells found for operation.</v>
      </c>
      <c r="EZ16" s="15" t="str">
        <f>#REF!</f>
        <v>#VALUE!:noResult:No valid cells found for operation.</v>
      </c>
      <c r="FA16" s="15" t="str">
        <f>AND(Trans!H191,"AAAAAH2q75w=")</f>
        <v>#VALUE!:noResult:No valid cells found for operation.</v>
      </c>
      <c r="FB16" s="15" t="str">
        <f>#REF!</f>
        <v>#VALUE!:noResult:No valid cells found for operation.</v>
      </c>
      <c r="FC16" s="15" t="str">
        <f>#REF!</f>
        <v>#VALUE!:noResult:No valid cells found for operation.</v>
      </c>
      <c r="FD16" s="15" t="str">
        <f>#REF!</f>
        <v>#VALUE!:noResult:No valid cells found for operation.</v>
      </c>
      <c r="FE16" s="15" t="str">
        <f>#REF!</f>
        <v>#VALUE!:noResult:No valid cells found for operation.</v>
      </c>
      <c r="FF16" s="15" t="str">
        <f>#REF!</f>
        <v>#VALUE!:noResult:No valid cells found for operation.</v>
      </c>
      <c r="FG16" s="15" t="str">
        <f>#REF!</f>
        <v>#VALUE!:noResult:No valid cells found for operation.</v>
      </c>
      <c r="FH16" s="15">
        <f>IF(Trans!R[176],"AAAAAH2q76M=",0)</f>
        <v>0</v>
      </c>
      <c r="FI16" s="15" t="b">
        <f>AND(Trans!A192,"AAAAAH2q76Q=")</f>
        <v>1</v>
      </c>
      <c r="FJ16" s="15" t="str">
        <f>AND(Trans!B192,"AAAAAH2q76U=")</f>
        <v>#VALUE!:noResult:No valid cells found for operation.</v>
      </c>
      <c r="FK16" s="15" t="b">
        <f>AND(Trans!C192,"AAAAAH2q76Y=")</f>
        <v>1</v>
      </c>
      <c r="FL16" s="15" t="b">
        <f>AND(Trans!D192,"AAAAAH2q76c=")</f>
        <v>1</v>
      </c>
      <c r="FM16" s="15" t="str">
        <f>AND(Trans!E192,"AAAAAH2q76g=")</f>
        <v>#VALUE!:noResult:No valid cells found for operation.</v>
      </c>
      <c r="FN16" s="15" t="str">
        <f>AND(Trans!F192,"AAAAAH2q76k=")</f>
        <v>#VALUE!:noResult:No valid cells found for operation.</v>
      </c>
      <c r="FO16" s="15" t="str">
        <f>AND(Trans!G192,"AAAAAH2q76o=")</f>
        <v>#VALUE!:noResult:No valid cells found for operation.</v>
      </c>
      <c r="FP16" s="15" t="str">
        <f>#REF!</f>
        <v>#VALUE!:noResult:No valid cells found for operation.</v>
      </c>
      <c r="FQ16" s="15" t="str">
        <f>AND(Trans!H192,"AAAAAH2q76w=")</f>
        <v>#VALUE!:noResult:No valid cells found for operation.</v>
      </c>
      <c r="FR16" s="15" t="str">
        <f>#REF!</f>
        <v>#VALUE!:noResult:No valid cells found for operation.</v>
      </c>
      <c r="FS16" s="15" t="str">
        <f>#REF!</f>
        <v>#VALUE!:noResult:No valid cells found for operation.</v>
      </c>
      <c r="FT16" s="15" t="str">
        <f>#REF!</f>
        <v>#VALUE!:noResult:No valid cells found for operation.</v>
      </c>
      <c r="FU16" s="15" t="str">
        <f>#REF!</f>
        <v>#VALUE!:noResult:No valid cells found for operation.</v>
      </c>
      <c r="FV16" s="15" t="str">
        <f>#REF!</f>
        <v>#VALUE!:noResult:No valid cells found for operation.</v>
      </c>
      <c r="FW16" s="15" t="str">
        <f>#REF!</f>
        <v>#VALUE!:noResult:No valid cells found for operation.</v>
      </c>
      <c r="FX16" s="15">
        <f>IF(Trans!R[177],"AAAAAH2q77M=",0)</f>
        <v>0</v>
      </c>
      <c r="FY16" s="15" t="b">
        <f>AND(Trans!A193,"AAAAAH2q77Q=")</f>
        <v>1</v>
      </c>
      <c r="FZ16" s="15" t="str">
        <f>AND(Trans!B193,"AAAAAH2q77U=")</f>
        <v>#VALUE!:noResult:No valid cells found for operation.</v>
      </c>
      <c r="GA16" s="15" t="b">
        <f>AND(Trans!C193,"AAAAAH2q77Y=")</f>
        <v>1</v>
      </c>
      <c r="GB16" s="15" t="b">
        <f>AND(Trans!D193,"AAAAAH2q77c=")</f>
        <v>1</v>
      </c>
      <c r="GC16" s="15" t="str">
        <f>AND(Trans!E193,"AAAAAH2q77g=")</f>
        <v>#VALUE!:noResult:No valid cells found for operation.</v>
      </c>
      <c r="GD16" s="15" t="str">
        <f>AND(Trans!F193,"AAAAAH2q77k=")</f>
        <v>#VALUE!:noResult:No valid cells found for operation.</v>
      </c>
      <c r="GE16" s="15" t="str">
        <f>AND(Trans!G193,"AAAAAH2q77o=")</f>
        <v>#VALUE!:noResult:No valid cells found for operation.</v>
      </c>
      <c r="GF16" s="15" t="str">
        <f>#REF!</f>
        <v>#VALUE!:noResult:No valid cells found for operation.</v>
      </c>
      <c r="GG16" s="15" t="str">
        <f>AND(Trans!H193,"AAAAAH2q77w=")</f>
        <v>#VALUE!:noResult:No valid cells found for operation.</v>
      </c>
      <c r="GH16" s="15" t="str">
        <f>#REF!</f>
        <v>#VALUE!:noResult:No valid cells found for operation.</v>
      </c>
      <c r="GI16" s="15" t="str">
        <f>#REF!</f>
        <v>#VALUE!:noResult:No valid cells found for operation.</v>
      </c>
      <c r="GJ16" s="15" t="str">
        <f>#REF!</f>
        <v>#VALUE!:noResult:No valid cells found for operation.</v>
      </c>
      <c r="GK16" s="15" t="str">
        <f>#REF!</f>
        <v>#VALUE!:noResult:No valid cells found for operation.</v>
      </c>
      <c r="GL16" s="15" t="str">
        <f>#REF!</f>
        <v>#VALUE!:noResult:No valid cells found for operation.</v>
      </c>
      <c r="GM16" s="15" t="str">
        <f>#REF!</f>
        <v>#VALUE!:noResult:No valid cells found for operation.</v>
      </c>
      <c r="GN16" s="15">
        <f>IF(Trans!R[178],"AAAAAH2q78M=",0)</f>
        <v>0</v>
      </c>
      <c r="GO16" s="15" t="b">
        <f>AND(Trans!A194,"AAAAAH2q78Q=")</f>
        <v>1</v>
      </c>
      <c r="GP16" s="15" t="str">
        <f>AND(Trans!B194,"AAAAAH2q78U=")</f>
        <v>#VALUE!:noResult:No valid cells found for operation.</v>
      </c>
      <c r="GQ16" s="15" t="b">
        <f>AND(Trans!C194,"AAAAAH2q78Y=")</f>
        <v>1</v>
      </c>
      <c r="GR16" s="15" t="b">
        <f>AND(Trans!D194,"AAAAAH2q78c=")</f>
        <v>1</v>
      </c>
      <c r="GS16" s="15" t="str">
        <f>AND(Trans!E194,"AAAAAH2q78g=")</f>
        <v>#VALUE!:noResult:No valid cells found for operation.</v>
      </c>
      <c r="GT16" s="15" t="str">
        <f>AND(Trans!F194,"AAAAAH2q78k=")</f>
        <v>#VALUE!:noResult:No valid cells found for operation.</v>
      </c>
      <c r="GU16" s="15" t="str">
        <f>AND(Trans!G194,"AAAAAH2q78o=")</f>
        <v>#VALUE!:noResult:No valid cells found for operation.</v>
      </c>
      <c r="GV16" s="15" t="str">
        <f>#REF!</f>
        <v>#VALUE!:noResult:No valid cells found for operation.</v>
      </c>
      <c r="GW16" s="15" t="str">
        <f>AND(Trans!H194,"AAAAAH2q78w=")</f>
        <v>#VALUE!:noResult:No valid cells found for operation.</v>
      </c>
      <c r="GX16" s="15" t="str">
        <f>#REF!</f>
        <v>#VALUE!:noResult:No valid cells found for operation.</v>
      </c>
      <c r="GY16" s="15" t="str">
        <f>#REF!</f>
        <v>#VALUE!:noResult:No valid cells found for operation.</v>
      </c>
      <c r="GZ16" s="15" t="str">
        <f>#REF!</f>
        <v>#VALUE!:noResult:No valid cells found for operation.</v>
      </c>
      <c r="HA16" s="15" t="str">
        <f>#REF!</f>
        <v>#VALUE!:noResult:No valid cells found for operation.</v>
      </c>
      <c r="HB16" s="15" t="str">
        <f>#REF!</f>
        <v>#VALUE!:noResult:No valid cells found for operation.</v>
      </c>
      <c r="HC16" s="15" t="str">
        <f>#REF!</f>
        <v>#VALUE!:noResult:No valid cells found for operation.</v>
      </c>
      <c r="HD16" s="15">
        <f>IF(Trans!R[179],"AAAAAH2q79M=",0)</f>
        <v>0</v>
      </c>
      <c r="HE16" s="15" t="b">
        <f>AND(Trans!A195,"AAAAAH2q79Q=")</f>
        <v>1</v>
      </c>
      <c r="HF16" s="15" t="str">
        <f>AND(Trans!B195,"AAAAAH2q79U=")</f>
        <v>#VALUE!:noResult:No valid cells found for operation.</v>
      </c>
      <c r="HG16" s="15" t="b">
        <f>AND(Trans!C195,"AAAAAH2q79Y=")</f>
        <v>1</v>
      </c>
      <c r="HH16" s="15" t="b">
        <f>AND(Trans!D195,"AAAAAH2q79c=")</f>
        <v>1</v>
      </c>
      <c r="HI16" s="15" t="str">
        <f>AND(Trans!E195,"AAAAAH2q79g=")</f>
        <v>#VALUE!:noResult:No valid cells found for operation.</v>
      </c>
      <c r="HJ16" s="15" t="str">
        <f>AND(Trans!F195,"AAAAAH2q79k=")</f>
        <v>#VALUE!:noResult:No valid cells found for operation.</v>
      </c>
      <c r="HK16" s="15" t="str">
        <f>AND(Trans!G195,"AAAAAH2q79o=")</f>
        <v>#VALUE!:noResult:No valid cells found for operation.</v>
      </c>
      <c r="HL16" s="15" t="str">
        <f>#REF!</f>
        <v>#VALUE!:noResult:No valid cells found for operation.</v>
      </c>
      <c r="HM16" s="15" t="str">
        <f>AND(Trans!H195,"AAAAAH2q79w=")</f>
        <v>#VALUE!:noResult:No valid cells found for operation.</v>
      </c>
      <c r="HN16" s="15" t="str">
        <f>#REF!</f>
        <v>#VALUE!:noResult:No valid cells found for operation.</v>
      </c>
      <c r="HO16" s="15" t="str">
        <f>#REF!</f>
        <v>#VALUE!:noResult:No valid cells found for operation.</v>
      </c>
      <c r="HP16" s="15" t="str">
        <f>#REF!</f>
        <v>#VALUE!:noResult:No valid cells found for operation.</v>
      </c>
      <c r="HQ16" s="15" t="str">
        <f>#REF!</f>
        <v>#VALUE!:noResult:No valid cells found for operation.</v>
      </c>
      <c r="HR16" s="15" t="str">
        <f>#REF!</f>
        <v>#VALUE!:noResult:No valid cells found for operation.</v>
      </c>
      <c r="HS16" s="15" t="str">
        <f>#REF!</f>
        <v>#VALUE!:noResult:No valid cells found for operation.</v>
      </c>
      <c r="HT16" s="15">
        <f>IF(Trans!R[180],"AAAAAH2q7+M=",0)</f>
        <v>0</v>
      </c>
      <c r="HU16" s="15" t="b">
        <f>AND(Trans!A196,"AAAAAH2q7+Q=")</f>
        <v>1</v>
      </c>
      <c r="HV16" s="15" t="str">
        <f>AND(Trans!B196,"AAAAAH2q7+U=")</f>
        <v>#VALUE!:noResult:No valid cells found for operation.</v>
      </c>
      <c r="HW16" s="15" t="b">
        <f>AND(Trans!C196,"AAAAAH2q7+Y=")</f>
        <v>1</v>
      </c>
      <c r="HX16" s="15" t="b">
        <f>AND(Trans!D196,"AAAAAH2q7+c=")</f>
        <v>1</v>
      </c>
      <c r="HY16" s="15" t="str">
        <f>AND(Trans!E196,"AAAAAH2q7+g=")</f>
        <v>#VALUE!:noResult:No valid cells found for operation.</v>
      </c>
      <c r="HZ16" s="15" t="str">
        <f>AND(Trans!F196,"AAAAAH2q7+k=")</f>
        <v>#VALUE!:noResult:No valid cells found for operation.</v>
      </c>
      <c r="IA16" s="15" t="str">
        <f>AND(Trans!G196,"AAAAAH2q7+o=")</f>
        <v>#VALUE!:noResult:No valid cells found for operation.</v>
      </c>
      <c r="IB16" s="15" t="str">
        <f>#REF!</f>
        <v>#VALUE!:noResult:No valid cells found for operation.</v>
      </c>
      <c r="IC16" s="15" t="str">
        <f>AND(Trans!H196,"AAAAAH2q7+w=")</f>
        <v>#VALUE!:noResult:No valid cells found for operation.</v>
      </c>
      <c r="ID16" s="15" t="str">
        <f>#REF!</f>
        <v>#VALUE!:noResult:No valid cells found for operation.</v>
      </c>
      <c r="IE16" s="15" t="str">
        <f>#REF!</f>
        <v>#VALUE!:noResult:No valid cells found for operation.</v>
      </c>
      <c r="IF16" s="15" t="str">
        <f>#REF!</f>
        <v>#VALUE!:noResult:No valid cells found for operation.</v>
      </c>
      <c r="IG16" s="15" t="str">
        <f>#REF!</f>
        <v>#VALUE!:noResult:No valid cells found for operation.</v>
      </c>
      <c r="IH16" s="15" t="str">
        <f>#REF!</f>
        <v>#VALUE!:noResult:No valid cells found for operation.</v>
      </c>
      <c r="II16" s="15" t="str">
        <f>#REF!</f>
        <v>#VALUE!:noResult:No valid cells found for operation.</v>
      </c>
      <c r="IJ16" s="15">
        <f>IF(Trans!R[181],"AAAAAH2q7/M=",0)</f>
        <v>0</v>
      </c>
      <c r="IK16" s="15" t="b">
        <f>AND(Trans!A197,"AAAAAH2q7/Q=")</f>
        <v>1</v>
      </c>
      <c r="IL16" s="15" t="str">
        <f>AND(Trans!B197,"AAAAAH2q7/U=")</f>
        <v>#VALUE!:noResult:No valid cells found for operation.</v>
      </c>
      <c r="IM16" s="15" t="b">
        <f>AND(Trans!C197,"AAAAAH2q7/Y=")</f>
        <v>1</v>
      </c>
      <c r="IN16" s="15" t="b">
        <f>AND(Trans!D197,"AAAAAH2q7/c=")</f>
        <v>1</v>
      </c>
      <c r="IO16" s="15" t="str">
        <f>AND(Trans!E197,"AAAAAH2q7/g=")</f>
        <v>#VALUE!:noResult:No valid cells found for operation.</v>
      </c>
      <c r="IP16" s="15" t="str">
        <f>AND(Trans!F197,"AAAAAH2q7/k=")</f>
        <v>#VALUE!:noResult:No valid cells found for operation.</v>
      </c>
      <c r="IQ16" s="15" t="str">
        <f>AND(Trans!G197,"AAAAAH2q7/o=")</f>
        <v>#VALUE!:noResult:No valid cells found for operation.</v>
      </c>
      <c r="IR16" s="15" t="str">
        <f>#REF!</f>
        <v>#VALUE!:noResult:No valid cells found for operation.</v>
      </c>
      <c r="IS16" s="15" t="str">
        <f>AND(Trans!H197,"AAAAAH2q7/w=")</f>
        <v>#VALUE!:noResult:No valid cells found for operation.</v>
      </c>
      <c r="IT16" s="15" t="str">
        <f>#REF!</f>
        <v>#VALUE!:noResult:No valid cells found for operation.</v>
      </c>
      <c r="IU16" s="15" t="str">
        <f>#REF!</f>
        <v>#VALUE!:noResult:No valid cells found for operation.</v>
      </c>
      <c r="IV16" s="15" t="str">
        <f>#REF!</f>
        <v>#VALUE!:noResult:No valid cells found for operation.</v>
      </c>
    </row>
    <row r="17">
      <c r="A17" s="15" t="str">
        <f>#REF!</f>
        <v>#VALUE!:noResult:No valid cells found for operation.</v>
      </c>
      <c r="B17" s="15" t="str">
        <f>#REF!</f>
        <v>#VALUE!:noResult:No valid cells found for operation.</v>
      </c>
      <c r="C17" s="15" t="str">
        <f>#REF!</f>
        <v>#VALUE!:noResult:No valid cells found for operation.</v>
      </c>
      <c r="D17" s="15" t="str">
        <f>IF(Trans!R[181],"AAAAAD/6OgM=",0)</f>
        <v>AAAAAD/6OgM=</v>
      </c>
      <c r="E17" s="15" t="b">
        <f>AND(Trans!A198,"AAAAAD/6OgQ=")</f>
        <v>1</v>
      </c>
      <c r="F17" s="15" t="str">
        <f>AND(Trans!B198,"AAAAAD/6OgU=")</f>
        <v>#VALUE!:noResult:No valid cells found for operation.</v>
      </c>
      <c r="G17" s="15" t="b">
        <f>AND(Trans!C198,"AAAAAD/6OgY=")</f>
        <v>1</v>
      </c>
      <c r="H17" s="15" t="b">
        <f>AND(Trans!D198,"AAAAAD/6Ogc=")</f>
        <v>1</v>
      </c>
      <c r="I17" s="15" t="str">
        <f>AND(Trans!E198,"AAAAAD/6Ogg=")</f>
        <v>#VALUE!:noResult:No valid cells found for operation.</v>
      </c>
      <c r="J17" s="15" t="str">
        <f>AND(Trans!F198,"AAAAAD/6Ogk=")</f>
        <v>#VALUE!:noResult:No valid cells found for operation.</v>
      </c>
      <c r="K17" s="15" t="str">
        <f>AND(Trans!G198,"AAAAAD/6Ogo=")</f>
        <v>#VALUE!:noResult:No valid cells found for operation.</v>
      </c>
      <c r="L17" s="15" t="str">
        <f>#REF!</f>
        <v>#VALUE!:noResult:No valid cells found for operation.</v>
      </c>
      <c r="M17" s="15" t="str">
        <f>AND(Trans!H198,"AAAAAD/6Ogw=")</f>
        <v>#VALUE!:noResult:No valid cells found for operation.</v>
      </c>
      <c r="N17" s="15" t="str">
        <f>#REF!</f>
        <v>#VALUE!:noResult:No valid cells found for operation.</v>
      </c>
      <c r="O17" s="15" t="str">
        <f>#REF!</f>
        <v>#VALUE!:noResult:No valid cells found for operation.</v>
      </c>
      <c r="P17" s="15" t="str">
        <f>#REF!</f>
        <v>#VALUE!:noResult:No valid cells found for operation.</v>
      </c>
      <c r="Q17" s="15" t="str">
        <f>#REF!</f>
        <v>#VALUE!:noResult:No valid cells found for operation.</v>
      </c>
      <c r="R17" s="15" t="str">
        <f>#REF!</f>
        <v>#VALUE!:noResult:No valid cells found for operation.</v>
      </c>
      <c r="S17" s="15" t="str">
        <f>#REF!</f>
        <v>#VALUE!:noResult:No valid cells found for operation.</v>
      </c>
      <c r="T17" s="15">
        <f>IF(Trans!R[182],"AAAAAD/6OhM=",0)</f>
        <v>0</v>
      </c>
      <c r="U17" s="15" t="b">
        <f>AND(Trans!A199,"AAAAAD/6OhQ=")</f>
        <v>1</v>
      </c>
      <c r="V17" s="15" t="str">
        <f>AND(Trans!B199,"AAAAAD/6OhU=")</f>
        <v>#VALUE!:noResult:No valid cells found for operation.</v>
      </c>
      <c r="W17" s="15" t="b">
        <f>AND(Trans!C199,"AAAAAD/6OhY=")</f>
        <v>1</v>
      </c>
      <c r="X17" s="15" t="b">
        <f>AND(Trans!D199,"AAAAAD/6Ohc=")</f>
        <v>1</v>
      </c>
      <c r="Y17" s="15" t="str">
        <f>AND(Trans!E199,"AAAAAD/6Ohg=")</f>
        <v>#VALUE!:noResult:No valid cells found for operation.</v>
      </c>
      <c r="Z17" s="15" t="str">
        <f>AND(Trans!F199,"AAAAAD/6Ohk=")</f>
        <v>#VALUE!:noResult:No valid cells found for operation.</v>
      </c>
      <c r="AA17" s="15" t="str">
        <f>AND(Trans!G199,"AAAAAD/6Oho=")</f>
        <v>#VALUE!:noResult:No valid cells found for operation.</v>
      </c>
      <c r="AB17" s="15" t="str">
        <f>#REF!</f>
        <v>#VALUE!:noResult:No valid cells found for operation.</v>
      </c>
      <c r="AC17" s="15" t="str">
        <f>AND(Trans!H199,"AAAAAD/6Ohw=")</f>
        <v>#VALUE!:noResult:No valid cells found for operation.</v>
      </c>
      <c r="AD17" s="15" t="str">
        <f>#REF!</f>
        <v>#VALUE!:noResult:No valid cells found for operation.</v>
      </c>
      <c r="AE17" s="15" t="str">
        <f>#REF!</f>
        <v>#VALUE!:noResult:No valid cells found for operation.</v>
      </c>
      <c r="AF17" s="15" t="str">
        <f>#REF!</f>
        <v>#VALUE!:noResult:No valid cells found for operation.</v>
      </c>
      <c r="AG17" s="15" t="str">
        <f>#REF!</f>
        <v>#VALUE!:noResult:No valid cells found for operation.</v>
      </c>
      <c r="AH17" s="15" t="str">
        <f>#REF!</f>
        <v>#VALUE!:noResult:No valid cells found for operation.</v>
      </c>
      <c r="AI17" s="15" t="str">
        <f>#REF!</f>
        <v>#VALUE!:noResult:No valid cells found for operation.</v>
      </c>
      <c r="AJ17" s="15">
        <f>IF(Trans!R[183],"AAAAAD/6OiM=",0)</f>
        <v>0</v>
      </c>
      <c r="AK17" s="15" t="b">
        <f>AND(Trans!A200,"AAAAAD/6OiQ=")</f>
        <v>1</v>
      </c>
      <c r="AL17" s="15" t="str">
        <f>AND(Trans!B200,"AAAAAD/6OiU=")</f>
        <v>#VALUE!:noResult:No valid cells found for operation.</v>
      </c>
      <c r="AM17" s="15" t="b">
        <f>AND(Trans!C200,"AAAAAD/6OiY=")</f>
        <v>1</v>
      </c>
      <c r="AN17" s="15" t="b">
        <f>AND(Trans!D200,"AAAAAD/6Oic=")</f>
        <v>1</v>
      </c>
      <c r="AO17" s="15" t="str">
        <f>AND(Trans!E200,"AAAAAD/6Oig=")</f>
        <v>#VALUE!:noResult:No valid cells found for operation.</v>
      </c>
      <c r="AP17" s="15" t="str">
        <f>AND(Trans!F200,"AAAAAD/6Oik=")</f>
        <v>#VALUE!:noResult:No valid cells found for operation.</v>
      </c>
      <c r="AQ17" s="15" t="str">
        <f>AND(Trans!G200,"AAAAAD/6Oio=")</f>
        <v>#VALUE!:noResult:No valid cells found for operation.</v>
      </c>
      <c r="AR17" s="15" t="str">
        <f>#REF!</f>
        <v>#VALUE!:noResult:No valid cells found for operation.</v>
      </c>
      <c r="AS17" s="15" t="str">
        <f>AND(Trans!H200,"AAAAAD/6Oiw=")</f>
        <v>#VALUE!:noResult:No valid cells found for operation.</v>
      </c>
      <c r="AT17" s="15" t="str">
        <f>#REF!</f>
        <v>#VALUE!:noResult:No valid cells found for operation.</v>
      </c>
      <c r="AU17" s="15" t="str">
        <f>#REF!</f>
        <v>#VALUE!:noResult:No valid cells found for operation.</v>
      </c>
      <c r="AV17" s="15" t="str">
        <f>#REF!</f>
        <v>#VALUE!:noResult:No valid cells found for operation.</v>
      </c>
      <c r="AW17" s="15" t="str">
        <f>#REF!</f>
        <v>#VALUE!:noResult:No valid cells found for operation.</v>
      </c>
      <c r="AX17" s="15" t="str">
        <f>#REF!</f>
        <v>#VALUE!:noResult:No valid cells found for operation.</v>
      </c>
      <c r="AY17" s="15" t="str">
        <f>#REF!</f>
        <v>#VALUE!:noResult:No valid cells found for operation.</v>
      </c>
      <c r="AZ17" s="15">
        <f>IF(Trans!R[184],"AAAAAD/6OjM=",0)</f>
        <v>0</v>
      </c>
      <c r="BA17" s="15" t="b">
        <f>AND(Trans!A201,"AAAAAD/6OjQ=")</f>
        <v>1</v>
      </c>
      <c r="BB17" s="15" t="str">
        <f>AND(Trans!B201,"AAAAAD/6OjU=")</f>
        <v>#VALUE!:noResult:No valid cells found for operation.</v>
      </c>
      <c r="BC17" s="15" t="b">
        <f>AND(Trans!C201,"AAAAAD/6OjY=")</f>
        <v>1</v>
      </c>
      <c r="BD17" s="15" t="b">
        <f>AND(Trans!D201,"AAAAAD/6Ojc=")</f>
        <v>1</v>
      </c>
      <c r="BE17" s="15" t="str">
        <f>AND(Trans!E201,"AAAAAD/6Ojg=")</f>
        <v>#VALUE!:noResult:No valid cells found for operation.</v>
      </c>
      <c r="BF17" s="15" t="str">
        <f>AND(Trans!F201,"AAAAAD/6Ojk=")</f>
        <v>#VALUE!:noResult:No valid cells found for operation.</v>
      </c>
      <c r="BG17" s="15" t="str">
        <f>AND(Trans!G201,"AAAAAD/6Ojo=")</f>
        <v>#VALUE!:noResult:No valid cells found for operation.</v>
      </c>
      <c r="BH17" s="15" t="str">
        <f>#REF!</f>
        <v>#VALUE!:noResult:No valid cells found for operation.</v>
      </c>
      <c r="BI17" s="15" t="str">
        <f>AND(Trans!H201,"AAAAAD/6Ojw=")</f>
        <v>#VALUE!:noResult:No valid cells found for operation.</v>
      </c>
      <c r="BJ17" s="15" t="str">
        <f>#REF!</f>
        <v>#VALUE!:noResult:No valid cells found for operation.</v>
      </c>
      <c r="BK17" s="15" t="str">
        <f>#REF!</f>
        <v>#VALUE!:noResult:No valid cells found for operation.</v>
      </c>
      <c r="BL17" s="15" t="str">
        <f>#REF!</f>
        <v>#VALUE!:noResult:No valid cells found for operation.</v>
      </c>
      <c r="BM17" s="15" t="str">
        <f>#REF!</f>
        <v>#VALUE!:noResult:No valid cells found for operation.</v>
      </c>
      <c r="BN17" s="15" t="str">
        <f>#REF!</f>
        <v>#VALUE!:noResult:No valid cells found for operation.</v>
      </c>
      <c r="BO17" s="15" t="str">
        <f>#REF!</f>
        <v>#VALUE!:noResult:No valid cells found for operation.</v>
      </c>
      <c r="BP17" s="15">
        <f>IF(Trans!R[185],"AAAAAD/6OkM=",0)</f>
        <v>0</v>
      </c>
      <c r="BQ17" s="15" t="b">
        <f>AND(Trans!A202,"AAAAAD/6OkQ=")</f>
        <v>1</v>
      </c>
      <c r="BR17" s="15" t="str">
        <f>AND(Trans!B202,"AAAAAD/6OkU=")</f>
        <v>#VALUE!:noResult:No valid cells found for operation.</v>
      </c>
      <c r="BS17" s="15" t="b">
        <f>AND(Trans!C202,"AAAAAD/6OkY=")</f>
        <v>1</v>
      </c>
      <c r="BT17" s="15" t="b">
        <f>AND(Trans!D202,"AAAAAD/6Okc=")</f>
        <v>1</v>
      </c>
      <c r="BU17" s="15" t="str">
        <f>AND(Trans!E202,"AAAAAD/6Okg=")</f>
        <v>#VALUE!:noResult:No valid cells found for operation.</v>
      </c>
      <c r="BV17" s="15" t="str">
        <f>AND(Trans!F202,"AAAAAD/6Okk=")</f>
        <v>#VALUE!:noResult:No valid cells found for operation.</v>
      </c>
      <c r="BW17" s="15" t="str">
        <f>AND(Trans!G202,"AAAAAD/6Oko=")</f>
        <v>#VALUE!:noResult:No valid cells found for operation.</v>
      </c>
      <c r="BX17" s="15" t="str">
        <f>#REF!</f>
        <v>#VALUE!:noResult:No valid cells found for operation.</v>
      </c>
      <c r="BY17" s="15" t="str">
        <f>AND(Trans!H202,"AAAAAD/6Okw=")</f>
        <v>#VALUE!:noResult:No valid cells found for operation.</v>
      </c>
      <c r="BZ17" s="15" t="str">
        <f>#REF!</f>
        <v>#VALUE!:noResult:No valid cells found for operation.</v>
      </c>
      <c r="CA17" s="15" t="str">
        <f>#REF!</f>
        <v>#VALUE!:noResult:No valid cells found for operation.</v>
      </c>
      <c r="CB17" s="15" t="str">
        <f>#REF!</f>
        <v>#VALUE!:noResult:No valid cells found for operation.</v>
      </c>
      <c r="CC17" s="15" t="str">
        <f>#REF!</f>
        <v>#VALUE!:noResult:No valid cells found for operation.</v>
      </c>
      <c r="CD17" s="15" t="str">
        <f>#REF!</f>
        <v>#VALUE!:noResult:No valid cells found for operation.</v>
      </c>
      <c r="CE17" s="15" t="str">
        <f>#REF!</f>
        <v>#VALUE!:noResult:No valid cells found for operation.</v>
      </c>
      <c r="CF17" s="15">
        <f>IF(Trans!R[186],"AAAAAD/6OlM=",0)</f>
        <v>0</v>
      </c>
      <c r="CG17" s="15" t="b">
        <f>AND(Trans!A203,"AAAAAD/6OlQ=")</f>
        <v>1</v>
      </c>
      <c r="CH17" s="15" t="str">
        <f>AND(Trans!B203,"AAAAAD/6OlU=")</f>
        <v>#VALUE!:noResult:No valid cells found for operation.</v>
      </c>
      <c r="CI17" s="15" t="b">
        <f>AND(Trans!C203,"AAAAAD/6OlY=")</f>
        <v>1</v>
      </c>
      <c r="CJ17" s="15" t="b">
        <f>AND(Trans!D203,"AAAAAD/6Olc=")</f>
        <v>1</v>
      </c>
      <c r="CK17" s="15" t="str">
        <f>AND(Trans!E203,"AAAAAD/6Olg=")</f>
        <v>#VALUE!:noResult:No valid cells found for operation.</v>
      </c>
      <c r="CL17" s="15" t="str">
        <f>AND(Trans!F203,"AAAAAD/6Olk=")</f>
        <v>#VALUE!:noResult:No valid cells found for operation.</v>
      </c>
      <c r="CM17" s="15" t="str">
        <f>AND(Trans!G203,"AAAAAD/6Olo=")</f>
        <v>#VALUE!:noResult:No valid cells found for operation.</v>
      </c>
      <c r="CN17" s="15" t="str">
        <f>#REF!</f>
        <v>#VALUE!:noResult:No valid cells found for operation.</v>
      </c>
      <c r="CO17" s="15" t="str">
        <f>AND(Trans!H203,"AAAAAD/6Olw=")</f>
        <v>#VALUE!:noResult:No valid cells found for operation.</v>
      </c>
      <c r="CP17" s="15" t="str">
        <f>#REF!</f>
        <v>#VALUE!:noResult:No valid cells found for operation.</v>
      </c>
      <c r="CQ17" s="15" t="str">
        <f>#REF!</f>
        <v>#VALUE!:noResult:No valid cells found for operation.</v>
      </c>
      <c r="CR17" s="15" t="str">
        <f>#REF!</f>
        <v>#VALUE!:noResult:No valid cells found for operation.</v>
      </c>
      <c r="CS17" s="15" t="str">
        <f>#REF!</f>
        <v>#VALUE!:noResult:No valid cells found for operation.</v>
      </c>
      <c r="CT17" s="15" t="str">
        <f>#REF!</f>
        <v>#VALUE!:noResult:No valid cells found for operation.</v>
      </c>
      <c r="CU17" s="15" t="str">
        <f>#REF!</f>
        <v>#VALUE!:noResult:No valid cells found for operation.</v>
      </c>
      <c r="CV17" s="15">
        <f>IF(Trans!R[187],"AAAAAD/6OmM=",0)</f>
        <v>0</v>
      </c>
      <c r="CW17" s="15" t="b">
        <f>AND(Trans!A204,"AAAAAD/6OmQ=")</f>
        <v>1</v>
      </c>
      <c r="CX17" s="15" t="str">
        <f>AND(Trans!B204,"AAAAAD/6OmU=")</f>
        <v>#VALUE!:noResult:No valid cells found for operation.</v>
      </c>
      <c r="CY17" s="15" t="b">
        <f>AND(Trans!C204,"AAAAAD/6OmY=")</f>
        <v>1</v>
      </c>
      <c r="CZ17" s="15" t="b">
        <f>AND(Trans!D204,"AAAAAD/6Omc=")</f>
        <v>1</v>
      </c>
      <c r="DA17" s="15" t="str">
        <f>AND(Trans!E204,"AAAAAD/6Omg=")</f>
        <v>#VALUE!:noResult:No valid cells found for operation.</v>
      </c>
      <c r="DB17" s="15" t="str">
        <f>AND(Trans!F204,"AAAAAD/6Omk=")</f>
        <v>#VALUE!:noResult:No valid cells found for operation.</v>
      </c>
      <c r="DC17" s="15" t="str">
        <f>AND(Trans!G204,"AAAAAD/6Omo=")</f>
        <v>#VALUE!:noResult:No valid cells found for operation.</v>
      </c>
      <c r="DD17" s="15" t="str">
        <f>#REF!</f>
        <v>#VALUE!:noResult:No valid cells found for operation.</v>
      </c>
      <c r="DE17" s="15" t="str">
        <f>AND(Trans!H204,"AAAAAD/6Omw=")</f>
        <v>#VALUE!:noResult:No valid cells found for operation.</v>
      </c>
      <c r="DF17" s="15" t="str">
        <f>#REF!</f>
        <v>#VALUE!:noResult:No valid cells found for operation.</v>
      </c>
      <c r="DG17" s="15" t="str">
        <f>#REF!</f>
        <v>#VALUE!:noResult:No valid cells found for operation.</v>
      </c>
      <c r="DH17" s="15" t="str">
        <f>#REF!</f>
        <v>#VALUE!:noResult:No valid cells found for operation.</v>
      </c>
      <c r="DI17" s="15" t="str">
        <f>#REF!</f>
        <v>#VALUE!:noResult:No valid cells found for operation.</v>
      </c>
      <c r="DJ17" s="15" t="str">
        <f>#REF!</f>
        <v>#VALUE!:noResult:No valid cells found for operation.</v>
      </c>
      <c r="DK17" s="15" t="str">
        <f>#REF!</f>
        <v>#VALUE!:noResult:No valid cells found for operation.</v>
      </c>
      <c r="DL17" s="15">
        <f>IF(Trans!R[188],"AAAAAD/6OnM=",0)</f>
        <v>0</v>
      </c>
      <c r="DM17" s="15" t="b">
        <f>AND(Trans!A205,"AAAAAD/6OnQ=")</f>
        <v>1</v>
      </c>
      <c r="DN17" s="15" t="str">
        <f>AND(Trans!B205,"AAAAAD/6OnU=")</f>
        <v>#VALUE!:noResult:No valid cells found for operation.</v>
      </c>
      <c r="DO17" s="15" t="b">
        <f>AND(Trans!C205,"AAAAAD/6OnY=")</f>
        <v>1</v>
      </c>
      <c r="DP17" s="15" t="b">
        <f>AND(Trans!D205,"AAAAAD/6Onc=")</f>
        <v>1</v>
      </c>
      <c r="DQ17" s="15" t="str">
        <f>AND(Trans!E205,"AAAAAD/6Ong=")</f>
        <v>#VALUE!:noResult:No valid cells found for operation.</v>
      </c>
      <c r="DR17" s="15" t="str">
        <f>AND(Trans!F205,"AAAAAD/6Onk=")</f>
        <v>#VALUE!:noResult:No valid cells found for operation.</v>
      </c>
      <c r="DS17" s="15" t="str">
        <f>AND(Trans!G205,"AAAAAD/6Ono=")</f>
        <v>#VALUE!:noResult:No valid cells found for operation.</v>
      </c>
      <c r="DT17" s="15" t="str">
        <f>#REF!</f>
        <v>#VALUE!:noResult:No valid cells found for operation.</v>
      </c>
      <c r="DU17" s="15" t="str">
        <f>AND(Trans!H205,"AAAAAD/6Onw=")</f>
        <v>#VALUE!:noResult:No valid cells found for operation.</v>
      </c>
      <c r="DV17" s="15" t="str">
        <f>#REF!</f>
        <v>#VALUE!:noResult:No valid cells found for operation.</v>
      </c>
      <c r="DW17" s="15" t="str">
        <f>#REF!</f>
        <v>#VALUE!:noResult:No valid cells found for operation.</v>
      </c>
      <c r="DX17" s="15" t="str">
        <f>#REF!</f>
        <v>#VALUE!:noResult:No valid cells found for operation.</v>
      </c>
      <c r="DY17" s="15" t="str">
        <f>#REF!</f>
        <v>#VALUE!:noResult:No valid cells found for operation.</v>
      </c>
      <c r="DZ17" s="15" t="str">
        <f>#REF!</f>
        <v>#VALUE!:noResult:No valid cells found for operation.</v>
      </c>
      <c r="EA17" s="15" t="str">
        <f>#REF!</f>
        <v>#VALUE!:noResult:No valid cells found for operation.</v>
      </c>
      <c r="EB17" s="15">
        <f>IF(Trans!R[189],"AAAAAD/6OoM=",0)</f>
        <v>0</v>
      </c>
      <c r="EC17" s="15" t="b">
        <f>AND(Trans!A206,"AAAAAD/6OoQ=")</f>
        <v>1</v>
      </c>
      <c r="ED17" s="15" t="str">
        <f>AND(Trans!B206,"AAAAAD/6OoU=")</f>
        <v>#VALUE!:noResult:No valid cells found for operation.</v>
      </c>
      <c r="EE17" s="15" t="b">
        <f>AND(Trans!C206,"AAAAAD/6OoY=")</f>
        <v>1</v>
      </c>
      <c r="EF17" s="15" t="b">
        <f>AND(Trans!D206,"AAAAAD/6Ooc=")</f>
        <v>1</v>
      </c>
      <c r="EG17" s="15" t="str">
        <f>AND(Trans!E206,"AAAAAD/6Oog=")</f>
        <v>#VALUE!:noResult:No valid cells found for operation.</v>
      </c>
      <c r="EH17" s="15" t="str">
        <f>AND(Trans!F206,"AAAAAD/6Ook=")</f>
        <v>#VALUE!:noResult:No valid cells found for operation.</v>
      </c>
      <c r="EI17" s="15" t="str">
        <f>AND(Trans!G206,"AAAAAD/6Ooo=")</f>
        <v>#VALUE!:noResult:No valid cells found for operation.</v>
      </c>
      <c r="EJ17" s="15" t="str">
        <f>#REF!</f>
        <v>#VALUE!:noResult:No valid cells found for operation.</v>
      </c>
      <c r="EK17" s="15" t="str">
        <f>AND(Trans!H206,"AAAAAD/6Oow=")</f>
        <v>#VALUE!:noResult:No valid cells found for operation.</v>
      </c>
      <c r="EL17" s="15" t="str">
        <f>#REF!</f>
        <v>#VALUE!:noResult:No valid cells found for operation.</v>
      </c>
      <c r="EM17" s="15" t="str">
        <f>#REF!</f>
        <v>#VALUE!:noResult:No valid cells found for operation.</v>
      </c>
      <c r="EN17" s="15" t="str">
        <f>#REF!</f>
        <v>#VALUE!:noResult:No valid cells found for operation.</v>
      </c>
      <c r="EO17" s="15" t="str">
        <f>#REF!</f>
        <v>#VALUE!:noResult:No valid cells found for operation.</v>
      </c>
      <c r="EP17" s="15" t="str">
        <f>#REF!</f>
        <v>#VALUE!:noResult:No valid cells found for operation.</v>
      </c>
      <c r="EQ17" s="15" t="str">
        <f>#REF!</f>
        <v>#VALUE!:noResult:No valid cells found for operation.</v>
      </c>
      <c r="ER17" s="15">
        <f>IF(Trans!R[190],"AAAAAD/6OpM=",0)</f>
        <v>0</v>
      </c>
      <c r="ES17" s="15" t="b">
        <f>AND(Trans!A207,"AAAAAD/6OpQ=")</f>
        <v>1</v>
      </c>
      <c r="ET17" s="15" t="str">
        <f>AND(Trans!B207,"AAAAAD/6OpU=")</f>
        <v>#VALUE!:noResult:No valid cells found for operation.</v>
      </c>
      <c r="EU17" s="15" t="b">
        <f>AND(Trans!C207,"AAAAAD/6OpY=")</f>
        <v>1</v>
      </c>
      <c r="EV17" s="15" t="b">
        <f>AND(Trans!D207,"AAAAAD/6Opc=")</f>
        <v>1</v>
      </c>
      <c r="EW17" s="15" t="str">
        <f>AND(Trans!E207,"AAAAAD/6Opg=")</f>
        <v>#VALUE!:noResult:No valid cells found for operation.</v>
      </c>
      <c r="EX17" s="15" t="str">
        <f>AND(Trans!F207,"AAAAAD/6Opk=")</f>
        <v>#VALUE!:noResult:No valid cells found for operation.</v>
      </c>
      <c r="EY17" s="15" t="str">
        <f>AND(Trans!G207,"AAAAAD/6Opo=")</f>
        <v>#VALUE!:noResult:No valid cells found for operation.</v>
      </c>
      <c r="EZ17" s="15" t="str">
        <f>#REF!</f>
        <v>#VALUE!:noResult:No valid cells found for operation.</v>
      </c>
      <c r="FA17" s="15" t="str">
        <f>AND(Trans!H207,"AAAAAD/6Opw=")</f>
        <v>#VALUE!:noResult:No valid cells found for operation.</v>
      </c>
      <c r="FB17" s="15" t="str">
        <f>#REF!</f>
        <v>#VALUE!:noResult:No valid cells found for operation.</v>
      </c>
      <c r="FC17" s="15" t="str">
        <f>#REF!</f>
        <v>#VALUE!:noResult:No valid cells found for operation.</v>
      </c>
      <c r="FD17" s="15" t="str">
        <f>#REF!</f>
        <v>#VALUE!:noResult:No valid cells found for operation.</v>
      </c>
      <c r="FE17" s="15" t="str">
        <f>#REF!</f>
        <v>#VALUE!:noResult:No valid cells found for operation.</v>
      </c>
      <c r="FF17" s="15" t="str">
        <f>#REF!</f>
        <v>#VALUE!:noResult:No valid cells found for operation.</v>
      </c>
      <c r="FG17" s="15" t="str">
        <f>#REF!</f>
        <v>#VALUE!:noResult:No valid cells found for operation.</v>
      </c>
      <c r="FH17" s="15">
        <f>IF(Trans!R[191],"AAAAAD/6OqM=",0)</f>
        <v>0</v>
      </c>
      <c r="FI17" s="15" t="b">
        <f>AND(Trans!A208,"AAAAAD/6OqQ=")</f>
        <v>1</v>
      </c>
      <c r="FJ17" s="15" t="str">
        <f>AND(Trans!B208,"AAAAAD/6OqU=")</f>
        <v>#VALUE!:noResult:No valid cells found for operation.</v>
      </c>
      <c r="FK17" s="15" t="b">
        <f>AND(Trans!C208,"AAAAAD/6OqY=")</f>
        <v>1</v>
      </c>
      <c r="FL17" s="15" t="b">
        <f>AND(Trans!D208,"AAAAAD/6Oqc=")</f>
        <v>1</v>
      </c>
      <c r="FM17" s="15" t="str">
        <f>AND(Trans!E208,"AAAAAD/6Oqg=")</f>
        <v>#VALUE!:noResult:No valid cells found for operation.</v>
      </c>
      <c r="FN17" s="15" t="str">
        <f>AND(Trans!F208,"AAAAAD/6Oqk=")</f>
        <v>#VALUE!:noResult:No valid cells found for operation.</v>
      </c>
      <c r="FO17" s="15" t="str">
        <f>AND(Trans!G208,"AAAAAD/6Oqo=")</f>
        <v>#VALUE!:noResult:No valid cells found for operation.</v>
      </c>
      <c r="FP17" s="15" t="str">
        <f>#REF!</f>
        <v>#VALUE!:noResult:No valid cells found for operation.</v>
      </c>
      <c r="FQ17" s="15" t="str">
        <f>AND(Trans!H208,"AAAAAD/6Oqw=")</f>
        <v>#VALUE!:noResult:No valid cells found for operation.</v>
      </c>
      <c r="FR17" s="15" t="str">
        <f>#REF!</f>
        <v>#VALUE!:noResult:No valid cells found for operation.</v>
      </c>
      <c r="FS17" s="15" t="str">
        <f>#REF!</f>
        <v>#VALUE!:noResult:No valid cells found for operation.</v>
      </c>
      <c r="FT17" s="15" t="str">
        <f>#REF!</f>
        <v>#VALUE!:noResult:No valid cells found for operation.</v>
      </c>
      <c r="FU17" s="15" t="str">
        <f>#REF!</f>
        <v>#VALUE!:noResult:No valid cells found for operation.</v>
      </c>
      <c r="FV17" s="15" t="str">
        <f>#REF!</f>
        <v>#VALUE!:noResult:No valid cells found for operation.</v>
      </c>
      <c r="FW17" s="15" t="str">
        <f>#REF!</f>
        <v>#VALUE!:noResult:No valid cells found for operation.</v>
      </c>
      <c r="FX17" s="15">
        <f>IF(Trans!R[192],"AAAAAD/6OrM=",0)</f>
        <v>0</v>
      </c>
      <c r="FY17" s="15" t="b">
        <f>AND(Trans!A209,"AAAAAD/6OrQ=")</f>
        <v>1</v>
      </c>
      <c r="FZ17" s="15" t="str">
        <f>AND(Trans!B209,"AAAAAD/6OrU=")</f>
        <v>#VALUE!:noResult:No valid cells found for operation.</v>
      </c>
      <c r="GA17" s="15" t="b">
        <f>AND(Trans!C209,"AAAAAD/6OrY=")</f>
        <v>1</v>
      </c>
      <c r="GB17" s="15" t="b">
        <f>AND(Trans!D209,"AAAAAD/6Orc=")</f>
        <v>1</v>
      </c>
      <c r="GC17" s="15" t="str">
        <f>AND(Trans!E209,"AAAAAD/6Org=")</f>
        <v>#VALUE!:noResult:No valid cells found for operation.</v>
      </c>
      <c r="GD17" s="15" t="str">
        <f>AND(Trans!F209,"AAAAAD/6Ork=")</f>
        <v>#VALUE!:noResult:No valid cells found for operation.</v>
      </c>
      <c r="GE17" s="15" t="str">
        <f>AND(Trans!G209,"AAAAAD/6Oro=")</f>
        <v>#VALUE!:noResult:No valid cells found for operation.</v>
      </c>
      <c r="GF17" s="15" t="str">
        <f>#REF!</f>
        <v>#VALUE!:noResult:No valid cells found for operation.</v>
      </c>
      <c r="GG17" s="15" t="str">
        <f>AND(Trans!H209,"AAAAAD/6Orw=")</f>
        <v>#VALUE!:noResult:No valid cells found for operation.</v>
      </c>
      <c r="GH17" s="15" t="str">
        <f>#REF!</f>
        <v>#VALUE!:noResult:No valid cells found for operation.</v>
      </c>
      <c r="GI17" s="15" t="str">
        <f>#REF!</f>
        <v>#VALUE!:noResult:No valid cells found for operation.</v>
      </c>
      <c r="GJ17" s="15" t="str">
        <f>#REF!</f>
        <v>#VALUE!:noResult:No valid cells found for operation.</v>
      </c>
      <c r="GK17" s="15" t="str">
        <f>#REF!</f>
        <v>#VALUE!:noResult:No valid cells found for operation.</v>
      </c>
      <c r="GL17" s="15" t="str">
        <f>#REF!</f>
        <v>#VALUE!:noResult:No valid cells found for operation.</v>
      </c>
      <c r="GM17" s="15" t="str">
        <f>#REF!</f>
        <v>#VALUE!:noResult:No valid cells found for operation.</v>
      </c>
      <c r="GN17" s="15">
        <f>IF(Trans!R[193],"AAAAAD/6OsM=",0)</f>
        <v>0</v>
      </c>
      <c r="GO17" s="15" t="b">
        <f>AND(Trans!A210,"AAAAAD/6OsQ=")</f>
        <v>1</v>
      </c>
      <c r="GP17" s="15" t="str">
        <f>AND(Trans!B210,"AAAAAD/6OsU=")</f>
        <v>#VALUE!:noResult:No valid cells found for operation.</v>
      </c>
      <c r="GQ17" s="15" t="b">
        <f>AND(Trans!C210,"AAAAAD/6OsY=")</f>
        <v>1</v>
      </c>
      <c r="GR17" s="15" t="b">
        <f>AND(Trans!D210,"AAAAAD/6Osc=")</f>
        <v>1</v>
      </c>
      <c r="GS17" s="15" t="str">
        <f>AND(Trans!E210,"AAAAAD/6Osg=")</f>
        <v>#VALUE!:noResult:No valid cells found for operation.</v>
      </c>
      <c r="GT17" s="15" t="str">
        <f>AND(Trans!F210,"AAAAAD/6Osk=")</f>
        <v>#VALUE!:noResult:No valid cells found for operation.</v>
      </c>
      <c r="GU17" s="15" t="str">
        <f>AND(Trans!G210,"AAAAAD/6Oso=")</f>
        <v>#VALUE!:noResult:No valid cells found for operation.</v>
      </c>
      <c r="GV17" s="15" t="str">
        <f>#REF!</f>
        <v>#VALUE!:noResult:No valid cells found for operation.</v>
      </c>
      <c r="GW17" s="15" t="str">
        <f>AND(Trans!H210,"AAAAAD/6Osw=")</f>
        <v>#VALUE!:noResult:No valid cells found for operation.</v>
      </c>
      <c r="GX17" s="15" t="str">
        <f>#REF!</f>
        <v>#VALUE!:noResult:No valid cells found for operation.</v>
      </c>
      <c r="GY17" s="15" t="str">
        <f>#REF!</f>
        <v>#VALUE!:noResult:No valid cells found for operation.</v>
      </c>
      <c r="GZ17" s="15" t="str">
        <f>#REF!</f>
        <v>#VALUE!:noResult:No valid cells found for operation.</v>
      </c>
      <c r="HA17" s="15" t="str">
        <f>#REF!</f>
        <v>#VALUE!:noResult:No valid cells found for operation.</v>
      </c>
      <c r="HB17" s="15" t="str">
        <f>#REF!</f>
        <v>#VALUE!:noResult:No valid cells found for operation.</v>
      </c>
      <c r="HC17" s="15" t="str">
        <f>#REF!</f>
        <v>#VALUE!:noResult:No valid cells found for operation.</v>
      </c>
      <c r="HD17" s="15">
        <f>IF(Trans!R[194],"AAAAAD/6OtM=",0)</f>
        <v>0</v>
      </c>
      <c r="HE17" s="15" t="b">
        <f>AND(Trans!A211,"AAAAAD/6OtQ=")</f>
        <v>1</v>
      </c>
      <c r="HF17" s="15" t="str">
        <f>AND(Trans!B211,"AAAAAD/6OtU=")</f>
        <v>#VALUE!:noResult:No valid cells found for operation.</v>
      </c>
      <c r="HG17" s="15" t="b">
        <f>AND(Trans!C211,"AAAAAD/6OtY=")</f>
        <v>1</v>
      </c>
      <c r="HH17" s="15" t="b">
        <f>AND(Trans!D211,"AAAAAD/6Otc=")</f>
        <v>1</v>
      </c>
      <c r="HI17" s="15" t="str">
        <f>AND(Trans!E211,"AAAAAD/6Otg=")</f>
        <v>#VALUE!:noResult:No valid cells found for operation.</v>
      </c>
      <c r="HJ17" s="15" t="str">
        <f>AND(Trans!F211,"AAAAAD/6Otk=")</f>
        <v>#VALUE!:noResult:No valid cells found for operation.</v>
      </c>
      <c r="HK17" s="15" t="str">
        <f>AND(Trans!G211,"AAAAAD/6Oto=")</f>
        <v>#VALUE!:noResult:No valid cells found for operation.</v>
      </c>
      <c r="HL17" s="15" t="str">
        <f>#REF!</f>
        <v>#VALUE!:noResult:No valid cells found for operation.</v>
      </c>
      <c r="HM17" s="15" t="str">
        <f>AND(Trans!H211,"AAAAAD/6Otw=")</f>
        <v>#VALUE!:noResult:No valid cells found for operation.</v>
      </c>
      <c r="HN17" s="15" t="str">
        <f>#REF!</f>
        <v>#VALUE!:noResult:No valid cells found for operation.</v>
      </c>
      <c r="HO17" s="15" t="str">
        <f>#REF!</f>
        <v>#VALUE!:noResult:No valid cells found for operation.</v>
      </c>
      <c r="HP17" s="15" t="str">
        <f>#REF!</f>
        <v>#VALUE!:noResult:No valid cells found for operation.</v>
      </c>
      <c r="HQ17" s="15" t="str">
        <f>#REF!</f>
        <v>#VALUE!:noResult:No valid cells found for operation.</v>
      </c>
      <c r="HR17" s="15" t="str">
        <f>#REF!</f>
        <v>#VALUE!:noResult:No valid cells found for operation.</v>
      </c>
      <c r="HS17" s="15" t="str">
        <f>#REF!</f>
        <v>#VALUE!:noResult:No valid cells found for operation.</v>
      </c>
      <c r="HT17" s="15">
        <f>IF(Trans!R[195],"AAAAAD/6OuM=",0)</f>
        <v>0</v>
      </c>
      <c r="HU17" s="15" t="b">
        <f>AND(Trans!A212,"AAAAAD/6OuQ=")</f>
        <v>1</v>
      </c>
      <c r="HV17" s="15" t="str">
        <f>AND(Trans!B212,"AAAAAD/6OuU=")</f>
        <v>#VALUE!:noResult:No valid cells found for operation.</v>
      </c>
      <c r="HW17" s="15" t="b">
        <f>AND(Trans!C212,"AAAAAD/6OuY=")</f>
        <v>1</v>
      </c>
      <c r="HX17" s="15" t="b">
        <f>AND(Trans!D212,"AAAAAD/6Ouc=")</f>
        <v>1</v>
      </c>
      <c r="HY17" s="15" t="str">
        <f>AND(Trans!E212,"AAAAAD/6Oug=")</f>
        <v>#VALUE!:noResult:No valid cells found for operation.</v>
      </c>
      <c r="HZ17" s="15" t="str">
        <f>AND(Trans!F212,"AAAAAD/6Ouk=")</f>
        <v>#VALUE!:noResult:No valid cells found for operation.</v>
      </c>
      <c r="IA17" s="15" t="str">
        <f>AND(Trans!G212,"AAAAAD/6Ouo=")</f>
        <v>#VALUE!:noResult:No valid cells found for operation.</v>
      </c>
      <c r="IB17" s="15" t="str">
        <f>#REF!</f>
        <v>#VALUE!:noResult:No valid cells found for operation.</v>
      </c>
      <c r="IC17" s="15" t="str">
        <f>AND(Trans!H212,"AAAAAD/6Ouw=")</f>
        <v>#VALUE!:noResult:No valid cells found for operation.</v>
      </c>
      <c r="ID17" s="15" t="str">
        <f>#REF!</f>
        <v>#VALUE!:noResult:No valid cells found for operation.</v>
      </c>
      <c r="IE17" s="15" t="str">
        <f>#REF!</f>
        <v>#VALUE!:noResult:No valid cells found for operation.</v>
      </c>
      <c r="IF17" s="15" t="str">
        <f>#REF!</f>
        <v>#VALUE!:noResult:No valid cells found for operation.</v>
      </c>
      <c r="IG17" s="15" t="str">
        <f>#REF!</f>
        <v>#VALUE!:noResult:No valid cells found for operation.</v>
      </c>
      <c r="IH17" s="15" t="str">
        <f>#REF!</f>
        <v>#VALUE!:noResult:No valid cells found for operation.</v>
      </c>
      <c r="II17" s="15" t="str">
        <f>#REF!</f>
        <v>#VALUE!:noResult:No valid cells found for operation.</v>
      </c>
      <c r="IJ17" s="15">
        <f>IF(Trans!R[196],"AAAAAD/6OvM=",0)</f>
        <v>0</v>
      </c>
      <c r="IK17" s="15" t="b">
        <f>AND(Trans!A213,"AAAAAD/6OvQ=")</f>
        <v>1</v>
      </c>
      <c r="IL17" s="15" t="str">
        <f>AND(Trans!B213,"AAAAAD/6OvU=")</f>
        <v>#VALUE!:noResult:No valid cells found for operation.</v>
      </c>
      <c r="IM17" s="15" t="b">
        <f>AND(Trans!C213,"AAAAAD/6OvY=")</f>
        <v>1</v>
      </c>
      <c r="IN17" s="15" t="b">
        <f>AND(Trans!D213,"AAAAAD/6Ovc=")</f>
        <v>1</v>
      </c>
      <c r="IO17" s="15" t="str">
        <f>AND(Trans!E213,"AAAAAD/6Ovg=")</f>
        <v>#VALUE!:noResult:No valid cells found for operation.</v>
      </c>
      <c r="IP17" s="15" t="str">
        <f>AND(Trans!F213,"AAAAAD/6Ovk=")</f>
        <v>#VALUE!:noResult:No valid cells found for operation.</v>
      </c>
      <c r="IQ17" s="15" t="str">
        <f>AND(Trans!G213,"AAAAAD/6Ovo=")</f>
        <v>#VALUE!:noResult:No valid cells found for operation.</v>
      </c>
      <c r="IR17" s="15" t="str">
        <f>#REF!</f>
        <v>#VALUE!:noResult:No valid cells found for operation.</v>
      </c>
      <c r="IS17" s="15" t="str">
        <f>AND(Trans!H213,"AAAAAD/6Ovw=")</f>
        <v>#VALUE!:noResult:No valid cells found for operation.</v>
      </c>
      <c r="IT17" s="15" t="str">
        <f>#REF!</f>
        <v>#VALUE!:noResult:No valid cells found for operation.</v>
      </c>
      <c r="IU17" s="15" t="str">
        <f>#REF!</f>
        <v>#VALUE!:noResult:No valid cells found for operation.</v>
      </c>
      <c r="IV17" s="15" t="str">
        <f>#REF!</f>
        <v>#VALUE!:noResult:No valid cells found for operation.</v>
      </c>
    </row>
    <row r="18">
      <c r="A18" s="15" t="str">
        <f>#REF!</f>
        <v>#VALUE!:noResult:No valid cells found for operation.</v>
      </c>
      <c r="B18" s="15" t="str">
        <f>#REF!</f>
        <v>#VALUE!:noResult:No valid cells found for operation.</v>
      </c>
      <c r="C18" s="15" t="str">
        <f>#REF!</f>
        <v>#VALUE!:noResult:No valid cells found for operation.</v>
      </c>
      <c r="D18" s="15" t="str">
        <f>IF(Trans!R[196],"AAAAAHzL/wM=",0)</f>
        <v>AAAAAHzL/wM=</v>
      </c>
      <c r="E18" s="15" t="b">
        <f>AND(Trans!A214,"AAAAAHzL/wQ=")</f>
        <v>1</v>
      </c>
      <c r="F18" s="15" t="str">
        <f>AND(Trans!B214,"AAAAAHzL/wU=")</f>
        <v>#VALUE!:noResult:No valid cells found for operation.</v>
      </c>
      <c r="G18" s="15" t="b">
        <f>AND(Trans!C214,"AAAAAHzL/wY=")</f>
        <v>1</v>
      </c>
      <c r="H18" s="15" t="b">
        <f>AND(Trans!D214,"AAAAAHzL/wc=")</f>
        <v>1</v>
      </c>
      <c r="I18" s="15" t="str">
        <f>AND(Trans!E214,"AAAAAHzL/wg=")</f>
        <v>#VALUE!:noResult:No valid cells found for operation.</v>
      </c>
      <c r="J18" s="15" t="str">
        <f>AND(Trans!F214,"AAAAAHzL/wk=")</f>
        <v>#VALUE!:noResult:No valid cells found for operation.</v>
      </c>
      <c r="K18" s="15" t="str">
        <f>AND(Trans!G214,"AAAAAHzL/wo=")</f>
        <v>#VALUE!:noResult:No valid cells found for operation.</v>
      </c>
      <c r="L18" s="15" t="str">
        <f>#REF!</f>
        <v>#VALUE!:noResult:No valid cells found for operation.</v>
      </c>
      <c r="M18" s="15" t="str">
        <f>AND(Trans!H214,"AAAAAHzL/ww=")</f>
        <v>#VALUE!:noResult:No valid cells found for operation.</v>
      </c>
      <c r="N18" s="15" t="str">
        <f>#REF!</f>
        <v>#VALUE!:noResult:No valid cells found for operation.</v>
      </c>
      <c r="O18" s="15" t="str">
        <f>#REF!</f>
        <v>#VALUE!:noResult:No valid cells found for operation.</v>
      </c>
      <c r="P18" s="15" t="str">
        <f>#REF!</f>
        <v>#VALUE!:noResult:No valid cells found for operation.</v>
      </c>
      <c r="Q18" s="15" t="str">
        <f>#REF!</f>
        <v>#VALUE!:noResult:No valid cells found for operation.</v>
      </c>
      <c r="R18" s="15" t="str">
        <f>#REF!</f>
        <v>#VALUE!:noResult:No valid cells found for operation.</v>
      </c>
      <c r="S18" s="15" t="str">
        <f>#REF!</f>
        <v>#VALUE!:noResult:No valid cells found for operation.</v>
      </c>
      <c r="T18" s="15">
        <f>IF(Trans!R[197],"AAAAAHzL/xM=",0)</f>
        <v>0</v>
      </c>
      <c r="U18" s="15" t="b">
        <f>AND(Trans!A215,"AAAAAHzL/xQ=")</f>
        <v>1</v>
      </c>
      <c r="V18" s="15" t="str">
        <f>AND(Trans!B215,"AAAAAHzL/xU=")</f>
        <v>#VALUE!:noResult:No valid cells found for operation.</v>
      </c>
      <c r="W18" s="15" t="b">
        <f>AND(Trans!C215,"AAAAAHzL/xY=")</f>
        <v>1</v>
      </c>
      <c r="X18" s="15" t="b">
        <f>AND(Trans!D215,"AAAAAHzL/xc=")</f>
        <v>1</v>
      </c>
      <c r="Y18" s="15" t="str">
        <f>AND(Trans!E215,"AAAAAHzL/xg=")</f>
        <v>#VALUE!:noResult:No valid cells found for operation.</v>
      </c>
      <c r="Z18" s="15" t="str">
        <f>AND(Trans!F215,"AAAAAHzL/xk=")</f>
        <v>#VALUE!:noResult:No valid cells found for operation.</v>
      </c>
      <c r="AA18" s="15" t="str">
        <f>AND(Trans!G215,"AAAAAHzL/xo=")</f>
        <v>#VALUE!:noResult:No valid cells found for operation.</v>
      </c>
      <c r="AB18" s="15" t="str">
        <f>#REF!</f>
        <v>#VALUE!:noResult:No valid cells found for operation.</v>
      </c>
      <c r="AC18" s="15" t="str">
        <f>AND(Trans!H215,"AAAAAHzL/xw=")</f>
        <v>#VALUE!:noResult:No valid cells found for operation.</v>
      </c>
      <c r="AD18" s="15" t="str">
        <f>#REF!</f>
        <v>#VALUE!:noResult:No valid cells found for operation.</v>
      </c>
      <c r="AE18" s="15" t="str">
        <f>#REF!</f>
        <v>#VALUE!:noResult:No valid cells found for operation.</v>
      </c>
      <c r="AF18" s="15" t="str">
        <f>#REF!</f>
        <v>#VALUE!:noResult:No valid cells found for operation.</v>
      </c>
      <c r="AG18" s="15" t="str">
        <f>#REF!</f>
        <v>#VALUE!:noResult:No valid cells found for operation.</v>
      </c>
      <c r="AH18" s="15" t="str">
        <f>#REF!</f>
        <v>#VALUE!:noResult:No valid cells found for operation.</v>
      </c>
      <c r="AI18" s="15" t="str">
        <f>#REF!</f>
        <v>#VALUE!:noResult:No valid cells found for operation.</v>
      </c>
      <c r="AJ18" s="15">
        <f>IF(Trans!R[198],"AAAAAHzL/yM=",0)</f>
        <v>0</v>
      </c>
      <c r="AK18" s="15" t="b">
        <f>AND(Trans!A216,"AAAAAHzL/yQ=")</f>
        <v>1</v>
      </c>
      <c r="AL18" s="15" t="str">
        <f>AND(Trans!B216,"AAAAAHzL/yU=")</f>
        <v>#VALUE!:noResult:No valid cells found for operation.</v>
      </c>
      <c r="AM18" s="15" t="b">
        <f>AND(Trans!C216,"AAAAAHzL/yY=")</f>
        <v>1</v>
      </c>
      <c r="AN18" s="15" t="b">
        <f>AND(Trans!D216,"AAAAAHzL/yc=")</f>
        <v>1</v>
      </c>
      <c r="AO18" s="15" t="str">
        <f>AND(Trans!E216,"AAAAAHzL/yg=")</f>
        <v>#VALUE!:noResult:No valid cells found for operation.</v>
      </c>
      <c r="AP18" s="15" t="str">
        <f>AND(Trans!F216,"AAAAAHzL/yk=")</f>
        <v>#VALUE!:noResult:No valid cells found for operation.</v>
      </c>
      <c r="AQ18" s="15" t="str">
        <f>AND(Trans!G216,"AAAAAHzL/yo=")</f>
        <v>#VALUE!:noResult:No valid cells found for operation.</v>
      </c>
      <c r="AR18" s="15" t="str">
        <f>#REF!</f>
        <v>#VALUE!:noResult:No valid cells found for operation.</v>
      </c>
      <c r="AS18" s="15" t="str">
        <f>AND(Trans!H216,"AAAAAHzL/yw=")</f>
        <v>#VALUE!:noResult:No valid cells found for operation.</v>
      </c>
      <c r="AT18" s="15" t="str">
        <f>#REF!</f>
        <v>#VALUE!:noResult:No valid cells found for operation.</v>
      </c>
      <c r="AU18" s="15" t="str">
        <f>#REF!</f>
        <v>#VALUE!:noResult:No valid cells found for operation.</v>
      </c>
      <c r="AV18" s="15" t="str">
        <f>#REF!</f>
        <v>#VALUE!:noResult:No valid cells found for operation.</v>
      </c>
      <c r="AW18" s="15" t="str">
        <f>#REF!</f>
        <v>#VALUE!:noResult:No valid cells found for operation.</v>
      </c>
      <c r="AX18" s="15" t="str">
        <f>#REF!</f>
        <v>#VALUE!:noResult:No valid cells found for operation.</v>
      </c>
      <c r="AY18" s="15" t="str">
        <f>#REF!</f>
        <v>#VALUE!:noResult:No valid cells found for operation.</v>
      </c>
      <c r="AZ18" s="15">
        <f>IF(Trans!R[199],"AAAAAHzL/zM=",0)</f>
        <v>0</v>
      </c>
      <c r="BA18" s="15" t="b">
        <f>AND(Trans!A217,"AAAAAHzL/zQ=")</f>
        <v>1</v>
      </c>
      <c r="BB18" s="15" t="str">
        <f>AND(Trans!B217,"AAAAAHzL/zU=")</f>
        <v>#VALUE!:noResult:No valid cells found for operation.</v>
      </c>
      <c r="BC18" s="15" t="b">
        <f>AND(Trans!C217,"AAAAAHzL/zY=")</f>
        <v>1</v>
      </c>
      <c r="BD18" s="15" t="b">
        <f>AND(Trans!D217,"AAAAAHzL/zc=")</f>
        <v>1</v>
      </c>
      <c r="BE18" s="15" t="str">
        <f>AND(Trans!E217,"AAAAAHzL/zg=")</f>
        <v>#VALUE!:noResult:No valid cells found for operation.</v>
      </c>
      <c r="BF18" s="15" t="str">
        <f>AND(Trans!F217,"AAAAAHzL/zk=")</f>
        <v>#VALUE!:noResult:No valid cells found for operation.</v>
      </c>
      <c r="BG18" s="15" t="str">
        <f>AND(Trans!G217,"AAAAAHzL/zo=")</f>
        <v>#VALUE!:noResult:No valid cells found for operation.</v>
      </c>
      <c r="BH18" s="15" t="str">
        <f>#REF!</f>
        <v>#VALUE!:noResult:No valid cells found for operation.</v>
      </c>
      <c r="BI18" s="15" t="str">
        <f>AND(Trans!H217,"AAAAAHzL/zw=")</f>
        <v>#VALUE!:noResult:No valid cells found for operation.</v>
      </c>
      <c r="BJ18" s="15" t="str">
        <f>#REF!</f>
        <v>#VALUE!:noResult:No valid cells found for operation.</v>
      </c>
      <c r="BK18" s="15" t="str">
        <f>#REF!</f>
        <v>#VALUE!:noResult:No valid cells found for operation.</v>
      </c>
      <c r="BL18" s="15" t="str">
        <f>#REF!</f>
        <v>#VALUE!:noResult:No valid cells found for operation.</v>
      </c>
      <c r="BM18" s="15" t="str">
        <f>#REF!</f>
        <v>#VALUE!:noResult:No valid cells found for operation.</v>
      </c>
      <c r="BN18" s="15" t="str">
        <f>#REF!</f>
        <v>#VALUE!:noResult:No valid cells found for operation.</v>
      </c>
      <c r="BO18" s="15" t="str">
        <f>#REF!</f>
        <v>#VALUE!:noResult:No valid cells found for operation.</v>
      </c>
      <c r="BP18" s="15">
        <f>IF(Trans!R[200],"AAAAAHzL/0M=",0)</f>
        <v>0</v>
      </c>
      <c r="BQ18" s="15" t="b">
        <f>AND(Trans!A218,"AAAAAHzL/0Q=")</f>
        <v>1</v>
      </c>
      <c r="BR18" s="15" t="str">
        <f>AND(Trans!B218,"AAAAAHzL/0U=")</f>
        <v>#VALUE!:noResult:No valid cells found for operation.</v>
      </c>
      <c r="BS18" s="15" t="b">
        <f>AND(Trans!C218,"AAAAAHzL/0Y=")</f>
        <v>1</v>
      </c>
      <c r="BT18" s="15" t="b">
        <f>AND(Trans!D218,"AAAAAHzL/0c=")</f>
        <v>1</v>
      </c>
      <c r="BU18" s="15" t="str">
        <f>AND(Trans!E218,"AAAAAHzL/0g=")</f>
        <v>#VALUE!:noResult:No valid cells found for operation.</v>
      </c>
      <c r="BV18" s="15" t="str">
        <f>AND(Trans!F218,"AAAAAHzL/0k=")</f>
        <v>#VALUE!:noResult:No valid cells found for operation.</v>
      </c>
      <c r="BW18" s="15" t="str">
        <f>AND(Trans!G218,"AAAAAHzL/0o=")</f>
        <v>#VALUE!:noResult:No valid cells found for operation.</v>
      </c>
      <c r="BX18" s="15" t="str">
        <f>#REF!</f>
        <v>#VALUE!:noResult:No valid cells found for operation.</v>
      </c>
      <c r="BY18" s="15" t="str">
        <f>AND(Trans!H218,"AAAAAHzL/0w=")</f>
        <v>#VALUE!:noResult:No valid cells found for operation.</v>
      </c>
      <c r="BZ18" s="15" t="str">
        <f>#REF!</f>
        <v>#VALUE!:noResult:No valid cells found for operation.</v>
      </c>
      <c r="CA18" s="15" t="str">
        <f>#REF!</f>
        <v>#VALUE!:noResult:No valid cells found for operation.</v>
      </c>
      <c r="CB18" s="15" t="str">
        <f>#REF!</f>
        <v>#VALUE!:noResult:No valid cells found for operation.</v>
      </c>
      <c r="CC18" s="15" t="str">
        <f>#REF!</f>
        <v>#VALUE!:noResult:No valid cells found for operation.</v>
      </c>
      <c r="CD18" s="15" t="str">
        <f>#REF!</f>
        <v>#VALUE!:noResult:No valid cells found for operation.</v>
      </c>
      <c r="CE18" s="15" t="str">
        <f>#REF!</f>
        <v>#VALUE!:noResult:No valid cells found for operation.</v>
      </c>
      <c r="CF18" s="15">
        <f>IF(Trans!R[201],"AAAAAHzL/1M=",0)</f>
        <v>0</v>
      </c>
      <c r="CG18" s="15" t="b">
        <f>AND(Trans!A219,"AAAAAHzL/1Q=")</f>
        <v>1</v>
      </c>
      <c r="CH18" s="15" t="str">
        <f>AND(Trans!B219,"AAAAAHzL/1U=")</f>
        <v>#VALUE!:noResult:No valid cells found for operation.</v>
      </c>
      <c r="CI18" s="15" t="b">
        <f>AND(Trans!C219,"AAAAAHzL/1Y=")</f>
        <v>1</v>
      </c>
      <c r="CJ18" s="15" t="b">
        <f>AND(Trans!D219,"AAAAAHzL/1c=")</f>
        <v>1</v>
      </c>
      <c r="CK18" s="15" t="str">
        <f>AND(Trans!E219,"AAAAAHzL/1g=")</f>
        <v>#VALUE!:noResult:No valid cells found for operation.</v>
      </c>
      <c r="CL18" s="15" t="str">
        <f>AND(Trans!F219,"AAAAAHzL/1k=")</f>
        <v>#VALUE!:noResult:No valid cells found for operation.</v>
      </c>
      <c r="CM18" s="15" t="str">
        <f>AND(Trans!G219,"AAAAAHzL/1o=")</f>
        <v>#VALUE!:noResult:No valid cells found for operation.</v>
      </c>
      <c r="CN18" s="15" t="str">
        <f>#REF!</f>
        <v>#VALUE!:noResult:No valid cells found for operation.</v>
      </c>
      <c r="CO18" s="15" t="str">
        <f>AND(Trans!H219,"AAAAAHzL/1w=")</f>
        <v>#VALUE!:noResult:No valid cells found for operation.</v>
      </c>
      <c r="CP18" s="15" t="str">
        <f>#REF!</f>
        <v>#VALUE!:noResult:No valid cells found for operation.</v>
      </c>
      <c r="CQ18" s="15" t="str">
        <f>#REF!</f>
        <v>#VALUE!:noResult:No valid cells found for operation.</v>
      </c>
      <c r="CR18" s="15" t="str">
        <f>#REF!</f>
        <v>#VALUE!:noResult:No valid cells found for operation.</v>
      </c>
      <c r="CS18" s="15" t="str">
        <f>#REF!</f>
        <v>#VALUE!:noResult:No valid cells found for operation.</v>
      </c>
      <c r="CT18" s="15" t="str">
        <f>#REF!</f>
        <v>#VALUE!:noResult:No valid cells found for operation.</v>
      </c>
      <c r="CU18" s="15" t="str">
        <f>#REF!</f>
        <v>#VALUE!:noResult:No valid cells found for operation.</v>
      </c>
      <c r="CV18" s="15">
        <f>IF(Trans!R[202],"AAAAAHzL/2M=",0)</f>
        <v>0</v>
      </c>
      <c r="CW18" s="15" t="b">
        <f>AND(Trans!A220,"AAAAAHzL/2Q=")</f>
        <v>1</v>
      </c>
      <c r="CX18" s="15" t="str">
        <f>AND(Trans!B220,"AAAAAHzL/2U=")</f>
        <v>#VALUE!:noResult:No valid cells found for operation.</v>
      </c>
      <c r="CY18" s="15" t="b">
        <f>AND(Trans!C220,"AAAAAHzL/2Y=")</f>
        <v>1</v>
      </c>
      <c r="CZ18" s="15" t="b">
        <f>AND(Trans!D220,"AAAAAHzL/2c=")</f>
        <v>1</v>
      </c>
      <c r="DA18" s="15" t="str">
        <f>AND(Trans!E220,"AAAAAHzL/2g=")</f>
        <v>#VALUE!:noResult:No valid cells found for operation.</v>
      </c>
      <c r="DB18" s="15" t="str">
        <f>AND(Trans!F220,"AAAAAHzL/2k=")</f>
        <v>#VALUE!:noResult:No valid cells found for operation.</v>
      </c>
      <c r="DC18" s="15" t="str">
        <f>AND(Trans!G220,"AAAAAHzL/2o=")</f>
        <v>#VALUE!:noResult:No valid cells found for operation.</v>
      </c>
      <c r="DD18" s="15" t="str">
        <f>#REF!</f>
        <v>#VALUE!:noResult:No valid cells found for operation.</v>
      </c>
      <c r="DE18" s="15" t="str">
        <f>AND(Trans!H220,"AAAAAHzL/2w=")</f>
        <v>#VALUE!:noResult:No valid cells found for operation.</v>
      </c>
      <c r="DF18" s="15" t="str">
        <f>#REF!</f>
        <v>#VALUE!:noResult:No valid cells found for operation.</v>
      </c>
      <c r="DG18" s="15" t="str">
        <f>#REF!</f>
        <v>#VALUE!:noResult:No valid cells found for operation.</v>
      </c>
      <c r="DH18" s="15" t="str">
        <f>#REF!</f>
        <v>#VALUE!:noResult:No valid cells found for operation.</v>
      </c>
      <c r="DI18" s="15" t="str">
        <f>#REF!</f>
        <v>#VALUE!:noResult:No valid cells found for operation.</v>
      </c>
      <c r="DJ18" s="15" t="str">
        <f>#REF!</f>
        <v>#VALUE!:noResult:No valid cells found for operation.</v>
      </c>
      <c r="DK18" s="15" t="str">
        <f>#REF!</f>
        <v>#VALUE!:noResult:No valid cells found for operation.</v>
      </c>
      <c r="DL18" s="15">
        <f>IF(Trans!R[203],"AAAAAHzL/3M=",0)</f>
        <v>0</v>
      </c>
      <c r="DM18" s="15" t="b">
        <f>AND(Trans!A221,"AAAAAHzL/3Q=")</f>
        <v>1</v>
      </c>
      <c r="DN18" s="15" t="str">
        <f>AND(Trans!B221,"AAAAAHzL/3U=")</f>
        <v>#VALUE!:noResult:No valid cells found for operation.</v>
      </c>
      <c r="DO18" s="15" t="b">
        <f>AND(Trans!C221,"AAAAAHzL/3Y=")</f>
        <v>1</v>
      </c>
      <c r="DP18" s="15" t="b">
        <f>AND(Trans!D221,"AAAAAHzL/3c=")</f>
        <v>1</v>
      </c>
      <c r="DQ18" s="15" t="str">
        <f>AND(Trans!E221,"AAAAAHzL/3g=")</f>
        <v>#VALUE!:noResult:No valid cells found for operation.</v>
      </c>
      <c r="DR18" s="15" t="str">
        <f>AND(Trans!F221,"AAAAAHzL/3k=")</f>
        <v>#VALUE!:noResult:No valid cells found for operation.</v>
      </c>
      <c r="DS18" s="15" t="str">
        <f>AND(Trans!G221,"AAAAAHzL/3o=")</f>
        <v>#VALUE!:noResult:No valid cells found for operation.</v>
      </c>
      <c r="DT18" s="15" t="str">
        <f>#REF!</f>
        <v>#VALUE!:noResult:No valid cells found for operation.</v>
      </c>
      <c r="DU18" s="15" t="str">
        <f>AND(Trans!H221,"AAAAAHzL/3w=")</f>
        <v>#VALUE!:noResult:No valid cells found for operation.</v>
      </c>
      <c r="DV18" s="15" t="str">
        <f>#REF!</f>
        <v>#VALUE!:noResult:No valid cells found for operation.</v>
      </c>
      <c r="DW18" s="15" t="str">
        <f>#REF!</f>
        <v>#VALUE!:noResult:No valid cells found for operation.</v>
      </c>
      <c r="DX18" s="15" t="str">
        <f>#REF!</f>
        <v>#VALUE!:noResult:No valid cells found for operation.</v>
      </c>
      <c r="DY18" s="15" t="str">
        <f>#REF!</f>
        <v>#VALUE!:noResult:No valid cells found for operation.</v>
      </c>
      <c r="DZ18" s="15" t="str">
        <f>#REF!</f>
        <v>#VALUE!:noResult:No valid cells found for operation.</v>
      </c>
      <c r="EA18" s="15" t="str">
        <f>#REF!</f>
        <v>#VALUE!:noResult:No valid cells found for operation.</v>
      </c>
      <c r="EB18" s="15">
        <f>IF(Trans!R[204],"AAAAAHzL/4M=",0)</f>
        <v>0</v>
      </c>
      <c r="EC18" s="15" t="b">
        <f>AND(Trans!A222,"AAAAAHzL/4Q=")</f>
        <v>1</v>
      </c>
      <c r="ED18" s="15" t="str">
        <f>AND(Trans!B222,"AAAAAHzL/4U=")</f>
        <v>#VALUE!:noResult:No valid cells found for operation.</v>
      </c>
      <c r="EE18" s="15" t="b">
        <f>AND(Trans!C222,"AAAAAHzL/4Y=")</f>
        <v>1</v>
      </c>
      <c r="EF18" s="15" t="b">
        <f>AND(Trans!D222,"AAAAAHzL/4c=")</f>
        <v>1</v>
      </c>
      <c r="EG18" s="15" t="str">
        <f>AND(Trans!E222,"AAAAAHzL/4g=")</f>
        <v>#VALUE!:noResult:No valid cells found for operation.</v>
      </c>
      <c r="EH18" s="15" t="str">
        <f>AND(Trans!F222,"AAAAAHzL/4k=")</f>
        <v>#VALUE!:noResult:No valid cells found for operation.</v>
      </c>
      <c r="EI18" s="15" t="str">
        <f>AND(Trans!G222,"AAAAAHzL/4o=")</f>
        <v>#VALUE!:noResult:No valid cells found for operation.</v>
      </c>
      <c r="EJ18" s="15" t="str">
        <f>#REF!</f>
        <v>#VALUE!:noResult:No valid cells found for operation.</v>
      </c>
      <c r="EK18" s="15" t="str">
        <f>AND(Trans!H222,"AAAAAHzL/4w=")</f>
        <v>#VALUE!:noResult:No valid cells found for operation.</v>
      </c>
      <c r="EL18" s="15" t="str">
        <f>#REF!</f>
        <v>#VALUE!:noResult:No valid cells found for operation.</v>
      </c>
      <c r="EM18" s="15" t="str">
        <f>#REF!</f>
        <v>#VALUE!:noResult:No valid cells found for operation.</v>
      </c>
      <c r="EN18" s="15" t="str">
        <f>#REF!</f>
        <v>#VALUE!:noResult:No valid cells found for operation.</v>
      </c>
      <c r="EO18" s="15" t="str">
        <f>#REF!</f>
        <v>#VALUE!:noResult:No valid cells found for operation.</v>
      </c>
      <c r="EP18" s="15" t="str">
        <f>#REF!</f>
        <v>#VALUE!:noResult:No valid cells found for operation.</v>
      </c>
      <c r="EQ18" s="15" t="str">
        <f>#REF!</f>
        <v>#VALUE!:noResult:No valid cells found for operation.</v>
      </c>
      <c r="ER18" s="15">
        <f>IF(Trans!R[205],"AAAAAHzL/5M=",0)</f>
        <v>0</v>
      </c>
      <c r="ES18" s="15" t="b">
        <f>AND(Trans!A223,"AAAAAHzL/5Q=")</f>
        <v>1</v>
      </c>
      <c r="ET18" s="15" t="str">
        <f>AND(Trans!B223,"AAAAAHzL/5U=")</f>
        <v>#VALUE!:noResult:No valid cells found for operation.</v>
      </c>
      <c r="EU18" s="15" t="b">
        <f>AND(Trans!C223,"AAAAAHzL/5Y=")</f>
        <v>1</v>
      </c>
      <c r="EV18" s="15" t="b">
        <f>AND(Trans!D223,"AAAAAHzL/5c=")</f>
        <v>1</v>
      </c>
      <c r="EW18" s="15" t="str">
        <f>AND(Trans!E223,"AAAAAHzL/5g=")</f>
        <v>#VALUE!:noResult:No valid cells found for operation.</v>
      </c>
      <c r="EX18" s="15" t="str">
        <f>AND(Trans!F223,"AAAAAHzL/5k=")</f>
        <v>#VALUE!:noResult:No valid cells found for operation.</v>
      </c>
      <c r="EY18" s="15" t="str">
        <f>AND(Trans!G223,"AAAAAHzL/5o=")</f>
        <v>#VALUE!:noResult:No valid cells found for operation.</v>
      </c>
      <c r="EZ18" s="15" t="str">
        <f>#REF!</f>
        <v>#VALUE!:noResult:No valid cells found for operation.</v>
      </c>
      <c r="FA18" s="15" t="str">
        <f>AND(Trans!H223,"AAAAAHzL/5w=")</f>
        <v>#VALUE!:noResult:No valid cells found for operation.</v>
      </c>
      <c r="FB18" s="15" t="str">
        <f>#REF!</f>
        <v>#VALUE!:noResult:No valid cells found for operation.</v>
      </c>
      <c r="FC18" s="15" t="str">
        <f>#REF!</f>
        <v>#VALUE!:noResult:No valid cells found for operation.</v>
      </c>
      <c r="FD18" s="15" t="str">
        <f>#REF!</f>
        <v>#VALUE!:noResult:No valid cells found for operation.</v>
      </c>
      <c r="FE18" s="15" t="str">
        <f>#REF!</f>
        <v>#VALUE!:noResult:No valid cells found for operation.</v>
      </c>
      <c r="FF18" s="15" t="str">
        <f>#REF!</f>
        <v>#VALUE!:noResult:No valid cells found for operation.</v>
      </c>
      <c r="FG18" s="15" t="str">
        <f>#REF!</f>
        <v>#VALUE!:noResult:No valid cells found for operation.</v>
      </c>
      <c r="FH18" s="15">
        <f>IF(Trans!R[206],"AAAAAHzL/6M=",0)</f>
        <v>0</v>
      </c>
      <c r="FI18" s="15" t="b">
        <f>AND(Trans!A224,"AAAAAHzL/6Q=")</f>
        <v>1</v>
      </c>
      <c r="FJ18" s="15" t="str">
        <f>AND(Trans!B224,"AAAAAHzL/6U=")</f>
        <v>#VALUE!:noResult:No valid cells found for operation.</v>
      </c>
      <c r="FK18" s="15" t="b">
        <f>AND(Trans!C224,"AAAAAHzL/6Y=")</f>
        <v>1</v>
      </c>
      <c r="FL18" s="15" t="b">
        <f>AND(Trans!D224,"AAAAAHzL/6c=")</f>
        <v>1</v>
      </c>
      <c r="FM18" s="15" t="str">
        <f>AND(Trans!E224,"AAAAAHzL/6g=")</f>
        <v>#VALUE!:noResult:No valid cells found for operation.</v>
      </c>
      <c r="FN18" s="15" t="str">
        <f>AND(Trans!F224,"AAAAAHzL/6k=")</f>
        <v>#VALUE!:noResult:No valid cells found for operation.</v>
      </c>
      <c r="FO18" s="15" t="str">
        <f>AND(Trans!G224,"AAAAAHzL/6o=")</f>
        <v>#VALUE!:noResult:No valid cells found for operation.</v>
      </c>
      <c r="FP18" s="15" t="str">
        <f>#REF!</f>
        <v>#VALUE!:noResult:No valid cells found for operation.</v>
      </c>
      <c r="FQ18" s="15" t="str">
        <f>AND(Trans!H224,"AAAAAHzL/6w=")</f>
        <v>#VALUE!:noResult:No valid cells found for operation.</v>
      </c>
      <c r="FR18" s="15" t="str">
        <f>#REF!</f>
        <v>#VALUE!:noResult:No valid cells found for operation.</v>
      </c>
      <c r="FS18" s="15" t="str">
        <f>#REF!</f>
        <v>#VALUE!:noResult:No valid cells found for operation.</v>
      </c>
      <c r="FT18" s="15" t="str">
        <f>#REF!</f>
        <v>#VALUE!:noResult:No valid cells found for operation.</v>
      </c>
      <c r="FU18" s="15" t="str">
        <f>#REF!</f>
        <v>#VALUE!:noResult:No valid cells found for operation.</v>
      </c>
      <c r="FV18" s="15" t="str">
        <f>#REF!</f>
        <v>#VALUE!:noResult:No valid cells found for operation.</v>
      </c>
      <c r="FW18" s="15" t="str">
        <f>#REF!</f>
        <v>#VALUE!:noResult:No valid cells found for operation.</v>
      </c>
      <c r="FX18" s="15">
        <f>IF(Trans!R[207],"AAAAAHzL/7M=",0)</f>
        <v>0</v>
      </c>
      <c r="FY18" s="15" t="b">
        <f>AND(Trans!A225,"AAAAAHzL/7Q=")</f>
        <v>1</v>
      </c>
      <c r="FZ18" s="15" t="str">
        <f>AND(Trans!B225,"AAAAAHzL/7U=")</f>
        <v>#VALUE!:noResult:No valid cells found for operation.</v>
      </c>
      <c r="GA18" s="15" t="b">
        <f>AND(Trans!C225,"AAAAAHzL/7Y=")</f>
        <v>1</v>
      </c>
      <c r="GB18" s="15" t="b">
        <f>AND(Trans!D225,"AAAAAHzL/7c=")</f>
        <v>1</v>
      </c>
      <c r="GC18" s="15" t="str">
        <f>AND(Trans!E225,"AAAAAHzL/7g=")</f>
        <v>#VALUE!:noResult:No valid cells found for operation.</v>
      </c>
      <c r="GD18" s="15" t="str">
        <f>AND(Trans!F225,"AAAAAHzL/7k=")</f>
        <v>#VALUE!:noResult:No valid cells found for operation.</v>
      </c>
      <c r="GE18" s="15" t="str">
        <f>AND(Trans!G225,"AAAAAHzL/7o=")</f>
        <v>#VALUE!:noResult:No valid cells found for operation.</v>
      </c>
      <c r="GF18" s="15" t="str">
        <f>#REF!</f>
        <v>#VALUE!:noResult:No valid cells found for operation.</v>
      </c>
      <c r="GG18" s="15" t="str">
        <f>AND(Trans!H225,"AAAAAHzL/7w=")</f>
        <v>#VALUE!:noResult:No valid cells found for operation.</v>
      </c>
      <c r="GH18" s="15" t="str">
        <f>#REF!</f>
        <v>#VALUE!:noResult:No valid cells found for operation.</v>
      </c>
      <c r="GI18" s="15" t="str">
        <f>#REF!</f>
        <v>#VALUE!:noResult:No valid cells found for operation.</v>
      </c>
      <c r="GJ18" s="15" t="str">
        <f>#REF!</f>
        <v>#VALUE!:noResult:No valid cells found for operation.</v>
      </c>
      <c r="GK18" s="15" t="str">
        <f>#REF!</f>
        <v>#VALUE!:noResult:No valid cells found for operation.</v>
      </c>
      <c r="GL18" s="15" t="str">
        <f>#REF!</f>
        <v>#VALUE!:noResult:No valid cells found for operation.</v>
      </c>
      <c r="GM18" s="15" t="str">
        <f>#REF!</f>
        <v>#VALUE!:noResult:No valid cells found for operation.</v>
      </c>
      <c r="GN18" s="15">
        <f>IF(Trans!R[208],"AAAAAHzL/8M=",0)</f>
        <v>0</v>
      </c>
      <c r="GO18" s="15" t="b">
        <f>AND(Trans!A226,"AAAAAHzL/8Q=")</f>
        <v>1</v>
      </c>
      <c r="GP18" s="15" t="str">
        <f>AND(Trans!B226,"AAAAAHzL/8U=")</f>
        <v>#VALUE!:noResult:No valid cells found for operation.</v>
      </c>
      <c r="GQ18" s="15" t="b">
        <f>AND(Trans!C226,"AAAAAHzL/8Y=")</f>
        <v>1</v>
      </c>
      <c r="GR18" s="15" t="b">
        <f>AND(Trans!D226,"AAAAAHzL/8c=")</f>
        <v>1</v>
      </c>
      <c r="GS18" s="15" t="str">
        <f>AND(Trans!E226,"AAAAAHzL/8g=")</f>
        <v>#VALUE!:noResult:No valid cells found for operation.</v>
      </c>
      <c r="GT18" s="15" t="str">
        <f>AND(Trans!F226,"AAAAAHzL/8k=")</f>
        <v>#VALUE!:noResult:No valid cells found for operation.</v>
      </c>
      <c r="GU18" s="15" t="str">
        <f>AND(Trans!G226,"AAAAAHzL/8o=")</f>
        <v>#VALUE!:noResult:No valid cells found for operation.</v>
      </c>
      <c r="GV18" s="15" t="str">
        <f>#REF!</f>
        <v>#VALUE!:noResult:No valid cells found for operation.</v>
      </c>
      <c r="GW18" s="15" t="str">
        <f>AND(Trans!H226,"AAAAAHzL/8w=")</f>
        <v>#VALUE!:noResult:No valid cells found for operation.</v>
      </c>
      <c r="GX18" s="15" t="str">
        <f>#REF!</f>
        <v>#VALUE!:noResult:No valid cells found for operation.</v>
      </c>
      <c r="GY18" s="15" t="str">
        <f>#REF!</f>
        <v>#VALUE!:noResult:No valid cells found for operation.</v>
      </c>
      <c r="GZ18" s="15" t="str">
        <f>#REF!</f>
        <v>#VALUE!:noResult:No valid cells found for operation.</v>
      </c>
      <c r="HA18" s="15" t="str">
        <f>#REF!</f>
        <v>#VALUE!:noResult:No valid cells found for operation.</v>
      </c>
      <c r="HB18" s="15" t="str">
        <f>#REF!</f>
        <v>#VALUE!:noResult:No valid cells found for operation.</v>
      </c>
      <c r="HC18" s="15" t="str">
        <f>#REF!</f>
        <v>#VALUE!:noResult:No valid cells found for operation.</v>
      </c>
      <c r="HD18" s="15">
        <f>IF(Trans!R[209],"AAAAAHzL/9M=",0)</f>
        <v>0</v>
      </c>
      <c r="HE18" s="15" t="b">
        <f>AND(Trans!A227,"AAAAAHzL/9Q=")</f>
        <v>1</v>
      </c>
      <c r="HF18" s="15" t="str">
        <f>AND(Trans!B227,"AAAAAHzL/9U=")</f>
        <v>#VALUE!:noResult:No valid cells found for operation.</v>
      </c>
      <c r="HG18" s="15" t="b">
        <f>AND(Trans!C227,"AAAAAHzL/9Y=")</f>
        <v>1</v>
      </c>
      <c r="HH18" s="15" t="b">
        <f>AND(Trans!D227,"AAAAAHzL/9c=")</f>
        <v>1</v>
      </c>
      <c r="HI18" s="15" t="str">
        <f>AND(Trans!E227,"AAAAAHzL/9g=")</f>
        <v>#VALUE!:noResult:No valid cells found for operation.</v>
      </c>
      <c r="HJ18" s="15" t="str">
        <f>AND(Trans!F227,"AAAAAHzL/9k=")</f>
        <v>#VALUE!:noResult:No valid cells found for operation.</v>
      </c>
      <c r="HK18" s="15" t="str">
        <f>AND(Trans!G227,"AAAAAHzL/9o=")</f>
        <v>#VALUE!:noResult:No valid cells found for operation.</v>
      </c>
      <c r="HL18" s="15" t="str">
        <f>#REF!</f>
        <v>#VALUE!:noResult:No valid cells found for operation.</v>
      </c>
      <c r="HM18" s="15" t="str">
        <f>AND(Trans!H227,"AAAAAHzL/9w=")</f>
        <v>#VALUE!:noResult:No valid cells found for operation.</v>
      </c>
      <c r="HN18" s="15" t="str">
        <f>#REF!</f>
        <v>#VALUE!:noResult:No valid cells found for operation.</v>
      </c>
      <c r="HO18" s="15" t="str">
        <f>#REF!</f>
        <v>#VALUE!:noResult:No valid cells found for operation.</v>
      </c>
      <c r="HP18" s="15" t="str">
        <f>#REF!</f>
        <v>#VALUE!:noResult:No valid cells found for operation.</v>
      </c>
      <c r="HQ18" s="15" t="str">
        <f>#REF!</f>
        <v>#VALUE!:noResult:No valid cells found for operation.</v>
      </c>
      <c r="HR18" s="15" t="str">
        <f>#REF!</f>
        <v>#VALUE!:noResult:No valid cells found for operation.</v>
      </c>
      <c r="HS18" s="15" t="str">
        <f>#REF!</f>
        <v>#VALUE!:noResult:No valid cells found for operation.</v>
      </c>
      <c r="HT18" s="15">
        <f>IF(Trans!R[210],"AAAAAHzL/+M=",0)</f>
        <v>0</v>
      </c>
      <c r="HU18" s="15" t="b">
        <f>AND(Trans!A228,"AAAAAHzL/+Q=")</f>
        <v>1</v>
      </c>
      <c r="HV18" s="15" t="str">
        <f>AND(Trans!B228,"AAAAAHzL/+U=")</f>
        <v>#VALUE!:noResult:No valid cells found for operation.</v>
      </c>
      <c r="HW18" s="15" t="b">
        <f>AND(Trans!C228,"AAAAAHzL/+Y=")</f>
        <v>1</v>
      </c>
      <c r="HX18" s="15" t="b">
        <f>AND(Trans!D228,"AAAAAHzL/+c=")</f>
        <v>1</v>
      </c>
      <c r="HY18" s="15" t="str">
        <f>AND(Trans!E228,"AAAAAHzL/+g=")</f>
        <v>#VALUE!:noResult:No valid cells found for operation.</v>
      </c>
      <c r="HZ18" s="15" t="str">
        <f>AND(Trans!F228,"AAAAAHzL/+k=")</f>
        <v>#VALUE!:noResult:No valid cells found for operation.</v>
      </c>
      <c r="IA18" s="15" t="str">
        <f>AND(Trans!G228,"AAAAAHzL/+o=")</f>
        <v>#VALUE!:noResult:No valid cells found for operation.</v>
      </c>
      <c r="IB18" s="15" t="str">
        <f>#REF!</f>
        <v>#VALUE!:noResult:No valid cells found for operation.</v>
      </c>
      <c r="IC18" s="15" t="str">
        <f>AND(Trans!H228,"AAAAAHzL/+w=")</f>
        <v>#VALUE!:noResult:No valid cells found for operation.</v>
      </c>
      <c r="ID18" s="15" t="str">
        <f>#REF!</f>
        <v>#VALUE!:noResult:No valid cells found for operation.</v>
      </c>
      <c r="IE18" s="15" t="str">
        <f>#REF!</f>
        <v>#VALUE!:noResult:No valid cells found for operation.</v>
      </c>
      <c r="IF18" s="15" t="str">
        <f>#REF!</f>
        <v>#VALUE!:noResult:No valid cells found for operation.</v>
      </c>
      <c r="IG18" s="15" t="str">
        <f>#REF!</f>
        <v>#VALUE!:noResult:No valid cells found for operation.</v>
      </c>
      <c r="IH18" s="15" t="str">
        <f>#REF!</f>
        <v>#VALUE!:noResult:No valid cells found for operation.</v>
      </c>
      <c r="II18" s="15" t="str">
        <f>#REF!</f>
        <v>#VALUE!:noResult:No valid cells found for operation.</v>
      </c>
      <c r="IJ18" s="15">
        <f>IF(Trans!R[211],"AAAAAHzL//M=",0)</f>
        <v>0</v>
      </c>
      <c r="IK18" s="15" t="b">
        <f>AND(Trans!A229,"AAAAAHzL//Q=")</f>
        <v>1</v>
      </c>
      <c r="IL18" s="15" t="str">
        <f>AND(Trans!B229,"AAAAAHzL//U=")</f>
        <v>#VALUE!:noResult:No valid cells found for operation.</v>
      </c>
      <c r="IM18" s="15" t="b">
        <f>AND(Trans!C229,"AAAAAHzL//Y=")</f>
        <v>1</v>
      </c>
      <c r="IN18" s="15" t="b">
        <f>AND(Trans!D229,"AAAAAHzL//c=")</f>
        <v>1</v>
      </c>
      <c r="IO18" s="15" t="str">
        <f>AND(Trans!E229,"AAAAAHzL//g=")</f>
        <v>#VALUE!:noResult:No valid cells found for operation.</v>
      </c>
      <c r="IP18" s="15" t="str">
        <f>AND(Trans!F229,"AAAAAHzL//k=")</f>
        <v>#VALUE!:noResult:No valid cells found for operation.</v>
      </c>
      <c r="IQ18" s="15" t="str">
        <f>AND(Trans!G229,"AAAAAHzL//o=")</f>
        <v>#VALUE!:noResult:No valid cells found for operation.</v>
      </c>
      <c r="IR18" s="15" t="str">
        <f>#REF!</f>
        <v>#VALUE!:noResult:No valid cells found for operation.</v>
      </c>
      <c r="IS18" s="15" t="str">
        <f>AND(Trans!H229,"AAAAAHzL//w=")</f>
        <v>#VALUE!:noResult:No valid cells found for operation.</v>
      </c>
      <c r="IT18" s="15" t="str">
        <f>#REF!</f>
        <v>#VALUE!:noResult:No valid cells found for operation.</v>
      </c>
      <c r="IU18" s="15" t="str">
        <f>#REF!</f>
        <v>#VALUE!:noResult:No valid cells found for operation.</v>
      </c>
      <c r="IV18" s="15" t="str">
        <f>#REF!</f>
        <v>#VALUE!:noResult:No valid cells found for operation.</v>
      </c>
    </row>
    <row r="19">
      <c r="A19" s="15" t="str">
        <f>#REF!</f>
        <v>#VALUE!:noResult:No valid cells found for operation.</v>
      </c>
      <c r="B19" s="15" t="str">
        <f>#REF!</f>
        <v>#VALUE!:noResult:No valid cells found for operation.</v>
      </c>
      <c r="C19" s="15" t="str">
        <f>#REF!</f>
        <v>#VALUE!:noResult:No valid cells found for operation.</v>
      </c>
      <c r="D19" s="15" t="str">
        <f>IF(Trans!R[211],"AAAAAHt9vgM=",0)</f>
        <v>AAAAAHt9vgM=</v>
      </c>
      <c r="E19" s="15" t="b">
        <f>AND(Trans!A230,"AAAAAHt9vgQ=")</f>
        <v>1</v>
      </c>
      <c r="F19" s="15" t="str">
        <f>AND(Trans!B230,"AAAAAHt9vgU=")</f>
        <v>#VALUE!:noResult:No valid cells found for operation.</v>
      </c>
      <c r="G19" s="15" t="b">
        <f>AND(Trans!C230,"AAAAAHt9vgY=")</f>
        <v>1</v>
      </c>
      <c r="H19" s="15" t="b">
        <f>AND(Trans!D230,"AAAAAHt9vgc=")</f>
        <v>1</v>
      </c>
      <c r="I19" s="15" t="str">
        <f>AND(Trans!E230,"AAAAAHt9vgg=")</f>
        <v>#VALUE!:noResult:No valid cells found for operation.</v>
      </c>
      <c r="J19" s="15" t="str">
        <f>AND(Trans!F230,"AAAAAHt9vgk=")</f>
        <v>#VALUE!:noResult:No valid cells found for operation.</v>
      </c>
      <c r="K19" s="15" t="str">
        <f>AND(Trans!G230,"AAAAAHt9vgo=")</f>
        <v>#VALUE!:noResult:No valid cells found for operation.</v>
      </c>
      <c r="L19" s="15" t="str">
        <f>#REF!</f>
        <v>#VALUE!:noResult:No valid cells found for operation.</v>
      </c>
      <c r="M19" s="15" t="str">
        <f>AND(Trans!H230,"AAAAAHt9vgw=")</f>
        <v>#VALUE!:noResult:No valid cells found for operation.</v>
      </c>
      <c r="N19" s="15" t="str">
        <f>#REF!</f>
        <v>#VALUE!:noResult:No valid cells found for operation.</v>
      </c>
      <c r="O19" s="15" t="str">
        <f>#REF!</f>
        <v>#VALUE!:noResult:No valid cells found for operation.</v>
      </c>
      <c r="P19" s="15" t="str">
        <f>#REF!</f>
        <v>#VALUE!:noResult:No valid cells found for operation.</v>
      </c>
      <c r="Q19" s="15" t="str">
        <f>#REF!</f>
        <v>#VALUE!:noResult:No valid cells found for operation.</v>
      </c>
      <c r="R19" s="15" t="str">
        <f>#REF!</f>
        <v>#VALUE!:noResult:No valid cells found for operation.</v>
      </c>
      <c r="S19" s="15" t="str">
        <f>#REF!</f>
        <v>#VALUE!:noResult:No valid cells found for operation.</v>
      </c>
      <c r="T19" s="15">
        <f>IF(Trans!R[212],"AAAAAHt9vhM=",0)</f>
        <v>0</v>
      </c>
      <c r="U19" s="15" t="b">
        <f>AND(Trans!A231,"AAAAAHt9vhQ=")</f>
        <v>1</v>
      </c>
      <c r="V19" s="15" t="str">
        <f>AND(Trans!B231,"AAAAAHt9vhU=")</f>
        <v>#VALUE!:noResult:No valid cells found for operation.</v>
      </c>
      <c r="W19" s="15" t="b">
        <f>AND(Trans!C231,"AAAAAHt9vhY=")</f>
        <v>1</v>
      </c>
      <c r="X19" s="15" t="b">
        <f>AND(Trans!D231,"AAAAAHt9vhc=")</f>
        <v>1</v>
      </c>
      <c r="Y19" s="15" t="str">
        <f>AND(Trans!E231,"AAAAAHt9vhg=")</f>
        <v>#VALUE!:noResult:No valid cells found for operation.</v>
      </c>
      <c r="Z19" s="15" t="str">
        <f>AND(Trans!F231,"AAAAAHt9vhk=")</f>
        <v>#VALUE!:noResult:No valid cells found for operation.</v>
      </c>
      <c r="AA19" s="15" t="str">
        <f>AND(Trans!G231,"AAAAAHt9vho=")</f>
        <v>#VALUE!:noResult:No valid cells found for operation.</v>
      </c>
      <c r="AB19" s="15" t="str">
        <f>#REF!</f>
        <v>#VALUE!:noResult:No valid cells found for operation.</v>
      </c>
      <c r="AC19" s="15" t="str">
        <f>AND(Trans!H231,"AAAAAHt9vhw=")</f>
        <v>#VALUE!:noResult:No valid cells found for operation.</v>
      </c>
      <c r="AD19" s="15" t="str">
        <f>#REF!</f>
        <v>#VALUE!:noResult:No valid cells found for operation.</v>
      </c>
      <c r="AE19" s="15" t="str">
        <f>#REF!</f>
        <v>#VALUE!:noResult:No valid cells found for operation.</v>
      </c>
      <c r="AF19" s="15" t="str">
        <f>#REF!</f>
        <v>#VALUE!:noResult:No valid cells found for operation.</v>
      </c>
      <c r="AG19" s="15" t="str">
        <f>#REF!</f>
        <v>#VALUE!:noResult:No valid cells found for operation.</v>
      </c>
      <c r="AH19" s="15" t="str">
        <f>#REF!</f>
        <v>#VALUE!:noResult:No valid cells found for operation.</v>
      </c>
      <c r="AI19" s="15" t="str">
        <f>#REF!</f>
        <v>#VALUE!:noResult:No valid cells found for operation.</v>
      </c>
      <c r="AJ19" s="15">
        <f>IF(Trans!R[213],"AAAAAHt9viM=",0)</f>
        <v>0</v>
      </c>
      <c r="AK19" s="15" t="b">
        <f>AND(Trans!A232,"AAAAAHt9viQ=")</f>
        <v>1</v>
      </c>
      <c r="AL19" s="15" t="str">
        <f>AND(Trans!B232,"AAAAAHt9viU=")</f>
        <v>#VALUE!:noResult:No valid cells found for operation.</v>
      </c>
      <c r="AM19" s="15" t="b">
        <f>AND(Trans!C232,"AAAAAHt9viY=")</f>
        <v>1</v>
      </c>
      <c r="AN19" s="15" t="b">
        <f>AND(Trans!D232,"AAAAAHt9vic=")</f>
        <v>1</v>
      </c>
      <c r="AO19" s="15" t="str">
        <f>AND(Trans!E232,"AAAAAHt9vig=")</f>
        <v>#VALUE!:noResult:No valid cells found for operation.</v>
      </c>
      <c r="AP19" s="15" t="str">
        <f>AND(Trans!F232,"AAAAAHt9vik=")</f>
        <v>#VALUE!:noResult:No valid cells found for operation.</v>
      </c>
      <c r="AQ19" s="15" t="str">
        <f>AND(Trans!G232,"AAAAAHt9vio=")</f>
        <v>#VALUE!:noResult:No valid cells found for operation.</v>
      </c>
      <c r="AR19" s="15" t="str">
        <f>#REF!</f>
        <v>#VALUE!:noResult:No valid cells found for operation.</v>
      </c>
      <c r="AS19" s="15" t="str">
        <f>AND(Trans!H232,"AAAAAHt9viw=")</f>
        <v>#VALUE!:noResult:No valid cells found for operation.</v>
      </c>
      <c r="AT19" s="15" t="str">
        <f>#REF!</f>
        <v>#VALUE!:noResult:No valid cells found for operation.</v>
      </c>
      <c r="AU19" s="15" t="str">
        <f>#REF!</f>
        <v>#VALUE!:noResult:No valid cells found for operation.</v>
      </c>
      <c r="AV19" s="15" t="str">
        <f>#REF!</f>
        <v>#VALUE!:noResult:No valid cells found for operation.</v>
      </c>
      <c r="AW19" s="15" t="str">
        <f>#REF!</f>
        <v>#VALUE!:noResult:No valid cells found for operation.</v>
      </c>
      <c r="AX19" s="15" t="str">
        <f>#REF!</f>
        <v>#VALUE!:noResult:No valid cells found for operation.</v>
      </c>
      <c r="AY19" s="15" t="str">
        <f>#REF!</f>
        <v>#VALUE!:noResult:No valid cells found for operation.</v>
      </c>
      <c r="AZ19" s="15">
        <f>IF(Trans!R[214],"AAAAAHt9vjM=",0)</f>
        <v>0</v>
      </c>
      <c r="BA19" s="15" t="b">
        <f>AND(Trans!A233,"AAAAAHt9vjQ=")</f>
        <v>1</v>
      </c>
      <c r="BB19" s="15" t="str">
        <f>AND(Trans!B233,"AAAAAHt9vjU=")</f>
        <v>#VALUE!:noResult:No valid cells found for operation.</v>
      </c>
      <c r="BC19" s="15" t="b">
        <f>AND(Trans!C233,"AAAAAHt9vjY=")</f>
        <v>1</v>
      </c>
      <c r="BD19" s="15" t="b">
        <f>AND(Trans!D233,"AAAAAHt9vjc=")</f>
        <v>1</v>
      </c>
      <c r="BE19" s="15" t="str">
        <f>AND(Trans!E233,"AAAAAHt9vjg=")</f>
        <v>#VALUE!:noResult:No valid cells found for operation.</v>
      </c>
      <c r="BF19" s="15" t="str">
        <f>AND(Trans!F233,"AAAAAHt9vjk=")</f>
        <v>#VALUE!:noResult:No valid cells found for operation.</v>
      </c>
      <c r="BG19" s="15" t="str">
        <f>AND(Trans!G233,"AAAAAHt9vjo=")</f>
        <v>#VALUE!:noResult:No valid cells found for operation.</v>
      </c>
      <c r="BH19" s="15" t="str">
        <f>#REF!</f>
        <v>#VALUE!:noResult:No valid cells found for operation.</v>
      </c>
      <c r="BI19" s="15" t="str">
        <f>AND(Trans!H233,"AAAAAHt9vjw=")</f>
        <v>#VALUE!:noResult:No valid cells found for operation.</v>
      </c>
      <c r="BJ19" s="15" t="str">
        <f>#REF!</f>
        <v>#VALUE!:noResult:No valid cells found for operation.</v>
      </c>
      <c r="BK19" s="15" t="str">
        <f>#REF!</f>
        <v>#VALUE!:noResult:No valid cells found for operation.</v>
      </c>
      <c r="BL19" s="15" t="str">
        <f>#REF!</f>
        <v>#VALUE!:noResult:No valid cells found for operation.</v>
      </c>
      <c r="BM19" s="15" t="str">
        <f>#REF!</f>
        <v>#VALUE!:noResult:No valid cells found for operation.</v>
      </c>
      <c r="BN19" s="15" t="str">
        <f>#REF!</f>
        <v>#VALUE!:noResult:No valid cells found for operation.</v>
      </c>
      <c r="BO19" s="15" t="str">
        <f>#REF!</f>
        <v>#VALUE!:noResult:No valid cells found for operation.</v>
      </c>
      <c r="BP19" s="15">
        <f>IF(Trans!R[215],"AAAAAHt9vkM=",0)</f>
        <v>0</v>
      </c>
      <c r="BQ19" s="15" t="b">
        <f>AND(Trans!A234,"AAAAAHt9vkQ=")</f>
        <v>1</v>
      </c>
      <c r="BR19" s="15" t="str">
        <f>AND(Trans!B234,"AAAAAHt9vkU=")</f>
        <v>#VALUE!:noResult:No valid cells found for operation.</v>
      </c>
      <c r="BS19" s="15" t="b">
        <f>AND(Trans!C234,"AAAAAHt9vkY=")</f>
        <v>1</v>
      </c>
      <c r="BT19" s="15" t="b">
        <f>AND(Trans!D234,"AAAAAHt9vkc=")</f>
        <v>1</v>
      </c>
      <c r="BU19" s="15" t="str">
        <f>AND(Trans!E234,"AAAAAHt9vkg=")</f>
        <v>#VALUE!:noResult:No valid cells found for operation.</v>
      </c>
      <c r="BV19" s="15" t="str">
        <f>AND(Trans!F234,"AAAAAHt9vkk=")</f>
        <v>#VALUE!:noResult:No valid cells found for operation.</v>
      </c>
      <c r="BW19" s="15" t="str">
        <f>AND(Trans!G234,"AAAAAHt9vko=")</f>
        <v>#VALUE!:noResult:No valid cells found for operation.</v>
      </c>
      <c r="BX19" s="15" t="str">
        <f>#REF!</f>
        <v>#VALUE!:noResult:No valid cells found for operation.</v>
      </c>
      <c r="BY19" s="15" t="str">
        <f>AND(Trans!H234,"AAAAAHt9vkw=")</f>
        <v>#VALUE!:noResult:No valid cells found for operation.</v>
      </c>
      <c r="BZ19" s="15" t="str">
        <f>#REF!</f>
        <v>#VALUE!:noResult:No valid cells found for operation.</v>
      </c>
      <c r="CA19" s="15" t="str">
        <f>#REF!</f>
        <v>#VALUE!:noResult:No valid cells found for operation.</v>
      </c>
      <c r="CB19" s="15" t="str">
        <f>#REF!</f>
        <v>#VALUE!:noResult:No valid cells found for operation.</v>
      </c>
      <c r="CC19" s="15" t="str">
        <f>#REF!</f>
        <v>#VALUE!:noResult:No valid cells found for operation.</v>
      </c>
      <c r="CD19" s="15" t="str">
        <f>#REF!</f>
        <v>#VALUE!:noResult:No valid cells found for operation.</v>
      </c>
      <c r="CE19" s="15" t="str">
        <f>#REF!</f>
        <v>#VALUE!:noResult:No valid cells found for operation.</v>
      </c>
      <c r="CF19" s="15">
        <f>IF(Trans!R[216],"AAAAAHt9vlM=",0)</f>
        <v>0</v>
      </c>
      <c r="CG19" s="15" t="b">
        <f>AND(Trans!A235,"AAAAAHt9vlQ=")</f>
        <v>1</v>
      </c>
      <c r="CH19" s="15" t="str">
        <f>AND(Trans!B235,"AAAAAHt9vlU=")</f>
        <v>#VALUE!:noResult:No valid cells found for operation.</v>
      </c>
      <c r="CI19" s="15" t="b">
        <f>AND(Trans!C235,"AAAAAHt9vlY=")</f>
        <v>1</v>
      </c>
      <c r="CJ19" s="15" t="b">
        <f>AND(Trans!D235,"AAAAAHt9vlc=")</f>
        <v>1</v>
      </c>
      <c r="CK19" s="15" t="str">
        <f>AND(Trans!E235,"AAAAAHt9vlg=")</f>
        <v>#VALUE!:noResult:No valid cells found for operation.</v>
      </c>
      <c r="CL19" s="15" t="str">
        <f>AND(Trans!F235,"AAAAAHt9vlk=")</f>
        <v>#VALUE!:noResult:No valid cells found for operation.</v>
      </c>
      <c r="CM19" s="15" t="str">
        <f>AND(Trans!G235,"AAAAAHt9vlo=")</f>
        <v>#VALUE!:noResult:No valid cells found for operation.</v>
      </c>
      <c r="CN19" s="15" t="str">
        <f>#REF!</f>
        <v>#VALUE!:noResult:No valid cells found for operation.</v>
      </c>
      <c r="CO19" s="15" t="str">
        <f>AND(Trans!H235,"AAAAAHt9vlw=")</f>
        <v>#VALUE!:noResult:No valid cells found for operation.</v>
      </c>
      <c r="CP19" s="15" t="str">
        <f>#REF!</f>
        <v>#VALUE!:noResult:No valid cells found for operation.</v>
      </c>
      <c r="CQ19" s="15" t="str">
        <f>#REF!</f>
        <v>#VALUE!:noResult:No valid cells found for operation.</v>
      </c>
      <c r="CR19" s="15" t="str">
        <f>#REF!</f>
        <v>#VALUE!:noResult:No valid cells found for operation.</v>
      </c>
      <c r="CS19" s="15" t="str">
        <f>#REF!</f>
        <v>#VALUE!:noResult:No valid cells found for operation.</v>
      </c>
      <c r="CT19" s="15" t="str">
        <f>#REF!</f>
        <v>#VALUE!:noResult:No valid cells found for operation.</v>
      </c>
      <c r="CU19" s="15" t="str">
        <f>#REF!</f>
        <v>#VALUE!:noResult:No valid cells found for operation.</v>
      </c>
      <c r="CV19" s="15">
        <f>IF(Trans!R[217],"AAAAAHt9vmM=",0)</f>
        <v>0</v>
      </c>
      <c r="CW19" s="15" t="b">
        <f>AND(Trans!A236,"AAAAAHt9vmQ=")</f>
        <v>1</v>
      </c>
      <c r="CX19" s="15" t="str">
        <f>AND(Trans!B236,"AAAAAHt9vmU=")</f>
        <v>#VALUE!:noResult:No valid cells found for operation.</v>
      </c>
      <c r="CY19" s="15" t="b">
        <f>AND(Trans!C236,"AAAAAHt9vmY=")</f>
        <v>1</v>
      </c>
      <c r="CZ19" s="15" t="b">
        <f>AND(Trans!D236,"AAAAAHt9vmc=")</f>
        <v>1</v>
      </c>
      <c r="DA19" s="15" t="str">
        <f>AND(Trans!E236,"AAAAAHt9vmg=")</f>
        <v>#VALUE!:noResult:No valid cells found for operation.</v>
      </c>
      <c r="DB19" s="15" t="str">
        <f>AND(Trans!F236,"AAAAAHt9vmk=")</f>
        <v>#VALUE!:noResult:No valid cells found for operation.</v>
      </c>
      <c r="DC19" s="15" t="str">
        <f>AND(Trans!G236,"AAAAAHt9vmo=")</f>
        <v>#VALUE!:noResult:No valid cells found for operation.</v>
      </c>
      <c r="DD19" s="15" t="str">
        <f>#REF!</f>
        <v>#VALUE!:noResult:No valid cells found for operation.</v>
      </c>
      <c r="DE19" s="15" t="str">
        <f>AND(Trans!H236,"AAAAAHt9vmw=")</f>
        <v>#VALUE!:noResult:No valid cells found for operation.</v>
      </c>
      <c r="DF19" s="15" t="str">
        <f>#REF!</f>
        <v>#VALUE!:noResult:No valid cells found for operation.</v>
      </c>
      <c r="DG19" s="15" t="str">
        <f>#REF!</f>
        <v>#VALUE!:noResult:No valid cells found for operation.</v>
      </c>
      <c r="DH19" s="15" t="str">
        <f>#REF!</f>
        <v>#VALUE!:noResult:No valid cells found for operation.</v>
      </c>
      <c r="DI19" s="15" t="str">
        <f>#REF!</f>
        <v>#VALUE!:noResult:No valid cells found for operation.</v>
      </c>
      <c r="DJ19" s="15" t="str">
        <f>#REF!</f>
        <v>#VALUE!:noResult:No valid cells found for operation.</v>
      </c>
      <c r="DK19" s="15" t="str">
        <f>#REF!</f>
        <v>#VALUE!:noResult:No valid cells found for operation.</v>
      </c>
      <c r="DL19" s="15">
        <f>IF(Trans!R[218],"AAAAAHt9vnM=",0)</f>
        <v>0</v>
      </c>
      <c r="DM19" s="15" t="b">
        <f>AND(Trans!A237,"AAAAAHt9vnQ=")</f>
        <v>1</v>
      </c>
      <c r="DN19" s="15" t="str">
        <f>AND(Trans!B237,"AAAAAHt9vnU=")</f>
        <v>#VALUE!:noResult:No valid cells found for operation.</v>
      </c>
      <c r="DO19" s="15" t="b">
        <f>AND(Trans!C237,"AAAAAHt9vnY=")</f>
        <v>1</v>
      </c>
      <c r="DP19" s="15" t="b">
        <f>AND(Trans!D237,"AAAAAHt9vnc=")</f>
        <v>1</v>
      </c>
      <c r="DQ19" s="15" t="str">
        <f>AND(Trans!E237,"AAAAAHt9vng=")</f>
        <v>#VALUE!:noResult:No valid cells found for operation.</v>
      </c>
      <c r="DR19" s="15" t="str">
        <f>AND(Trans!F237,"AAAAAHt9vnk=")</f>
        <v>#VALUE!:noResult:No valid cells found for operation.</v>
      </c>
      <c r="DS19" s="15" t="str">
        <f>AND(Trans!G237,"AAAAAHt9vno=")</f>
        <v>#VALUE!:noResult:No valid cells found for operation.</v>
      </c>
      <c r="DT19" s="15" t="str">
        <f>#REF!</f>
        <v>#VALUE!:noResult:No valid cells found for operation.</v>
      </c>
      <c r="DU19" s="15" t="str">
        <f>AND(Trans!H237,"AAAAAHt9vnw=")</f>
        <v>#VALUE!:noResult:No valid cells found for operation.</v>
      </c>
      <c r="DV19" s="15" t="str">
        <f>#REF!</f>
        <v>#VALUE!:noResult:No valid cells found for operation.</v>
      </c>
      <c r="DW19" s="15" t="str">
        <f>#REF!</f>
        <v>#VALUE!:noResult:No valid cells found for operation.</v>
      </c>
      <c r="DX19" s="15" t="str">
        <f>#REF!</f>
        <v>#VALUE!:noResult:No valid cells found for operation.</v>
      </c>
      <c r="DY19" s="15" t="str">
        <f>#REF!</f>
        <v>#VALUE!:noResult:No valid cells found for operation.</v>
      </c>
      <c r="DZ19" s="15" t="str">
        <f>#REF!</f>
        <v>#VALUE!:noResult:No valid cells found for operation.</v>
      </c>
      <c r="EA19" s="15" t="str">
        <f>#REF!</f>
        <v>#VALUE!:noResult:No valid cells found for operation.</v>
      </c>
      <c r="EB19" s="15">
        <f>IF(Trans!R[219],"AAAAAHt9voM=",0)</f>
        <v>0</v>
      </c>
      <c r="EC19" s="15" t="b">
        <f>AND(Trans!A238,"AAAAAHt9voQ=")</f>
        <v>1</v>
      </c>
      <c r="ED19" s="15" t="str">
        <f>AND(Trans!B238,"AAAAAHt9voU=")</f>
        <v>#VALUE!:noResult:No valid cells found for operation.</v>
      </c>
      <c r="EE19" s="15" t="b">
        <f>AND(Trans!C238,"AAAAAHt9voY=")</f>
        <v>1</v>
      </c>
      <c r="EF19" s="15" t="b">
        <f>AND(Trans!D238,"AAAAAHt9voc=")</f>
        <v>1</v>
      </c>
      <c r="EG19" s="15" t="str">
        <f>AND(Trans!E238,"AAAAAHt9vog=")</f>
        <v>#VALUE!:noResult:No valid cells found for operation.</v>
      </c>
      <c r="EH19" s="15" t="str">
        <f>AND(Trans!F238,"AAAAAHt9vok=")</f>
        <v>#VALUE!:noResult:No valid cells found for operation.</v>
      </c>
      <c r="EI19" s="15" t="str">
        <f>AND(Trans!G238,"AAAAAHt9voo=")</f>
        <v>#VALUE!:noResult:No valid cells found for operation.</v>
      </c>
      <c r="EJ19" s="15" t="str">
        <f>#REF!</f>
        <v>#VALUE!:noResult:No valid cells found for operation.</v>
      </c>
      <c r="EK19" s="15" t="str">
        <f>AND(Trans!H238,"AAAAAHt9vow=")</f>
        <v>#VALUE!:noResult:No valid cells found for operation.</v>
      </c>
      <c r="EL19" s="15" t="str">
        <f>#REF!</f>
        <v>#VALUE!:noResult:No valid cells found for operation.</v>
      </c>
      <c r="EM19" s="15" t="str">
        <f>#REF!</f>
        <v>#VALUE!:noResult:No valid cells found for operation.</v>
      </c>
      <c r="EN19" s="15" t="str">
        <f>#REF!</f>
        <v>#VALUE!:noResult:No valid cells found for operation.</v>
      </c>
      <c r="EO19" s="15" t="str">
        <f>#REF!</f>
        <v>#VALUE!:noResult:No valid cells found for operation.</v>
      </c>
      <c r="EP19" s="15" t="str">
        <f>#REF!</f>
        <v>#VALUE!:noResult:No valid cells found for operation.</v>
      </c>
      <c r="EQ19" s="15" t="str">
        <f>#REF!</f>
        <v>#VALUE!:noResult:No valid cells found for operation.</v>
      </c>
      <c r="ER19" s="15">
        <f>IF(Trans!R[220],"AAAAAHt9vpM=",0)</f>
        <v>0</v>
      </c>
      <c r="ES19" s="15" t="b">
        <f>AND(Trans!A239,"AAAAAHt9vpQ=")</f>
        <v>1</v>
      </c>
      <c r="ET19" s="15" t="str">
        <f>AND(Trans!B239,"AAAAAHt9vpU=")</f>
        <v>#VALUE!:noResult:No valid cells found for operation.</v>
      </c>
      <c r="EU19" s="15" t="b">
        <f>AND(Trans!C239,"AAAAAHt9vpY=")</f>
        <v>1</v>
      </c>
      <c r="EV19" s="15" t="b">
        <f>AND(Trans!D239,"AAAAAHt9vpc=")</f>
        <v>1</v>
      </c>
      <c r="EW19" s="15" t="str">
        <f>AND(Trans!E239,"AAAAAHt9vpg=")</f>
        <v>#VALUE!:noResult:No valid cells found for operation.</v>
      </c>
      <c r="EX19" s="15" t="str">
        <f>AND(Trans!F239,"AAAAAHt9vpk=")</f>
        <v>#VALUE!:noResult:No valid cells found for operation.</v>
      </c>
      <c r="EY19" s="15" t="str">
        <f>AND(Trans!G239,"AAAAAHt9vpo=")</f>
        <v>#VALUE!:noResult:No valid cells found for operation.</v>
      </c>
      <c r="EZ19" s="15" t="str">
        <f>#REF!</f>
        <v>#VALUE!:noResult:No valid cells found for operation.</v>
      </c>
      <c r="FA19" s="15" t="str">
        <f>AND(Trans!H239,"AAAAAHt9vpw=")</f>
        <v>#VALUE!:noResult:No valid cells found for operation.</v>
      </c>
      <c r="FB19" s="15" t="str">
        <f>#REF!</f>
        <v>#VALUE!:noResult:No valid cells found for operation.</v>
      </c>
      <c r="FC19" s="15" t="str">
        <f>#REF!</f>
        <v>#VALUE!:noResult:No valid cells found for operation.</v>
      </c>
      <c r="FD19" s="15" t="str">
        <f>#REF!</f>
        <v>#VALUE!:noResult:No valid cells found for operation.</v>
      </c>
      <c r="FE19" s="15" t="str">
        <f>#REF!</f>
        <v>#VALUE!:noResult:No valid cells found for operation.</v>
      </c>
      <c r="FF19" s="15" t="str">
        <f>#REF!</f>
        <v>#VALUE!:noResult:No valid cells found for operation.</v>
      </c>
      <c r="FG19" s="15" t="str">
        <f>#REF!</f>
        <v>#VALUE!:noResult:No valid cells found for operation.</v>
      </c>
      <c r="FH19" s="15">
        <f>IF(Trans!R[221],"AAAAAHt9vqM=",0)</f>
        <v>0</v>
      </c>
      <c r="FI19" s="15" t="b">
        <f>AND(Trans!A240,"AAAAAHt9vqQ=")</f>
        <v>1</v>
      </c>
      <c r="FJ19" s="15" t="str">
        <f>AND(Trans!B240,"AAAAAHt9vqU=")</f>
        <v>#VALUE!:noResult:No valid cells found for operation.</v>
      </c>
      <c r="FK19" s="15" t="b">
        <f>AND(Trans!C240,"AAAAAHt9vqY=")</f>
        <v>1</v>
      </c>
      <c r="FL19" s="15" t="b">
        <f>AND(Trans!D240,"AAAAAHt9vqc=")</f>
        <v>1</v>
      </c>
      <c r="FM19" s="15" t="str">
        <f>AND(Trans!E240,"AAAAAHt9vqg=")</f>
        <v>#VALUE!:noResult:No valid cells found for operation.</v>
      </c>
      <c r="FN19" s="15" t="str">
        <f>AND(Trans!F240,"AAAAAHt9vqk=")</f>
        <v>#VALUE!:noResult:No valid cells found for operation.</v>
      </c>
      <c r="FO19" s="15" t="str">
        <f>AND(Trans!G240,"AAAAAHt9vqo=")</f>
        <v>#VALUE!:noResult:No valid cells found for operation.</v>
      </c>
      <c r="FP19" s="15" t="str">
        <f>#REF!</f>
        <v>#VALUE!:noResult:No valid cells found for operation.</v>
      </c>
      <c r="FQ19" s="15" t="str">
        <f>AND(Trans!H240,"AAAAAHt9vqw=")</f>
        <v>#VALUE!:noResult:No valid cells found for operation.</v>
      </c>
      <c r="FR19" s="15" t="str">
        <f>#REF!</f>
        <v>#VALUE!:noResult:No valid cells found for operation.</v>
      </c>
      <c r="FS19" s="15" t="str">
        <f>#REF!</f>
        <v>#VALUE!:noResult:No valid cells found for operation.</v>
      </c>
      <c r="FT19" s="15" t="str">
        <f>#REF!</f>
        <v>#VALUE!:noResult:No valid cells found for operation.</v>
      </c>
      <c r="FU19" s="15" t="str">
        <f>#REF!</f>
        <v>#VALUE!:noResult:No valid cells found for operation.</v>
      </c>
      <c r="FV19" s="15" t="str">
        <f>#REF!</f>
        <v>#VALUE!:noResult:No valid cells found for operation.</v>
      </c>
      <c r="FW19" s="15" t="str">
        <f>#REF!</f>
        <v>#VALUE!:noResult:No valid cells found for operation.</v>
      </c>
      <c r="FX19" s="15">
        <f>IF(Trans!R[222],"AAAAAHt9vrM=",0)</f>
        <v>0</v>
      </c>
      <c r="FY19" s="15" t="b">
        <f>AND(Trans!A241,"AAAAAHt9vrQ=")</f>
        <v>1</v>
      </c>
      <c r="FZ19" s="15" t="str">
        <f>AND(Trans!B241,"AAAAAHt9vrU=")</f>
        <v>#VALUE!:noResult:No valid cells found for operation.</v>
      </c>
      <c r="GA19" s="15" t="b">
        <f>AND(Trans!C241,"AAAAAHt9vrY=")</f>
        <v>1</v>
      </c>
      <c r="GB19" s="15" t="b">
        <f>AND(Trans!D241,"AAAAAHt9vrc=")</f>
        <v>1</v>
      </c>
      <c r="GC19" s="15" t="str">
        <f>AND(Trans!E241,"AAAAAHt9vrg=")</f>
        <v>#VALUE!:noResult:No valid cells found for operation.</v>
      </c>
      <c r="GD19" s="15" t="str">
        <f>AND(Trans!F241,"AAAAAHt9vrk=")</f>
        <v>#VALUE!:noResult:No valid cells found for operation.</v>
      </c>
      <c r="GE19" s="15" t="str">
        <f>AND(Trans!G241,"AAAAAHt9vro=")</f>
        <v>#VALUE!:noResult:No valid cells found for operation.</v>
      </c>
      <c r="GF19" s="15" t="str">
        <f>#REF!</f>
        <v>#VALUE!:noResult:No valid cells found for operation.</v>
      </c>
      <c r="GG19" s="15" t="str">
        <f>AND(Trans!H241,"AAAAAHt9vrw=")</f>
        <v>#VALUE!:noResult:No valid cells found for operation.</v>
      </c>
      <c r="GH19" s="15" t="str">
        <f>#REF!</f>
        <v>#VALUE!:noResult:No valid cells found for operation.</v>
      </c>
      <c r="GI19" s="15" t="str">
        <f>#REF!</f>
        <v>#VALUE!:noResult:No valid cells found for operation.</v>
      </c>
      <c r="GJ19" s="15" t="str">
        <f>#REF!</f>
        <v>#VALUE!:noResult:No valid cells found for operation.</v>
      </c>
      <c r="GK19" s="15" t="str">
        <f>#REF!</f>
        <v>#VALUE!:noResult:No valid cells found for operation.</v>
      </c>
      <c r="GL19" s="15" t="str">
        <f>#REF!</f>
        <v>#VALUE!:noResult:No valid cells found for operation.</v>
      </c>
      <c r="GM19" s="15" t="str">
        <f>#REF!</f>
        <v>#VALUE!:noResult:No valid cells found for operation.</v>
      </c>
      <c r="GN19" s="15">
        <f>IF(Trans!R[223],"AAAAAHt9vsM=",0)</f>
        <v>0</v>
      </c>
      <c r="GO19" s="15" t="b">
        <f>AND(Trans!A242,"AAAAAHt9vsQ=")</f>
        <v>1</v>
      </c>
      <c r="GP19" s="15" t="str">
        <f>AND(Trans!B242,"AAAAAHt9vsU=")</f>
        <v>#VALUE!:noResult:No valid cells found for operation.</v>
      </c>
      <c r="GQ19" s="15" t="b">
        <f>AND(Trans!C242,"AAAAAHt9vsY=")</f>
        <v>1</v>
      </c>
      <c r="GR19" s="15" t="b">
        <f>AND(Trans!D242,"AAAAAHt9vsc=")</f>
        <v>1</v>
      </c>
      <c r="GS19" s="15" t="str">
        <f>AND(Trans!E242,"AAAAAHt9vsg=")</f>
        <v>#VALUE!:noResult:No valid cells found for operation.</v>
      </c>
      <c r="GT19" s="15" t="str">
        <f>AND(Trans!F242,"AAAAAHt9vsk=")</f>
        <v>#VALUE!:noResult:No valid cells found for operation.</v>
      </c>
      <c r="GU19" s="15" t="str">
        <f>AND(Trans!G242,"AAAAAHt9vso=")</f>
        <v>#VALUE!:noResult:No valid cells found for operation.</v>
      </c>
      <c r="GV19" s="15" t="str">
        <f>#REF!</f>
        <v>#VALUE!:noResult:No valid cells found for operation.</v>
      </c>
      <c r="GW19" s="15" t="str">
        <f>AND(Trans!H242,"AAAAAHt9vsw=")</f>
        <v>#VALUE!:noResult:No valid cells found for operation.</v>
      </c>
      <c r="GX19" s="15" t="str">
        <f>#REF!</f>
        <v>#VALUE!:noResult:No valid cells found for operation.</v>
      </c>
      <c r="GY19" s="15" t="str">
        <f>#REF!</f>
        <v>#VALUE!:noResult:No valid cells found for operation.</v>
      </c>
      <c r="GZ19" s="15" t="str">
        <f>#REF!</f>
        <v>#VALUE!:noResult:No valid cells found for operation.</v>
      </c>
      <c r="HA19" s="15" t="str">
        <f>#REF!</f>
        <v>#VALUE!:noResult:No valid cells found for operation.</v>
      </c>
      <c r="HB19" s="15" t="str">
        <f>#REF!</f>
        <v>#VALUE!:noResult:No valid cells found for operation.</v>
      </c>
      <c r="HC19" s="15" t="str">
        <f>#REF!</f>
        <v>#VALUE!:noResult:No valid cells found for operation.</v>
      </c>
      <c r="HD19" s="15">
        <f>IF(Trans!R[224],"AAAAAHt9vtM=",0)</f>
        <v>0</v>
      </c>
      <c r="HE19" s="15" t="b">
        <f>AND(Trans!A243,"AAAAAHt9vtQ=")</f>
        <v>1</v>
      </c>
      <c r="HF19" s="15" t="str">
        <f>AND(Trans!B243,"AAAAAHt9vtU=")</f>
        <v>#VALUE!:noResult:No valid cells found for operation.</v>
      </c>
      <c r="HG19" s="15" t="b">
        <f>AND(Trans!C243,"AAAAAHt9vtY=")</f>
        <v>1</v>
      </c>
      <c r="HH19" s="15" t="b">
        <f>AND(Trans!D243,"AAAAAHt9vtc=")</f>
        <v>1</v>
      </c>
      <c r="HI19" s="15" t="str">
        <f>AND(Trans!E243,"AAAAAHt9vtg=")</f>
        <v>#VALUE!:noResult:No valid cells found for operation.</v>
      </c>
      <c r="HJ19" s="15" t="str">
        <f>AND(Trans!F243,"AAAAAHt9vtk=")</f>
        <v>#VALUE!:noResult:No valid cells found for operation.</v>
      </c>
      <c r="HK19" s="15" t="str">
        <f>AND(Trans!G243,"AAAAAHt9vto=")</f>
        <v>#VALUE!:noResult:No valid cells found for operation.</v>
      </c>
      <c r="HL19" s="15" t="str">
        <f>#REF!</f>
        <v>#VALUE!:noResult:No valid cells found for operation.</v>
      </c>
      <c r="HM19" s="15" t="str">
        <f>AND(Trans!H243,"AAAAAHt9vtw=")</f>
        <v>#VALUE!:noResult:No valid cells found for operation.</v>
      </c>
      <c r="HN19" s="15" t="str">
        <f>#REF!</f>
        <v>#VALUE!:noResult:No valid cells found for operation.</v>
      </c>
      <c r="HO19" s="15" t="str">
        <f>#REF!</f>
        <v>#VALUE!:noResult:No valid cells found for operation.</v>
      </c>
      <c r="HP19" s="15" t="str">
        <f>#REF!</f>
        <v>#VALUE!:noResult:No valid cells found for operation.</v>
      </c>
      <c r="HQ19" s="15" t="str">
        <f>#REF!</f>
        <v>#VALUE!:noResult:No valid cells found for operation.</v>
      </c>
      <c r="HR19" s="15" t="str">
        <f>#REF!</f>
        <v>#VALUE!:noResult:No valid cells found for operation.</v>
      </c>
      <c r="HS19" s="15" t="str">
        <f>#REF!</f>
        <v>#VALUE!:noResult:No valid cells found for operation.</v>
      </c>
      <c r="HT19" s="15">
        <f>IF(Trans!R[225],"AAAAAHt9vuM=",0)</f>
        <v>0</v>
      </c>
      <c r="HU19" s="15" t="b">
        <f>AND(Trans!A244,"AAAAAHt9vuQ=")</f>
        <v>1</v>
      </c>
      <c r="HV19" s="15" t="str">
        <f>AND(Trans!B244,"AAAAAHt9vuU=")</f>
        <v>#VALUE!:noResult:No valid cells found for operation.</v>
      </c>
      <c r="HW19" s="15" t="b">
        <f>AND(Trans!C244,"AAAAAHt9vuY=")</f>
        <v>1</v>
      </c>
      <c r="HX19" s="15" t="b">
        <f>AND(Trans!D244,"AAAAAHt9vuc=")</f>
        <v>1</v>
      </c>
      <c r="HY19" s="15" t="str">
        <f>AND(Trans!E244,"AAAAAHt9vug=")</f>
        <v>#VALUE!:noResult:No valid cells found for operation.</v>
      </c>
      <c r="HZ19" s="15" t="str">
        <f>AND(Trans!F244,"AAAAAHt9vuk=")</f>
        <v>#VALUE!:noResult:No valid cells found for operation.</v>
      </c>
      <c r="IA19" s="15" t="str">
        <f>AND(Trans!G244,"AAAAAHt9vuo=")</f>
        <v>#VALUE!:noResult:No valid cells found for operation.</v>
      </c>
      <c r="IB19" s="15" t="str">
        <f>#REF!</f>
        <v>#VALUE!:noResult:No valid cells found for operation.</v>
      </c>
      <c r="IC19" s="15" t="str">
        <f>AND(Trans!H244,"AAAAAHt9vuw=")</f>
        <v>#VALUE!:noResult:No valid cells found for operation.</v>
      </c>
      <c r="ID19" s="15" t="str">
        <f>#REF!</f>
        <v>#VALUE!:noResult:No valid cells found for operation.</v>
      </c>
      <c r="IE19" s="15" t="str">
        <f>#REF!</f>
        <v>#VALUE!:noResult:No valid cells found for operation.</v>
      </c>
      <c r="IF19" s="15" t="str">
        <f>#REF!</f>
        <v>#VALUE!:noResult:No valid cells found for operation.</v>
      </c>
      <c r="IG19" s="15" t="str">
        <f>#REF!</f>
        <v>#VALUE!:noResult:No valid cells found for operation.</v>
      </c>
      <c r="IH19" s="15" t="str">
        <f>#REF!</f>
        <v>#VALUE!:noResult:No valid cells found for operation.</v>
      </c>
      <c r="II19" s="15" t="str">
        <f>#REF!</f>
        <v>#VALUE!:noResult:No valid cells found for operation.</v>
      </c>
      <c r="IJ19" s="15">
        <f>IF(Trans!R[226],"AAAAAHt9vvM=",0)</f>
        <v>0</v>
      </c>
      <c r="IK19" s="15" t="b">
        <f>AND(Trans!A245,"AAAAAHt9vvQ=")</f>
        <v>1</v>
      </c>
      <c r="IL19" s="15" t="str">
        <f>AND(Trans!B245,"AAAAAHt9vvU=")</f>
        <v>#VALUE!:noResult:No valid cells found for operation.</v>
      </c>
      <c r="IM19" s="15" t="b">
        <f>AND(Trans!C245,"AAAAAHt9vvY=")</f>
        <v>1</v>
      </c>
      <c r="IN19" s="15" t="b">
        <f>AND(Trans!D245,"AAAAAHt9vvc=")</f>
        <v>1</v>
      </c>
      <c r="IO19" s="15" t="str">
        <f>AND(Trans!E245,"AAAAAHt9vvg=")</f>
        <v>#VALUE!:noResult:No valid cells found for operation.</v>
      </c>
      <c r="IP19" s="15" t="str">
        <f>AND(Trans!F245,"AAAAAHt9vvk=")</f>
        <v>#VALUE!:noResult:No valid cells found for operation.</v>
      </c>
      <c r="IQ19" s="15" t="str">
        <f>AND(Trans!G245,"AAAAAHt9vvo=")</f>
        <v>#VALUE!:noResult:No valid cells found for operation.</v>
      </c>
      <c r="IR19" s="15" t="str">
        <f>#REF!</f>
        <v>#VALUE!:noResult:No valid cells found for operation.</v>
      </c>
      <c r="IS19" s="15" t="str">
        <f>AND(Trans!H245,"AAAAAHt9vvw=")</f>
        <v>#VALUE!:noResult:No valid cells found for operation.</v>
      </c>
      <c r="IT19" s="15" t="str">
        <f>#REF!</f>
        <v>#VALUE!:noResult:No valid cells found for operation.</v>
      </c>
      <c r="IU19" s="15" t="str">
        <f>#REF!</f>
        <v>#VALUE!:noResult:No valid cells found for operation.</v>
      </c>
      <c r="IV19" s="15" t="str">
        <f>#REF!</f>
        <v>#VALUE!:noResult:No valid cells found for operation.</v>
      </c>
    </row>
    <row r="20">
      <c r="A20" s="15" t="str">
        <f>#REF!</f>
        <v>#VALUE!:noResult:No valid cells found for operation.</v>
      </c>
      <c r="B20" s="15" t="str">
        <f>#REF!</f>
        <v>#VALUE!:noResult:No valid cells found for operation.</v>
      </c>
      <c r="C20" s="15" t="str">
        <f>#REF!</f>
        <v>#VALUE!:noResult:No valid cells found for operation.</v>
      </c>
      <c r="D20" s="15" t="str">
        <f>IF(Trans!R[226],"AAAAAH39/gM=",0)</f>
        <v>AAAAAH39/gM=</v>
      </c>
      <c r="E20" s="15" t="b">
        <f>AND(Trans!A246,"AAAAAH39/gQ=")</f>
        <v>1</v>
      </c>
      <c r="F20" s="15" t="str">
        <f>AND(Trans!B246,"AAAAAH39/gU=")</f>
        <v>#VALUE!:noResult:No valid cells found for operation.</v>
      </c>
      <c r="G20" s="15" t="b">
        <f>AND(Trans!C246,"AAAAAH39/gY=")</f>
        <v>1</v>
      </c>
      <c r="H20" s="15" t="b">
        <f>AND(Trans!D246,"AAAAAH39/gc=")</f>
        <v>1</v>
      </c>
      <c r="I20" s="15" t="str">
        <f>AND(Trans!E246,"AAAAAH39/gg=")</f>
        <v>#VALUE!:noResult:No valid cells found for operation.</v>
      </c>
      <c r="J20" s="15" t="str">
        <f>AND(Trans!F246,"AAAAAH39/gk=")</f>
        <v>#VALUE!:noResult:No valid cells found for operation.</v>
      </c>
      <c r="K20" s="15" t="str">
        <f>AND(Trans!G246,"AAAAAH39/go=")</f>
        <v>#VALUE!:noResult:No valid cells found for operation.</v>
      </c>
      <c r="L20" s="15" t="str">
        <f>#REF!</f>
        <v>#VALUE!:noResult:No valid cells found for operation.</v>
      </c>
      <c r="M20" s="15" t="str">
        <f>AND(Trans!H246,"AAAAAH39/gw=")</f>
        <v>#VALUE!:noResult:No valid cells found for operation.</v>
      </c>
      <c r="N20" s="15" t="str">
        <f>#REF!</f>
        <v>#VALUE!:noResult:No valid cells found for operation.</v>
      </c>
      <c r="O20" s="15" t="str">
        <f>#REF!</f>
        <v>#VALUE!:noResult:No valid cells found for operation.</v>
      </c>
      <c r="P20" s="15" t="str">
        <f>#REF!</f>
        <v>#VALUE!:noResult:No valid cells found for operation.</v>
      </c>
      <c r="Q20" s="15" t="str">
        <f>#REF!</f>
        <v>#VALUE!:noResult:No valid cells found for operation.</v>
      </c>
      <c r="R20" s="15" t="str">
        <f>#REF!</f>
        <v>#VALUE!:noResult:No valid cells found for operation.</v>
      </c>
      <c r="S20" s="15" t="str">
        <f>#REF!</f>
        <v>#VALUE!:noResult:No valid cells found for operation.</v>
      </c>
      <c r="T20" s="15">
        <f>IF(Trans!R[227],"AAAAAH39/hM=",0)</f>
        <v>0</v>
      </c>
      <c r="U20" s="15" t="b">
        <f>AND(Trans!A247,"AAAAAH39/hQ=")</f>
        <v>1</v>
      </c>
      <c r="V20" s="15" t="str">
        <f>AND(Trans!B247,"AAAAAH39/hU=")</f>
        <v>#VALUE!:noResult:No valid cells found for operation.</v>
      </c>
      <c r="W20" s="15" t="b">
        <f>AND(Trans!C247,"AAAAAH39/hY=")</f>
        <v>1</v>
      </c>
      <c r="X20" s="15" t="b">
        <f>AND(Trans!D247,"AAAAAH39/hc=")</f>
        <v>1</v>
      </c>
      <c r="Y20" s="15" t="str">
        <f>AND(Trans!E247,"AAAAAH39/hg=")</f>
        <v>#VALUE!:noResult:No valid cells found for operation.</v>
      </c>
      <c r="Z20" s="15" t="str">
        <f>AND(Trans!F247,"AAAAAH39/hk=")</f>
        <v>#VALUE!:noResult:No valid cells found for operation.</v>
      </c>
      <c r="AA20" s="15" t="str">
        <f>AND(Trans!G247,"AAAAAH39/ho=")</f>
        <v>#VALUE!:noResult:No valid cells found for operation.</v>
      </c>
      <c r="AB20" s="15" t="str">
        <f>#REF!</f>
        <v>#VALUE!:noResult:No valid cells found for operation.</v>
      </c>
      <c r="AC20" s="15" t="str">
        <f>AND(Trans!H247,"AAAAAH39/hw=")</f>
        <v>#VALUE!:noResult:No valid cells found for operation.</v>
      </c>
      <c r="AD20" s="15" t="str">
        <f>#REF!</f>
        <v>#VALUE!:noResult:No valid cells found for operation.</v>
      </c>
      <c r="AE20" s="15" t="str">
        <f>#REF!</f>
        <v>#VALUE!:noResult:No valid cells found for operation.</v>
      </c>
      <c r="AF20" s="15" t="str">
        <f>#REF!</f>
        <v>#VALUE!:noResult:No valid cells found for operation.</v>
      </c>
      <c r="AG20" s="15" t="str">
        <f>#REF!</f>
        <v>#VALUE!:noResult:No valid cells found for operation.</v>
      </c>
      <c r="AH20" s="15" t="str">
        <f>#REF!</f>
        <v>#VALUE!:noResult:No valid cells found for operation.</v>
      </c>
      <c r="AI20" s="15" t="str">
        <f>#REF!</f>
        <v>#VALUE!:noResult:No valid cells found for operation.</v>
      </c>
      <c r="AJ20" s="15">
        <f>IF(Trans!R[228],"AAAAAH39/iM=",0)</f>
        <v>0</v>
      </c>
      <c r="AK20" s="15" t="b">
        <f>AND(Trans!A248,"AAAAAH39/iQ=")</f>
        <v>1</v>
      </c>
      <c r="AL20" s="15" t="str">
        <f>AND(Trans!B248,"AAAAAH39/iU=")</f>
        <v>#VALUE!:noResult:No valid cells found for operation.</v>
      </c>
      <c r="AM20" s="15" t="b">
        <f>AND(Trans!C248,"AAAAAH39/iY=")</f>
        <v>1</v>
      </c>
      <c r="AN20" s="15" t="b">
        <f>AND(Trans!D248,"AAAAAH39/ic=")</f>
        <v>1</v>
      </c>
      <c r="AO20" s="15" t="str">
        <f>AND(Trans!E248,"AAAAAH39/ig=")</f>
        <v>#VALUE!:noResult:No valid cells found for operation.</v>
      </c>
      <c r="AP20" s="15" t="str">
        <f>AND(Trans!F248,"AAAAAH39/ik=")</f>
        <v>#VALUE!:noResult:No valid cells found for operation.</v>
      </c>
      <c r="AQ20" s="15" t="str">
        <f>AND(Trans!G248,"AAAAAH39/io=")</f>
        <v>#VALUE!:noResult:No valid cells found for operation.</v>
      </c>
      <c r="AR20" s="15" t="str">
        <f>#REF!</f>
        <v>#VALUE!:noResult:No valid cells found for operation.</v>
      </c>
      <c r="AS20" s="15" t="str">
        <f>AND(Trans!H248,"AAAAAH39/iw=")</f>
        <v>#VALUE!:noResult:No valid cells found for operation.</v>
      </c>
      <c r="AT20" s="15" t="str">
        <f>#REF!</f>
        <v>#VALUE!:noResult:No valid cells found for operation.</v>
      </c>
      <c r="AU20" s="15" t="str">
        <f>#REF!</f>
        <v>#VALUE!:noResult:No valid cells found for operation.</v>
      </c>
      <c r="AV20" s="15" t="str">
        <f>#REF!</f>
        <v>#VALUE!:noResult:No valid cells found for operation.</v>
      </c>
      <c r="AW20" s="15" t="str">
        <f>#REF!</f>
        <v>#VALUE!:noResult:No valid cells found for operation.</v>
      </c>
      <c r="AX20" s="15" t="str">
        <f>#REF!</f>
        <v>#VALUE!:noResult:No valid cells found for operation.</v>
      </c>
      <c r="AY20" s="15" t="str">
        <f>#REF!</f>
        <v>#VALUE!:noResult:No valid cells found for operation.</v>
      </c>
      <c r="AZ20" s="15">
        <f>IF(Trans!R[229],"AAAAAH39/jM=",0)</f>
        <v>0</v>
      </c>
      <c r="BA20" s="15" t="b">
        <f>AND(Trans!A249,"AAAAAH39/jQ=")</f>
        <v>1</v>
      </c>
      <c r="BB20" s="15" t="str">
        <f>AND(Trans!B249,"AAAAAH39/jU=")</f>
        <v>#VALUE!:noResult:No valid cells found for operation.</v>
      </c>
      <c r="BC20" s="15" t="b">
        <f>AND(Trans!C249,"AAAAAH39/jY=")</f>
        <v>1</v>
      </c>
      <c r="BD20" s="15" t="b">
        <f>AND(Trans!D249,"AAAAAH39/jc=")</f>
        <v>1</v>
      </c>
      <c r="BE20" s="15" t="str">
        <f>AND(Trans!E249,"AAAAAH39/jg=")</f>
        <v>#VALUE!:noResult:No valid cells found for operation.</v>
      </c>
      <c r="BF20" s="15" t="str">
        <f>AND(Trans!F249,"AAAAAH39/jk=")</f>
        <v>#VALUE!:noResult:No valid cells found for operation.</v>
      </c>
      <c r="BG20" s="15" t="str">
        <f>AND(Trans!G249,"AAAAAH39/jo=")</f>
        <v>#VALUE!:noResult:No valid cells found for operation.</v>
      </c>
      <c r="BH20" s="15" t="str">
        <f>#REF!</f>
        <v>#VALUE!:noResult:No valid cells found for operation.</v>
      </c>
      <c r="BI20" s="15" t="str">
        <f>AND(Trans!H249,"AAAAAH39/jw=")</f>
        <v>#VALUE!:noResult:No valid cells found for operation.</v>
      </c>
      <c r="BJ20" s="15" t="str">
        <f>#REF!</f>
        <v>#VALUE!:noResult:No valid cells found for operation.</v>
      </c>
      <c r="BK20" s="15" t="str">
        <f>#REF!</f>
        <v>#VALUE!:noResult:No valid cells found for operation.</v>
      </c>
      <c r="BL20" s="15" t="str">
        <f>#REF!</f>
        <v>#VALUE!:noResult:No valid cells found for operation.</v>
      </c>
      <c r="BM20" s="15" t="str">
        <f>#REF!</f>
        <v>#VALUE!:noResult:No valid cells found for operation.</v>
      </c>
      <c r="BN20" s="15" t="str">
        <f>#REF!</f>
        <v>#VALUE!:noResult:No valid cells found for operation.</v>
      </c>
      <c r="BO20" s="15" t="str">
        <f>#REF!</f>
        <v>#VALUE!:noResult:No valid cells found for operation.</v>
      </c>
      <c r="BP20" s="15">
        <f>IF(Trans!R[230],"AAAAAH39/kM=",0)</f>
        <v>0</v>
      </c>
      <c r="BQ20" s="15" t="b">
        <f>AND(Trans!A250,"AAAAAH39/kQ=")</f>
        <v>1</v>
      </c>
      <c r="BR20" s="15" t="str">
        <f>AND(Trans!B250,"AAAAAH39/kU=")</f>
        <v>#VALUE!:noResult:No valid cells found for operation.</v>
      </c>
      <c r="BS20" s="15" t="b">
        <f>AND(Trans!C250,"AAAAAH39/kY=")</f>
        <v>1</v>
      </c>
      <c r="BT20" s="15" t="b">
        <f>AND(Trans!D250,"AAAAAH39/kc=")</f>
        <v>1</v>
      </c>
      <c r="BU20" s="15" t="str">
        <f>AND(Trans!E250,"AAAAAH39/kg=")</f>
        <v>#VALUE!:noResult:No valid cells found for operation.</v>
      </c>
      <c r="BV20" s="15" t="str">
        <f>AND(Trans!F250,"AAAAAH39/kk=")</f>
        <v>#VALUE!:noResult:No valid cells found for operation.</v>
      </c>
      <c r="BW20" s="15" t="str">
        <f>AND(Trans!G250,"AAAAAH39/ko=")</f>
        <v>#VALUE!:noResult:No valid cells found for operation.</v>
      </c>
      <c r="BX20" s="15" t="str">
        <f>#REF!</f>
        <v>#VALUE!:noResult:No valid cells found for operation.</v>
      </c>
      <c r="BY20" s="15" t="str">
        <f>AND(Trans!H250,"AAAAAH39/kw=")</f>
        <v>#VALUE!:noResult:No valid cells found for operation.</v>
      </c>
      <c r="BZ20" s="15" t="str">
        <f>#REF!</f>
        <v>#VALUE!:noResult:No valid cells found for operation.</v>
      </c>
      <c r="CA20" s="15" t="str">
        <f>#REF!</f>
        <v>#VALUE!:noResult:No valid cells found for operation.</v>
      </c>
      <c r="CB20" s="15" t="str">
        <f>#REF!</f>
        <v>#VALUE!:noResult:No valid cells found for operation.</v>
      </c>
      <c r="CC20" s="15" t="str">
        <f>#REF!</f>
        <v>#VALUE!:noResult:No valid cells found for operation.</v>
      </c>
      <c r="CD20" s="15" t="str">
        <f>#REF!</f>
        <v>#VALUE!:noResult:No valid cells found for operation.</v>
      </c>
      <c r="CE20" s="15" t="str">
        <f>#REF!</f>
        <v>#VALUE!:noResult:No valid cells found for operation.</v>
      </c>
      <c r="CF20" s="15">
        <f>IF(Trans!R[231],"AAAAAH39/lM=",0)</f>
        <v>0</v>
      </c>
      <c r="CG20" s="15" t="b">
        <f>AND(Trans!A251,"AAAAAH39/lQ=")</f>
        <v>1</v>
      </c>
      <c r="CH20" s="15" t="str">
        <f>AND(Trans!B251,"AAAAAH39/lU=")</f>
        <v>#VALUE!:noResult:No valid cells found for operation.</v>
      </c>
      <c r="CI20" s="15" t="b">
        <f>AND(Trans!C251,"AAAAAH39/lY=")</f>
        <v>1</v>
      </c>
      <c r="CJ20" s="15" t="b">
        <f>AND(Trans!D251,"AAAAAH39/lc=")</f>
        <v>1</v>
      </c>
      <c r="CK20" s="15" t="str">
        <f>AND(Trans!E251,"AAAAAH39/lg=")</f>
        <v>#VALUE!:noResult:No valid cells found for operation.</v>
      </c>
      <c r="CL20" s="15" t="str">
        <f>AND(Trans!F251,"AAAAAH39/lk=")</f>
        <v>#VALUE!:noResult:No valid cells found for operation.</v>
      </c>
      <c r="CM20" s="15" t="str">
        <f>AND(Trans!G251,"AAAAAH39/lo=")</f>
        <v>#VALUE!:noResult:No valid cells found for operation.</v>
      </c>
      <c r="CN20" s="15" t="str">
        <f>#REF!</f>
        <v>#VALUE!:noResult:No valid cells found for operation.</v>
      </c>
      <c r="CO20" s="15" t="str">
        <f>AND(Trans!H251,"AAAAAH39/lw=")</f>
        <v>#VALUE!:noResult:No valid cells found for operation.</v>
      </c>
      <c r="CP20" s="15" t="str">
        <f>#REF!</f>
        <v>#VALUE!:noResult:No valid cells found for operation.</v>
      </c>
      <c r="CQ20" s="15" t="str">
        <f>#REF!</f>
        <v>#VALUE!:noResult:No valid cells found for operation.</v>
      </c>
      <c r="CR20" s="15" t="str">
        <f>#REF!</f>
        <v>#VALUE!:noResult:No valid cells found for operation.</v>
      </c>
      <c r="CS20" s="15" t="str">
        <f>#REF!</f>
        <v>#VALUE!:noResult:No valid cells found for operation.</v>
      </c>
      <c r="CT20" s="15" t="str">
        <f>#REF!</f>
        <v>#VALUE!:noResult:No valid cells found for operation.</v>
      </c>
      <c r="CU20" s="15" t="str">
        <f>#REF!</f>
        <v>#VALUE!:noResult:No valid cells found for operation.</v>
      </c>
      <c r="CV20" s="15">
        <f>IF(Trans!R[232],"AAAAAH39/mM=",0)</f>
        <v>0</v>
      </c>
      <c r="CW20" s="15" t="b">
        <f>AND(Trans!A252,"AAAAAH39/mQ=")</f>
        <v>1</v>
      </c>
      <c r="CX20" s="15" t="str">
        <f>AND(Trans!B252,"AAAAAH39/mU=")</f>
        <v>#VALUE!:noResult:No valid cells found for operation.</v>
      </c>
      <c r="CY20" s="15" t="b">
        <f>AND(Trans!C252,"AAAAAH39/mY=")</f>
        <v>1</v>
      </c>
      <c r="CZ20" s="15" t="b">
        <f>AND(Trans!D252,"AAAAAH39/mc=")</f>
        <v>1</v>
      </c>
      <c r="DA20" s="15" t="str">
        <f>AND(Trans!E252,"AAAAAH39/mg=")</f>
        <v>#VALUE!:noResult:No valid cells found for operation.</v>
      </c>
      <c r="DB20" s="15" t="str">
        <f>AND(Trans!F252,"AAAAAH39/mk=")</f>
        <v>#VALUE!:noResult:No valid cells found for operation.</v>
      </c>
      <c r="DC20" s="15" t="str">
        <f>AND(Trans!G252,"AAAAAH39/mo=")</f>
        <v>#VALUE!:noResult:No valid cells found for operation.</v>
      </c>
      <c r="DD20" s="15" t="str">
        <f>#REF!</f>
        <v>#VALUE!:noResult:No valid cells found for operation.</v>
      </c>
      <c r="DE20" s="15" t="str">
        <f>AND(Trans!H252,"AAAAAH39/mw=")</f>
        <v>#VALUE!:noResult:No valid cells found for operation.</v>
      </c>
      <c r="DF20" s="15" t="str">
        <f>#REF!</f>
        <v>#VALUE!:noResult:No valid cells found for operation.</v>
      </c>
      <c r="DG20" s="15" t="str">
        <f>#REF!</f>
        <v>#VALUE!:noResult:No valid cells found for operation.</v>
      </c>
      <c r="DH20" s="15" t="str">
        <f>#REF!</f>
        <v>#VALUE!:noResult:No valid cells found for operation.</v>
      </c>
      <c r="DI20" s="15" t="str">
        <f>#REF!</f>
        <v>#VALUE!:noResult:No valid cells found for operation.</v>
      </c>
      <c r="DJ20" s="15" t="str">
        <f>#REF!</f>
        <v>#VALUE!:noResult:No valid cells found for operation.</v>
      </c>
      <c r="DK20" s="15" t="str">
        <f>#REF!</f>
        <v>#VALUE!:noResult:No valid cells found for operation.</v>
      </c>
      <c r="DL20" s="15">
        <f>IF(Trans!R[233],"AAAAAH39/nM=",0)</f>
        <v>0</v>
      </c>
      <c r="DM20" s="15" t="b">
        <f>AND(Trans!A253,"AAAAAH39/nQ=")</f>
        <v>1</v>
      </c>
      <c r="DN20" s="15" t="str">
        <f>AND(Trans!B253,"AAAAAH39/nU=")</f>
        <v>#VALUE!:noResult:No valid cells found for operation.</v>
      </c>
      <c r="DO20" s="15" t="b">
        <f>AND(Trans!C253,"AAAAAH39/nY=")</f>
        <v>1</v>
      </c>
      <c r="DP20" s="15" t="b">
        <f>AND(Trans!D253,"AAAAAH39/nc=")</f>
        <v>1</v>
      </c>
      <c r="DQ20" s="15" t="str">
        <f>AND(Trans!E253,"AAAAAH39/ng=")</f>
        <v>#VALUE!:noResult:No valid cells found for operation.</v>
      </c>
      <c r="DR20" s="15" t="str">
        <f>AND(Trans!F253,"AAAAAH39/nk=")</f>
        <v>#VALUE!:noResult:No valid cells found for operation.</v>
      </c>
      <c r="DS20" s="15" t="str">
        <f>AND(Trans!G253,"AAAAAH39/no=")</f>
        <v>#VALUE!:noResult:No valid cells found for operation.</v>
      </c>
      <c r="DT20" s="15" t="str">
        <f>#REF!</f>
        <v>#VALUE!:noResult:No valid cells found for operation.</v>
      </c>
      <c r="DU20" s="15" t="str">
        <f>AND(Trans!H253,"AAAAAH39/nw=")</f>
        <v>#VALUE!:noResult:No valid cells found for operation.</v>
      </c>
      <c r="DV20" s="15" t="str">
        <f>#REF!</f>
        <v>#VALUE!:noResult:No valid cells found for operation.</v>
      </c>
      <c r="DW20" s="15" t="str">
        <f>#REF!</f>
        <v>#VALUE!:noResult:No valid cells found for operation.</v>
      </c>
      <c r="DX20" s="15" t="str">
        <f>#REF!</f>
        <v>#VALUE!:noResult:No valid cells found for operation.</v>
      </c>
      <c r="DY20" s="15" t="str">
        <f>#REF!</f>
        <v>#VALUE!:noResult:No valid cells found for operation.</v>
      </c>
      <c r="DZ20" s="15" t="str">
        <f>#REF!</f>
        <v>#VALUE!:noResult:No valid cells found for operation.</v>
      </c>
      <c r="EA20" s="15" t="str">
        <f>#REF!</f>
        <v>#VALUE!:noResult:No valid cells found for operation.</v>
      </c>
      <c r="EB20" s="15">
        <f>IF(Trans!R[234],"AAAAAH39/oM=",0)</f>
        <v>0</v>
      </c>
      <c r="EC20" s="15" t="b">
        <f>AND(Trans!A254,"AAAAAH39/oQ=")</f>
        <v>1</v>
      </c>
      <c r="ED20" s="15" t="str">
        <f>AND(Trans!B254,"AAAAAH39/oU=")</f>
        <v>#VALUE!:noResult:No valid cells found for operation.</v>
      </c>
      <c r="EE20" s="15" t="b">
        <f>AND(Trans!C254,"AAAAAH39/oY=")</f>
        <v>1</v>
      </c>
      <c r="EF20" s="15" t="b">
        <f>AND(Trans!D254,"AAAAAH39/oc=")</f>
        <v>1</v>
      </c>
      <c r="EG20" s="15" t="str">
        <f>AND(Trans!E254,"AAAAAH39/og=")</f>
        <v>#VALUE!:noResult:No valid cells found for operation.</v>
      </c>
      <c r="EH20" s="15" t="str">
        <f>AND(Trans!F254,"AAAAAH39/ok=")</f>
        <v>#VALUE!:noResult:No valid cells found for operation.</v>
      </c>
      <c r="EI20" s="15" t="str">
        <f>AND(Trans!G254,"AAAAAH39/oo=")</f>
        <v>#VALUE!:noResult:No valid cells found for operation.</v>
      </c>
      <c r="EJ20" s="15" t="str">
        <f>#REF!</f>
        <v>#VALUE!:noResult:No valid cells found for operation.</v>
      </c>
      <c r="EK20" s="15" t="str">
        <f>AND(Trans!H254,"AAAAAH39/ow=")</f>
        <v>#VALUE!:noResult:No valid cells found for operation.</v>
      </c>
      <c r="EL20" s="15" t="str">
        <f>#REF!</f>
        <v>#VALUE!:noResult:No valid cells found for operation.</v>
      </c>
      <c r="EM20" s="15" t="str">
        <f>#REF!</f>
        <v>#VALUE!:noResult:No valid cells found for operation.</v>
      </c>
      <c r="EN20" s="15" t="str">
        <f>#REF!</f>
        <v>#VALUE!:noResult:No valid cells found for operation.</v>
      </c>
      <c r="EO20" s="15" t="str">
        <f>#REF!</f>
        <v>#VALUE!:noResult:No valid cells found for operation.</v>
      </c>
      <c r="EP20" s="15" t="str">
        <f>#REF!</f>
        <v>#VALUE!:noResult:No valid cells found for operation.</v>
      </c>
      <c r="EQ20" s="15" t="str">
        <f>#REF!</f>
        <v>#VALUE!:noResult:No valid cells found for operation.</v>
      </c>
      <c r="ER20" s="15">
        <f>IF(Trans!R[235],"AAAAAH39/pM=",0)</f>
        <v>0</v>
      </c>
      <c r="ES20" s="15" t="b">
        <f>AND(Trans!A255,"AAAAAH39/pQ=")</f>
        <v>1</v>
      </c>
      <c r="ET20" s="15" t="str">
        <f>AND(Trans!B255,"AAAAAH39/pU=")</f>
        <v>#VALUE!:noResult:No valid cells found for operation.</v>
      </c>
      <c r="EU20" s="15" t="b">
        <f>AND(Trans!C255,"AAAAAH39/pY=")</f>
        <v>1</v>
      </c>
      <c r="EV20" s="15" t="b">
        <f>AND(Trans!D255,"AAAAAH39/pc=")</f>
        <v>1</v>
      </c>
      <c r="EW20" s="15" t="str">
        <f>AND(Trans!E255,"AAAAAH39/pg=")</f>
        <v>#VALUE!:noResult:No valid cells found for operation.</v>
      </c>
      <c r="EX20" s="15" t="str">
        <f>AND(Trans!F255,"AAAAAH39/pk=")</f>
        <v>#VALUE!:noResult:No valid cells found for operation.</v>
      </c>
      <c r="EY20" s="15" t="str">
        <f>AND(Trans!G255,"AAAAAH39/po=")</f>
        <v>#VALUE!:noResult:No valid cells found for operation.</v>
      </c>
      <c r="EZ20" s="15" t="str">
        <f>#REF!</f>
        <v>#VALUE!:noResult:No valid cells found for operation.</v>
      </c>
      <c r="FA20" s="15" t="str">
        <f>AND(Trans!H255,"AAAAAH39/pw=")</f>
        <v>#VALUE!:noResult:No valid cells found for operation.</v>
      </c>
      <c r="FB20" s="15" t="str">
        <f>#REF!</f>
        <v>#VALUE!:noResult:No valid cells found for operation.</v>
      </c>
      <c r="FC20" s="15" t="str">
        <f>#REF!</f>
        <v>#VALUE!:noResult:No valid cells found for operation.</v>
      </c>
      <c r="FD20" s="15" t="str">
        <f>#REF!</f>
        <v>#VALUE!:noResult:No valid cells found for operation.</v>
      </c>
      <c r="FE20" s="15" t="str">
        <f>#REF!</f>
        <v>#VALUE!:noResult:No valid cells found for operation.</v>
      </c>
      <c r="FF20" s="15" t="str">
        <f>#REF!</f>
        <v>#VALUE!:noResult:No valid cells found for operation.</v>
      </c>
      <c r="FG20" s="15" t="str">
        <f>#REF!</f>
        <v>#VALUE!:noResult:No valid cells found for operation.</v>
      </c>
      <c r="FH20" s="15">
        <f>IF(Trans!R[236],"AAAAAH39/qM=",0)</f>
        <v>0</v>
      </c>
      <c r="FI20" s="15" t="b">
        <f>AND(Trans!A256,"AAAAAH39/qQ=")</f>
        <v>1</v>
      </c>
      <c r="FJ20" s="15" t="str">
        <f>AND(Trans!B256,"AAAAAH39/qU=")</f>
        <v>#VALUE!:noResult:No valid cells found for operation.</v>
      </c>
      <c r="FK20" s="15" t="b">
        <f>AND(Trans!C256,"AAAAAH39/qY=")</f>
        <v>1</v>
      </c>
      <c r="FL20" s="15" t="b">
        <f>AND(Trans!D256,"AAAAAH39/qc=")</f>
        <v>1</v>
      </c>
      <c r="FM20" s="15" t="str">
        <f>AND(Trans!E256,"AAAAAH39/qg=")</f>
        <v>#VALUE!:noResult:No valid cells found for operation.</v>
      </c>
      <c r="FN20" s="15" t="str">
        <f>AND(Trans!F256,"AAAAAH39/qk=")</f>
        <v>#VALUE!:noResult:No valid cells found for operation.</v>
      </c>
      <c r="FO20" s="15" t="str">
        <f>AND(Trans!G256,"AAAAAH39/qo=")</f>
        <v>#VALUE!:noResult:No valid cells found for operation.</v>
      </c>
      <c r="FP20" s="15" t="str">
        <f>#REF!</f>
        <v>#VALUE!:noResult:No valid cells found for operation.</v>
      </c>
      <c r="FQ20" s="15" t="str">
        <f>AND(Trans!H256,"AAAAAH39/qw=")</f>
        <v>#VALUE!:noResult:No valid cells found for operation.</v>
      </c>
      <c r="FR20" s="15" t="str">
        <f>#REF!</f>
        <v>#VALUE!:noResult:No valid cells found for operation.</v>
      </c>
      <c r="FS20" s="15" t="str">
        <f>#REF!</f>
        <v>#VALUE!:noResult:No valid cells found for operation.</v>
      </c>
      <c r="FT20" s="15" t="str">
        <f>#REF!</f>
        <v>#VALUE!:noResult:No valid cells found for operation.</v>
      </c>
      <c r="FU20" s="15" t="str">
        <f>#REF!</f>
        <v>#VALUE!:noResult:No valid cells found for operation.</v>
      </c>
      <c r="FV20" s="15" t="str">
        <f>#REF!</f>
        <v>#VALUE!:noResult:No valid cells found for operation.</v>
      </c>
      <c r="FW20" s="15" t="str">
        <f>#REF!</f>
        <v>#VALUE!:noResult:No valid cells found for operation.</v>
      </c>
      <c r="FX20" s="15">
        <f>IF(Trans!R[237],"AAAAAH39/rM=",0)</f>
        <v>0</v>
      </c>
      <c r="FY20" s="15" t="b">
        <f>AND(Trans!A257,"AAAAAH39/rQ=")</f>
        <v>1</v>
      </c>
      <c r="FZ20" s="15" t="str">
        <f>AND(Trans!B257,"AAAAAH39/rU=")</f>
        <v>#VALUE!:noResult:No valid cells found for operation.</v>
      </c>
      <c r="GA20" s="15" t="b">
        <f>AND(Trans!C257,"AAAAAH39/rY=")</f>
        <v>1</v>
      </c>
      <c r="GB20" s="15" t="b">
        <f>AND(Trans!D257,"AAAAAH39/rc=")</f>
        <v>1</v>
      </c>
      <c r="GC20" s="15" t="str">
        <f>AND(Trans!E257,"AAAAAH39/rg=")</f>
        <v>#VALUE!:noResult:No valid cells found for operation.</v>
      </c>
      <c r="GD20" s="15" t="str">
        <f>AND(Trans!F257,"AAAAAH39/rk=")</f>
        <v>#VALUE!:noResult:No valid cells found for operation.</v>
      </c>
      <c r="GE20" s="15" t="str">
        <f>AND(Trans!G257,"AAAAAH39/ro=")</f>
        <v>#VALUE!:noResult:No valid cells found for operation.</v>
      </c>
      <c r="GF20" s="15" t="str">
        <f>#REF!</f>
        <v>#VALUE!:noResult:No valid cells found for operation.</v>
      </c>
      <c r="GG20" s="15" t="str">
        <f>AND(Trans!H257,"AAAAAH39/rw=")</f>
        <v>#VALUE!:noResult:No valid cells found for operation.</v>
      </c>
      <c r="GH20" s="15" t="str">
        <f>#REF!</f>
        <v>#VALUE!:noResult:No valid cells found for operation.</v>
      </c>
      <c r="GI20" s="15" t="str">
        <f>#REF!</f>
        <v>#VALUE!:noResult:No valid cells found for operation.</v>
      </c>
      <c r="GJ20" s="15" t="str">
        <f>#REF!</f>
        <v>#VALUE!:noResult:No valid cells found for operation.</v>
      </c>
      <c r="GK20" s="15" t="str">
        <f>#REF!</f>
        <v>#VALUE!:noResult:No valid cells found for operation.</v>
      </c>
      <c r="GL20" s="15" t="str">
        <f>#REF!</f>
        <v>#VALUE!:noResult:No valid cells found for operation.</v>
      </c>
      <c r="GM20" s="15" t="str">
        <f>#REF!</f>
        <v>#VALUE!:noResult:No valid cells found for operation.</v>
      </c>
      <c r="GN20" s="15">
        <f>IF(Trans!R[238],"AAAAAH39/sM=",0)</f>
        <v>0</v>
      </c>
      <c r="GO20" s="15" t="b">
        <f>AND(Trans!A258,"AAAAAH39/sQ=")</f>
        <v>1</v>
      </c>
      <c r="GP20" s="15" t="str">
        <f>AND(Trans!B258,"AAAAAH39/sU=")</f>
        <v>#VALUE!:noResult:No valid cells found for operation.</v>
      </c>
      <c r="GQ20" s="15" t="b">
        <f>AND(Trans!C258,"AAAAAH39/sY=")</f>
        <v>1</v>
      </c>
      <c r="GR20" s="15" t="b">
        <f>AND(Trans!D258,"AAAAAH39/sc=")</f>
        <v>1</v>
      </c>
      <c r="GS20" s="15" t="str">
        <f>AND(Trans!E258,"AAAAAH39/sg=")</f>
        <v>#VALUE!:noResult:No valid cells found for operation.</v>
      </c>
      <c r="GT20" s="15" t="str">
        <f>AND(Trans!F258,"AAAAAH39/sk=")</f>
        <v>#VALUE!:noResult:No valid cells found for operation.</v>
      </c>
      <c r="GU20" s="15" t="str">
        <f>AND(Trans!G258,"AAAAAH39/so=")</f>
        <v>#VALUE!:noResult:No valid cells found for operation.</v>
      </c>
      <c r="GV20" s="15" t="str">
        <f>#REF!</f>
        <v>#VALUE!:noResult:No valid cells found for operation.</v>
      </c>
      <c r="GW20" s="15" t="str">
        <f>AND(Trans!H258,"AAAAAH39/sw=")</f>
        <v>#VALUE!:noResult:No valid cells found for operation.</v>
      </c>
      <c r="GX20" s="15" t="str">
        <f>#REF!</f>
        <v>#VALUE!:noResult:No valid cells found for operation.</v>
      </c>
      <c r="GY20" s="15" t="str">
        <f>#REF!</f>
        <v>#VALUE!:noResult:No valid cells found for operation.</v>
      </c>
      <c r="GZ20" s="15" t="str">
        <f>#REF!</f>
        <v>#VALUE!:noResult:No valid cells found for operation.</v>
      </c>
      <c r="HA20" s="15" t="str">
        <f>#REF!</f>
        <v>#VALUE!:noResult:No valid cells found for operation.</v>
      </c>
      <c r="HB20" s="15" t="str">
        <f>#REF!</f>
        <v>#VALUE!:noResult:No valid cells found for operation.</v>
      </c>
      <c r="HC20" s="15" t="str">
        <f>#REF!</f>
        <v>#VALUE!:noResult:No valid cells found for operation.</v>
      </c>
      <c r="HD20" s="15">
        <f>IF(Trans!R[239],"AAAAAH39/tM=",0)</f>
        <v>0</v>
      </c>
      <c r="HE20" s="15" t="b">
        <f>AND(Trans!A259,"AAAAAH39/tQ=")</f>
        <v>1</v>
      </c>
      <c r="HF20" s="15" t="str">
        <f>AND(Trans!B259,"AAAAAH39/tU=")</f>
        <v>#VALUE!:noResult:No valid cells found for operation.</v>
      </c>
      <c r="HG20" s="15" t="b">
        <f>AND(Trans!C259,"AAAAAH39/tY=")</f>
        <v>1</v>
      </c>
      <c r="HH20" s="15" t="b">
        <f>AND(Trans!D259,"AAAAAH39/tc=")</f>
        <v>1</v>
      </c>
      <c r="HI20" s="15" t="str">
        <f>AND(Trans!E259,"AAAAAH39/tg=")</f>
        <v>#VALUE!:noResult:No valid cells found for operation.</v>
      </c>
      <c r="HJ20" s="15" t="str">
        <f>AND(Trans!F259,"AAAAAH39/tk=")</f>
        <v>#VALUE!:noResult:No valid cells found for operation.</v>
      </c>
      <c r="HK20" s="15" t="str">
        <f>AND(Trans!G259,"AAAAAH39/to=")</f>
        <v>#VALUE!:noResult:No valid cells found for operation.</v>
      </c>
      <c r="HL20" s="15" t="str">
        <f>#REF!</f>
        <v>#VALUE!:noResult:No valid cells found for operation.</v>
      </c>
      <c r="HM20" s="15" t="str">
        <f>AND(Trans!H259,"AAAAAH39/tw=")</f>
        <v>#VALUE!:noResult:No valid cells found for operation.</v>
      </c>
      <c r="HN20" s="15" t="str">
        <f>#REF!</f>
        <v>#VALUE!:noResult:No valid cells found for operation.</v>
      </c>
      <c r="HO20" s="15" t="str">
        <f>#REF!</f>
        <v>#VALUE!:noResult:No valid cells found for operation.</v>
      </c>
      <c r="HP20" s="15" t="str">
        <f>#REF!</f>
        <v>#VALUE!:noResult:No valid cells found for operation.</v>
      </c>
      <c r="HQ20" s="15" t="str">
        <f>#REF!</f>
        <v>#VALUE!:noResult:No valid cells found for operation.</v>
      </c>
      <c r="HR20" s="15" t="str">
        <f>#REF!</f>
        <v>#VALUE!:noResult:No valid cells found for operation.</v>
      </c>
      <c r="HS20" s="15" t="str">
        <f>#REF!</f>
        <v>#VALUE!:noResult:No valid cells found for operation.</v>
      </c>
      <c r="HT20" s="15">
        <f>IF(Trans!R[240],"AAAAAH39/uM=",0)</f>
        <v>0</v>
      </c>
      <c r="HU20" s="15" t="b">
        <f>AND(Trans!A260,"AAAAAH39/uQ=")</f>
        <v>1</v>
      </c>
      <c r="HV20" s="15" t="str">
        <f>AND(Trans!B260,"AAAAAH39/uU=")</f>
        <v>#VALUE!:noResult:No valid cells found for operation.</v>
      </c>
      <c r="HW20" s="15" t="b">
        <f>AND(Trans!C260,"AAAAAH39/uY=")</f>
        <v>1</v>
      </c>
      <c r="HX20" s="15" t="b">
        <f>AND(Trans!D260,"AAAAAH39/uc=")</f>
        <v>1</v>
      </c>
      <c r="HY20" s="15" t="str">
        <f>AND(Trans!E260,"AAAAAH39/ug=")</f>
        <v>#VALUE!:noResult:No valid cells found for operation.</v>
      </c>
      <c r="HZ20" s="15" t="str">
        <f>AND(Trans!F260,"AAAAAH39/uk=")</f>
        <v>#VALUE!:noResult:No valid cells found for operation.</v>
      </c>
      <c r="IA20" s="15" t="str">
        <f>AND(Trans!G260,"AAAAAH39/uo=")</f>
        <v>#VALUE!:noResult:No valid cells found for operation.</v>
      </c>
      <c r="IB20" s="15" t="str">
        <f>#REF!</f>
        <v>#VALUE!:noResult:No valid cells found for operation.</v>
      </c>
      <c r="IC20" s="15" t="str">
        <f>AND(Trans!H260,"AAAAAH39/uw=")</f>
        <v>#VALUE!:noResult:No valid cells found for operation.</v>
      </c>
      <c r="ID20" s="15" t="str">
        <f>#REF!</f>
        <v>#VALUE!:noResult:No valid cells found for operation.</v>
      </c>
      <c r="IE20" s="15" t="str">
        <f>#REF!</f>
        <v>#VALUE!:noResult:No valid cells found for operation.</v>
      </c>
      <c r="IF20" s="15" t="str">
        <f>#REF!</f>
        <v>#VALUE!:noResult:No valid cells found for operation.</v>
      </c>
      <c r="IG20" s="15" t="str">
        <f>#REF!</f>
        <v>#VALUE!:noResult:No valid cells found for operation.</v>
      </c>
      <c r="IH20" s="15" t="str">
        <f>#REF!</f>
        <v>#VALUE!:noResult:No valid cells found for operation.</v>
      </c>
      <c r="II20" s="15" t="str">
        <f>#REF!</f>
        <v>#VALUE!:noResult:No valid cells found for operation.</v>
      </c>
      <c r="IJ20" s="15">
        <f>IF(Trans!R[241],"AAAAAH39/vM=",0)</f>
        <v>0</v>
      </c>
      <c r="IK20" s="15" t="b">
        <f>AND(Trans!A261,"AAAAAH39/vQ=")</f>
        <v>1</v>
      </c>
      <c r="IL20" s="15" t="str">
        <f>AND(Trans!B261,"AAAAAH39/vU=")</f>
        <v>#VALUE!:noResult:No valid cells found for operation.</v>
      </c>
      <c r="IM20" s="15" t="b">
        <f>AND(Trans!C261,"AAAAAH39/vY=")</f>
        <v>1</v>
      </c>
      <c r="IN20" s="15" t="b">
        <f>AND(Trans!D261,"AAAAAH39/vc=")</f>
        <v>1</v>
      </c>
      <c r="IO20" s="15" t="str">
        <f>AND(Trans!E261,"AAAAAH39/vg=")</f>
        <v>#VALUE!:noResult:No valid cells found for operation.</v>
      </c>
      <c r="IP20" s="15" t="str">
        <f>AND(Trans!F261,"AAAAAH39/vk=")</f>
        <v>#VALUE!:noResult:No valid cells found for operation.</v>
      </c>
      <c r="IQ20" s="15" t="str">
        <f>AND(Trans!G261,"AAAAAH39/vo=")</f>
        <v>#VALUE!:noResult:No valid cells found for operation.</v>
      </c>
      <c r="IR20" s="15" t="str">
        <f>#REF!</f>
        <v>#VALUE!:noResult:No valid cells found for operation.</v>
      </c>
      <c r="IS20" s="15" t="str">
        <f>AND(Trans!H261,"AAAAAH39/vw=")</f>
        <v>#VALUE!:noResult:No valid cells found for operation.</v>
      </c>
      <c r="IT20" s="15" t="str">
        <f>#REF!</f>
        <v>#VALUE!:noResult:No valid cells found for operation.</v>
      </c>
      <c r="IU20" s="15" t="str">
        <f>#REF!</f>
        <v>#VALUE!:noResult:No valid cells found for operation.</v>
      </c>
      <c r="IV20" s="15" t="str">
        <f>#REF!</f>
        <v>#VALUE!:noResult:No valid cells found for operation.</v>
      </c>
    </row>
    <row r="21">
      <c r="A21" s="15" t="str">
        <f>#REF!</f>
        <v>#VALUE!:noResult:No valid cells found for operation.</v>
      </c>
      <c r="B21" s="15" t="str">
        <f>#REF!</f>
        <v>#VALUE!:noResult:No valid cells found for operation.</v>
      </c>
      <c r="C21" s="15" t="str">
        <f>#REF!</f>
        <v>#VALUE!:noResult:No valid cells found for operation.</v>
      </c>
      <c r="D21" s="15" t="str">
        <f>IF(Trans!R[241],"AAAAAHC3mwM=",0)</f>
        <v>AAAAAHC3mwM=</v>
      </c>
      <c r="E21" s="15" t="b">
        <f>AND(Trans!A262,"AAAAAHC3mwQ=")</f>
        <v>1</v>
      </c>
      <c r="F21" s="15" t="str">
        <f>AND(Trans!B262,"AAAAAHC3mwU=")</f>
        <v>#VALUE!:noResult:No valid cells found for operation.</v>
      </c>
      <c r="G21" s="15" t="b">
        <f>AND(Trans!C262,"AAAAAHC3mwY=")</f>
        <v>1</v>
      </c>
      <c r="H21" s="15" t="b">
        <f>AND(Trans!D262,"AAAAAHC3mwc=")</f>
        <v>1</v>
      </c>
      <c r="I21" s="15" t="str">
        <f>AND(Trans!E262,"AAAAAHC3mwg=")</f>
        <v>#VALUE!:noResult:No valid cells found for operation.</v>
      </c>
      <c r="J21" s="15" t="str">
        <f>AND(Trans!F262,"AAAAAHC3mwk=")</f>
        <v>#VALUE!:noResult:No valid cells found for operation.</v>
      </c>
      <c r="K21" s="15" t="str">
        <f>AND(Trans!G262,"AAAAAHC3mwo=")</f>
        <v>#VALUE!:noResult:No valid cells found for operation.</v>
      </c>
      <c r="L21" s="15" t="str">
        <f>#REF!</f>
        <v>#VALUE!:noResult:No valid cells found for operation.</v>
      </c>
      <c r="M21" s="15" t="str">
        <f>AND(Trans!H262,"AAAAAHC3mww=")</f>
        <v>#VALUE!:noResult:No valid cells found for operation.</v>
      </c>
      <c r="N21" s="15" t="str">
        <f>#REF!</f>
        <v>#VALUE!:noResult:No valid cells found for operation.</v>
      </c>
      <c r="O21" s="15" t="str">
        <f>#REF!</f>
        <v>#VALUE!:noResult:No valid cells found for operation.</v>
      </c>
      <c r="P21" s="15" t="str">
        <f>#REF!</f>
        <v>#VALUE!:noResult:No valid cells found for operation.</v>
      </c>
      <c r="Q21" s="15" t="str">
        <f>#REF!</f>
        <v>#VALUE!:noResult:No valid cells found for operation.</v>
      </c>
      <c r="R21" s="15" t="str">
        <f>#REF!</f>
        <v>#VALUE!:noResult:No valid cells found for operation.</v>
      </c>
      <c r="S21" s="15" t="str">
        <f>#REF!</f>
        <v>#VALUE!:noResult:No valid cells found for operation.</v>
      </c>
      <c r="T21" s="15">
        <f>IF(Trans!R[242],"AAAAAHC3mxM=",0)</f>
        <v>0</v>
      </c>
      <c r="U21" s="15" t="b">
        <f>AND(Trans!A263,"AAAAAHC3mxQ=")</f>
        <v>1</v>
      </c>
      <c r="V21" s="15" t="str">
        <f>AND(Trans!B263,"AAAAAHC3mxU=")</f>
        <v>#VALUE!:noResult:No valid cells found for operation.</v>
      </c>
      <c r="W21" s="15" t="b">
        <f>AND(Trans!C263,"AAAAAHC3mxY=")</f>
        <v>1</v>
      </c>
      <c r="X21" s="15" t="b">
        <f>AND(Trans!D263,"AAAAAHC3mxc=")</f>
        <v>1</v>
      </c>
      <c r="Y21" s="15" t="str">
        <f>AND(Trans!E263,"AAAAAHC3mxg=")</f>
        <v>#VALUE!:noResult:No valid cells found for operation.</v>
      </c>
      <c r="Z21" s="15" t="str">
        <f>AND(Trans!F263,"AAAAAHC3mxk=")</f>
        <v>#VALUE!:noResult:No valid cells found for operation.</v>
      </c>
      <c r="AA21" s="15" t="str">
        <f>AND(Trans!G263,"AAAAAHC3mxo=")</f>
        <v>#VALUE!:noResult:No valid cells found for operation.</v>
      </c>
      <c r="AB21" s="15" t="str">
        <f>#REF!</f>
        <v>#VALUE!:noResult:No valid cells found for operation.</v>
      </c>
      <c r="AC21" s="15" t="str">
        <f>AND(Trans!H263,"AAAAAHC3mxw=")</f>
        <v>#VALUE!:noResult:No valid cells found for operation.</v>
      </c>
      <c r="AD21" s="15" t="str">
        <f>#REF!</f>
        <v>#VALUE!:noResult:No valid cells found for operation.</v>
      </c>
      <c r="AE21" s="15" t="str">
        <f>#REF!</f>
        <v>#VALUE!:noResult:No valid cells found for operation.</v>
      </c>
      <c r="AF21" s="15" t="str">
        <f>#REF!</f>
        <v>#VALUE!:noResult:No valid cells found for operation.</v>
      </c>
      <c r="AG21" s="15" t="str">
        <f>#REF!</f>
        <v>#VALUE!:noResult:No valid cells found for operation.</v>
      </c>
      <c r="AH21" s="15" t="str">
        <f>#REF!</f>
        <v>#VALUE!:noResult:No valid cells found for operation.</v>
      </c>
      <c r="AI21" s="15" t="str">
        <f>#REF!</f>
        <v>#VALUE!:noResult:No valid cells found for operation.</v>
      </c>
      <c r="AJ21" s="15">
        <f>IF(Trans!R[243],"AAAAAHC3myM=",0)</f>
        <v>0</v>
      </c>
      <c r="AK21" s="15" t="b">
        <f>AND(Trans!A264,"AAAAAHC3myQ=")</f>
        <v>1</v>
      </c>
      <c r="AL21" s="15" t="str">
        <f>AND(Trans!B264,"AAAAAHC3myU=")</f>
        <v>#VALUE!:noResult:No valid cells found for operation.</v>
      </c>
      <c r="AM21" s="15" t="b">
        <f>AND(Trans!C264,"AAAAAHC3myY=")</f>
        <v>1</v>
      </c>
      <c r="AN21" s="15" t="b">
        <f>AND(Trans!D264,"AAAAAHC3myc=")</f>
        <v>1</v>
      </c>
      <c r="AO21" s="15" t="str">
        <f>AND(Trans!E264,"AAAAAHC3myg=")</f>
        <v>#VALUE!:noResult:No valid cells found for operation.</v>
      </c>
      <c r="AP21" s="15" t="str">
        <f>AND(Trans!F264,"AAAAAHC3myk=")</f>
        <v>#VALUE!:noResult:No valid cells found for operation.</v>
      </c>
      <c r="AQ21" s="15" t="str">
        <f>AND(Trans!G264,"AAAAAHC3myo=")</f>
        <v>#VALUE!:noResult:No valid cells found for operation.</v>
      </c>
      <c r="AR21" s="15" t="str">
        <f>#REF!</f>
        <v>#VALUE!:noResult:No valid cells found for operation.</v>
      </c>
      <c r="AS21" s="15" t="str">
        <f>AND(Trans!H264,"AAAAAHC3myw=")</f>
        <v>#VALUE!:noResult:No valid cells found for operation.</v>
      </c>
      <c r="AT21" s="15" t="str">
        <f>#REF!</f>
        <v>#VALUE!:noResult:No valid cells found for operation.</v>
      </c>
      <c r="AU21" s="15" t="str">
        <f>#REF!</f>
        <v>#VALUE!:noResult:No valid cells found for operation.</v>
      </c>
      <c r="AV21" s="15" t="str">
        <f>#REF!</f>
        <v>#VALUE!:noResult:No valid cells found for operation.</v>
      </c>
      <c r="AW21" s="15" t="str">
        <f>#REF!</f>
        <v>#VALUE!:noResult:No valid cells found for operation.</v>
      </c>
      <c r="AX21" s="15" t="str">
        <f>#REF!</f>
        <v>#VALUE!:noResult:No valid cells found for operation.</v>
      </c>
      <c r="AY21" s="15" t="str">
        <f>#REF!</f>
        <v>#VALUE!:noResult:No valid cells found for operation.</v>
      </c>
      <c r="AZ21" s="15">
        <f>IF(Trans!R[244],"AAAAAHC3mzM=",0)</f>
        <v>0</v>
      </c>
      <c r="BA21" s="15" t="b">
        <f>AND(Trans!A265,"AAAAAHC3mzQ=")</f>
        <v>1</v>
      </c>
      <c r="BB21" s="15" t="str">
        <f>AND(Trans!B265,"AAAAAHC3mzU=")</f>
        <v>#VALUE!:noResult:No valid cells found for operation.</v>
      </c>
      <c r="BC21" s="15" t="b">
        <f>AND(Trans!C265,"AAAAAHC3mzY=")</f>
        <v>1</v>
      </c>
      <c r="BD21" s="15" t="b">
        <f>AND(Trans!D265,"AAAAAHC3mzc=")</f>
        <v>1</v>
      </c>
      <c r="BE21" s="15" t="str">
        <f>AND(Trans!E265,"AAAAAHC3mzg=")</f>
        <v>#VALUE!:noResult:No valid cells found for operation.</v>
      </c>
      <c r="BF21" s="15" t="str">
        <f>AND(Trans!F265,"AAAAAHC3mzk=")</f>
        <v>#VALUE!:noResult:No valid cells found for operation.</v>
      </c>
      <c r="BG21" s="15" t="str">
        <f>AND(Trans!G265,"AAAAAHC3mzo=")</f>
        <v>#VALUE!:noResult:No valid cells found for operation.</v>
      </c>
      <c r="BH21" s="15" t="str">
        <f>#REF!</f>
        <v>#VALUE!:noResult:No valid cells found for operation.</v>
      </c>
      <c r="BI21" s="15" t="str">
        <f>AND(Trans!H265,"AAAAAHC3mzw=")</f>
        <v>#VALUE!:noResult:No valid cells found for operation.</v>
      </c>
      <c r="BJ21" s="15" t="str">
        <f>#REF!</f>
        <v>#VALUE!:noResult:No valid cells found for operation.</v>
      </c>
      <c r="BK21" s="15" t="str">
        <f>#REF!</f>
        <v>#VALUE!:noResult:No valid cells found for operation.</v>
      </c>
      <c r="BL21" s="15" t="str">
        <f>#REF!</f>
        <v>#VALUE!:noResult:No valid cells found for operation.</v>
      </c>
      <c r="BM21" s="15" t="str">
        <f>#REF!</f>
        <v>#VALUE!:noResult:No valid cells found for operation.</v>
      </c>
      <c r="BN21" s="15" t="str">
        <f>#REF!</f>
        <v>#VALUE!:noResult:No valid cells found for operation.</v>
      </c>
      <c r="BO21" s="15" t="str">
        <f>#REF!</f>
        <v>#VALUE!:noResult:No valid cells found for operation.</v>
      </c>
      <c r="BP21" s="15">
        <f>IF(Trans!R[245],"AAAAAHC3m0M=",0)</f>
        <v>0</v>
      </c>
      <c r="BQ21" s="15" t="b">
        <f>AND(Trans!A266,"AAAAAHC3m0Q=")</f>
        <v>1</v>
      </c>
      <c r="BR21" s="15" t="str">
        <f>AND(Trans!B266,"AAAAAHC3m0U=")</f>
        <v>#VALUE!:noResult:No valid cells found for operation.</v>
      </c>
      <c r="BS21" s="15" t="b">
        <f>AND(Trans!C266,"AAAAAHC3m0Y=")</f>
        <v>1</v>
      </c>
      <c r="BT21" s="15" t="b">
        <f>AND(Trans!D266,"AAAAAHC3m0c=")</f>
        <v>1</v>
      </c>
      <c r="BU21" s="15" t="str">
        <f>AND(Trans!E266,"AAAAAHC3m0g=")</f>
        <v>#VALUE!:noResult:No valid cells found for operation.</v>
      </c>
      <c r="BV21" s="15" t="str">
        <f>AND(Trans!F266,"AAAAAHC3m0k=")</f>
        <v>#VALUE!:noResult:No valid cells found for operation.</v>
      </c>
      <c r="BW21" s="15" t="str">
        <f>AND(Trans!G266,"AAAAAHC3m0o=")</f>
        <v>#VALUE!:noResult:No valid cells found for operation.</v>
      </c>
      <c r="BX21" s="15" t="str">
        <f>#REF!</f>
        <v>#VALUE!:noResult:No valid cells found for operation.</v>
      </c>
      <c r="BY21" s="15" t="str">
        <f>AND(Trans!H266,"AAAAAHC3m0w=")</f>
        <v>#VALUE!:noResult:No valid cells found for operation.</v>
      </c>
      <c r="BZ21" s="15" t="str">
        <f>#REF!</f>
        <v>#VALUE!:noResult:No valid cells found for operation.</v>
      </c>
      <c r="CA21" s="15" t="str">
        <f>#REF!</f>
        <v>#VALUE!:noResult:No valid cells found for operation.</v>
      </c>
      <c r="CB21" s="15" t="str">
        <f>#REF!</f>
        <v>#VALUE!:noResult:No valid cells found for operation.</v>
      </c>
      <c r="CC21" s="15" t="str">
        <f>#REF!</f>
        <v>#VALUE!:noResult:No valid cells found for operation.</v>
      </c>
      <c r="CD21" s="15" t="str">
        <f>#REF!</f>
        <v>#VALUE!:noResult:No valid cells found for operation.</v>
      </c>
      <c r="CE21" s="15" t="str">
        <f>#REF!</f>
        <v>#VALUE!:noResult:No valid cells found for operation.</v>
      </c>
      <c r="CF21" s="15">
        <f>IF(Trans!R[246],"AAAAAHC3m1M=",0)</f>
        <v>0</v>
      </c>
      <c r="CG21" s="15" t="b">
        <f>AND(Trans!A267,"AAAAAHC3m1Q=")</f>
        <v>1</v>
      </c>
      <c r="CH21" s="15" t="str">
        <f>AND(Trans!B267,"AAAAAHC3m1U=")</f>
        <v>#VALUE!:noResult:No valid cells found for operation.</v>
      </c>
      <c r="CI21" s="15" t="b">
        <f>AND(Trans!C267,"AAAAAHC3m1Y=")</f>
        <v>1</v>
      </c>
      <c r="CJ21" s="15" t="b">
        <f>AND(Trans!D267,"AAAAAHC3m1c=")</f>
        <v>1</v>
      </c>
      <c r="CK21" s="15" t="str">
        <f>AND(Trans!E267,"AAAAAHC3m1g=")</f>
        <v>#VALUE!:noResult:No valid cells found for operation.</v>
      </c>
      <c r="CL21" s="15" t="str">
        <f>AND(Trans!F267,"AAAAAHC3m1k=")</f>
        <v>#VALUE!:noResult:No valid cells found for operation.</v>
      </c>
      <c r="CM21" s="15" t="str">
        <f>AND(Trans!G267,"AAAAAHC3m1o=")</f>
        <v>#VALUE!:noResult:No valid cells found for operation.</v>
      </c>
      <c r="CN21" s="15" t="str">
        <f>#REF!</f>
        <v>#VALUE!:noResult:No valid cells found for operation.</v>
      </c>
      <c r="CO21" s="15" t="str">
        <f>AND(Trans!H267,"AAAAAHC3m1w=")</f>
        <v>#VALUE!:noResult:No valid cells found for operation.</v>
      </c>
      <c r="CP21" s="15" t="str">
        <f>#REF!</f>
        <v>#VALUE!:noResult:No valid cells found for operation.</v>
      </c>
      <c r="CQ21" s="15" t="str">
        <f>#REF!</f>
        <v>#VALUE!:noResult:No valid cells found for operation.</v>
      </c>
      <c r="CR21" s="15" t="str">
        <f>#REF!</f>
        <v>#VALUE!:noResult:No valid cells found for operation.</v>
      </c>
      <c r="CS21" s="15" t="str">
        <f>#REF!</f>
        <v>#VALUE!:noResult:No valid cells found for operation.</v>
      </c>
      <c r="CT21" s="15" t="str">
        <f>#REF!</f>
        <v>#VALUE!:noResult:No valid cells found for operation.</v>
      </c>
      <c r="CU21" s="15" t="str">
        <f>#REF!</f>
        <v>#VALUE!:noResult:No valid cells found for operation.</v>
      </c>
      <c r="CV21" s="15">
        <f>IF(Trans!R[247],"AAAAAHC3m2M=",0)</f>
        <v>0</v>
      </c>
      <c r="CW21" s="15" t="b">
        <f>AND(Trans!A268,"AAAAAHC3m2Q=")</f>
        <v>1</v>
      </c>
      <c r="CX21" s="15" t="str">
        <f>AND(Trans!B268,"AAAAAHC3m2U=")</f>
        <v>#VALUE!:noResult:No valid cells found for operation.</v>
      </c>
      <c r="CY21" s="15" t="b">
        <f>AND(Trans!C268,"AAAAAHC3m2Y=")</f>
        <v>1</v>
      </c>
      <c r="CZ21" s="15" t="b">
        <f>AND(Trans!D268,"AAAAAHC3m2c=")</f>
        <v>1</v>
      </c>
      <c r="DA21" s="15" t="str">
        <f>AND(Trans!E268,"AAAAAHC3m2g=")</f>
        <v>#VALUE!:noResult:No valid cells found for operation.</v>
      </c>
      <c r="DB21" s="15" t="str">
        <f>AND(Trans!F268,"AAAAAHC3m2k=")</f>
        <v>#VALUE!:noResult:No valid cells found for operation.</v>
      </c>
      <c r="DC21" s="15" t="str">
        <f>AND(Trans!G268,"AAAAAHC3m2o=")</f>
        <v>#VALUE!:noResult:No valid cells found for operation.</v>
      </c>
      <c r="DD21" s="15" t="str">
        <f>#REF!</f>
        <v>#VALUE!:noResult:No valid cells found for operation.</v>
      </c>
      <c r="DE21" s="15" t="str">
        <f>AND(Trans!H268,"AAAAAHC3m2w=")</f>
        <v>#VALUE!:noResult:No valid cells found for operation.</v>
      </c>
      <c r="DF21" s="15" t="str">
        <f>#REF!</f>
        <v>#VALUE!:noResult:No valid cells found for operation.</v>
      </c>
      <c r="DG21" s="15" t="str">
        <f>#REF!</f>
        <v>#VALUE!:noResult:No valid cells found for operation.</v>
      </c>
      <c r="DH21" s="15" t="str">
        <f>#REF!</f>
        <v>#VALUE!:noResult:No valid cells found for operation.</v>
      </c>
      <c r="DI21" s="15" t="str">
        <f>#REF!</f>
        <v>#VALUE!:noResult:No valid cells found for operation.</v>
      </c>
      <c r="DJ21" s="15" t="str">
        <f>#REF!</f>
        <v>#VALUE!:noResult:No valid cells found for operation.</v>
      </c>
      <c r="DK21" s="15" t="str">
        <f>#REF!</f>
        <v>#VALUE!:noResult:No valid cells found for operation.</v>
      </c>
      <c r="DL21" s="15">
        <f>IF(Trans!R[248],"AAAAAHC3m3M=",0)</f>
        <v>0</v>
      </c>
      <c r="DM21" s="15" t="b">
        <f>AND(Trans!A269,"AAAAAHC3m3Q=")</f>
        <v>1</v>
      </c>
      <c r="DN21" s="15" t="str">
        <f>AND(Trans!B269,"AAAAAHC3m3U=")</f>
        <v>#VALUE!:noResult:No valid cells found for operation.</v>
      </c>
      <c r="DO21" s="15" t="b">
        <f>AND(Trans!C269,"AAAAAHC3m3Y=")</f>
        <v>1</v>
      </c>
      <c r="DP21" s="15" t="b">
        <f>AND(Trans!D269,"AAAAAHC3m3c=")</f>
        <v>1</v>
      </c>
      <c r="DQ21" s="15" t="str">
        <f>AND(Trans!E269,"AAAAAHC3m3g=")</f>
        <v>#VALUE!:noResult:No valid cells found for operation.</v>
      </c>
      <c r="DR21" s="15" t="str">
        <f>AND(Trans!F269,"AAAAAHC3m3k=")</f>
        <v>#VALUE!:noResult:No valid cells found for operation.</v>
      </c>
      <c r="DS21" s="15" t="str">
        <f>AND(Trans!G269,"AAAAAHC3m3o=")</f>
        <v>#VALUE!:noResult:No valid cells found for operation.</v>
      </c>
      <c r="DT21" s="15" t="str">
        <f>#REF!</f>
        <v>#VALUE!:noResult:No valid cells found for operation.</v>
      </c>
      <c r="DU21" s="15" t="str">
        <f>AND(Trans!H269,"AAAAAHC3m3w=")</f>
        <v>#VALUE!:noResult:No valid cells found for operation.</v>
      </c>
      <c r="DV21" s="15" t="str">
        <f>#REF!</f>
        <v>#VALUE!:noResult:No valid cells found for operation.</v>
      </c>
      <c r="DW21" s="15" t="str">
        <f>#REF!</f>
        <v>#VALUE!:noResult:No valid cells found for operation.</v>
      </c>
      <c r="DX21" s="15" t="str">
        <f>#REF!</f>
        <v>#VALUE!:noResult:No valid cells found for operation.</v>
      </c>
      <c r="DY21" s="15" t="str">
        <f>#REF!</f>
        <v>#VALUE!:noResult:No valid cells found for operation.</v>
      </c>
      <c r="DZ21" s="15" t="str">
        <f>#REF!</f>
        <v>#VALUE!:noResult:No valid cells found for operation.</v>
      </c>
      <c r="EA21" s="15" t="str">
        <f>#REF!</f>
        <v>#VALUE!:noResult:No valid cells found for operation.</v>
      </c>
      <c r="EB21" s="15">
        <f>IF(Trans!R[249],"AAAAAHC3m4M=",0)</f>
        <v>0</v>
      </c>
      <c r="EC21" s="15" t="b">
        <f>AND(Trans!A270,"AAAAAHC3m4Q=")</f>
        <v>1</v>
      </c>
      <c r="ED21" s="15" t="str">
        <f>AND(Trans!B270,"AAAAAHC3m4U=")</f>
        <v>#VALUE!:noResult:No valid cells found for operation.</v>
      </c>
      <c r="EE21" s="15" t="b">
        <f>AND(Trans!C270,"AAAAAHC3m4Y=")</f>
        <v>1</v>
      </c>
      <c r="EF21" s="15" t="b">
        <f>AND(Trans!D270,"AAAAAHC3m4c=")</f>
        <v>1</v>
      </c>
      <c r="EG21" s="15" t="str">
        <f>AND(Trans!E270,"AAAAAHC3m4g=")</f>
        <v>#VALUE!:noResult:No valid cells found for operation.</v>
      </c>
      <c r="EH21" s="15" t="str">
        <f>AND(Trans!F270,"AAAAAHC3m4k=")</f>
        <v>#VALUE!:noResult:No valid cells found for operation.</v>
      </c>
      <c r="EI21" s="15" t="str">
        <f>AND(Trans!G270,"AAAAAHC3m4o=")</f>
        <v>#VALUE!:noResult:No valid cells found for operation.</v>
      </c>
      <c r="EJ21" s="15" t="str">
        <f>#REF!</f>
        <v>#VALUE!:noResult:No valid cells found for operation.</v>
      </c>
      <c r="EK21" s="15" t="str">
        <f>AND(Trans!H270,"AAAAAHC3m4w=")</f>
        <v>#VALUE!:noResult:No valid cells found for operation.</v>
      </c>
      <c r="EL21" s="15" t="str">
        <f>#REF!</f>
        <v>#VALUE!:noResult:No valid cells found for operation.</v>
      </c>
      <c r="EM21" s="15" t="str">
        <f>#REF!</f>
        <v>#VALUE!:noResult:No valid cells found for operation.</v>
      </c>
      <c r="EN21" s="15" t="str">
        <f>#REF!</f>
        <v>#VALUE!:noResult:No valid cells found for operation.</v>
      </c>
      <c r="EO21" s="15" t="str">
        <f>#REF!</f>
        <v>#VALUE!:noResult:No valid cells found for operation.</v>
      </c>
      <c r="EP21" s="15" t="str">
        <f>#REF!</f>
        <v>#VALUE!:noResult:No valid cells found for operation.</v>
      </c>
      <c r="EQ21" s="15" t="str">
        <f>#REF!</f>
        <v>#VALUE!:noResult:No valid cells found for operation.</v>
      </c>
      <c r="ER21" s="15">
        <f>IF(Trans!R[250],"AAAAAHC3m5M=",0)</f>
        <v>0</v>
      </c>
      <c r="ES21" s="15" t="b">
        <f>AND(Trans!A271,"AAAAAHC3m5Q=")</f>
        <v>1</v>
      </c>
      <c r="ET21" s="15" t="str">
        <f>AND(Trans!B271,"AAAAAHC3m5U=")</f>
        <v>#VALUE!:noResult:No valid cells found for operation.</v>
      </c>
      <c r="EU21" s="15" t="b">
        <f>AND(Trans!C271,"AAAAAHC3m5Y=")</f>
        <v>1</v>
      </c>
      <c r="EV21" s="15" t="b">
        <f>AND(Trans!D271,"AAAAAHC3m5c=")</f>
        <v>1</v>
      </c>
      <c r="EW21" s="15" t="str">
        <f>AND(Trans!E271,"AAAAAHC3m5g=")</f>
        <v>#VALUE!:noResult:No valid cells found for operation.</v>
      </c>
      <c r="EX21" s="15" t="str">
        <f>AND(Trans!F271,"AAAAAHC3m5k=")</f>
        <v>#VALUE!:noResult:No valid cells found for operation.</v>
      </c>
      <c r="EY21" s="15" t="str">
        <f>AND(Trans!G271,"AAAAAHC3m5o=")</f>
        <v>#VALUE!:noResult:No valid cells found for operation.</v>
      </c>
      <c r="EZ21" s="15" t="str">
        <f>#REF!</f>
        <v>#VALUE!:noResult:No valid cells found for operation.</v>
      </c>
      <c r="FA21" s="15" t="str">
        <f>AND(Trans!H271,"AAAAAHC3m5w=")</f>
        <v>#VALUE!:noResult:No valid cells found for operation.</v>
      </c>
      <c r="FB21" s="15" t="str">
        <f>#REF!</f>
        <v>#VALUE!:noResult:No valid cells found for operation.</v>
      </c>
      <c r="FC21" s="15" t="str">
        <f>#REF!</f>
        <v>#VALUE!:noResult:No valid cells found for operation.</v>
      </c>
      <c r="FD21" s="15" t="str">
        <f>#REF!</f>
        <v>#VALUE!:noResult:No valid cells found for operation.</v>
      </c>
      <c r="FE21" s="15" t="str">
        <f>#REF!</f>
        <v>#VALUE!:noResult:No valid cells found for operation.</v>
      </c>
      <c r="FF21" s="15" t="str">
        <f>#REF!</f>
        <v>#VALUE!:noResult:No valid cells found for operation.</v>
      </c>
      <c r="FG21" s="15" t="str">
        <f>#REF!</f>
        <v>#VALUE!:noResult:No valid cells found for operation.</v>
      </c>
      <c r="FH21" s="15">
        <f>IF(Trans!R[251],"AAAAAHC3m6M=",0)</f>
        <v>0</v>
      </c>
      <c r="FI21" s="15" t="b">
        <f>AND(Trans!A272,"AAAAAHC3m6Q=")</f>
        <v>1</v>
      </c>
      <c r="FJ21" s="15" t="str">
        <f>AND(Trans!B272,"AAAAAHC3m6U=")</f>
        <v>#VALUE!:noResult:No valid cells found for operation.</v>
      </c>
      <c r="FK21" s="15" t="b">
        <f>AND(Trans!C272,"AAAAAHC3m6Y=")</f>
        <v>1</v>
      </c>
      <c r="FL21" s="15" t="b">
        <f>AND(Trans!D272,"AAAAAHC3m6c=")</f>
        <v>1</v>
      </c>
      <c r="FM21" s="15" t="str">
        <f>AND(Trans!E272,"AAAAAHC3m6g=")</f>
        <v>#VALUE!:noResult:No valid cells found for operation.</v>
      </c>
      <c r="FN21" s="15" t="str">
        <f>AND(Trans!F272,"AAAAAHC3m6k=")</f>
        <v>#VALUE!:noResult:No valid cells found for operation.</v>
      </c>
      <c r="FO21" s="15" t="str">
        <f>AND(Trans!G272,"AAAAAHC3m6o=")</f>
        <v>#VALUE!:noResult:No valid cells found for operation.</v>
      </c>
      <c r="FP21" s="15" t="str">
        <f>#REF!</f>
        <v>#VALUE!:noResult:No valid cells found for operation.</v>
      </c>
      <c r="FQ21" s="15" t="str">
        <f>AND(Trans!H272,"AAAAAHC3m6w=")</f>
        <v>#VALUE!:noResult:No valid cells found for operation.</v>
      </c>
      <c r="FR21" s="15" t="str">
        <f>#REF!</f>
        <v>#VALUE!:noResult:No valid cells found for operation.</v>
      </c>
      <c r="FS21" s="15" t="str">
        <f>#REF!</f>
        <v>#VALUE!:noResult:No valid cells found for operation.</v>
      </c>
      <c r="FT21" s="15" t="str">
        <f>#REF!</f>
        <v>#VALUE!:noResult:No valid cells found for operation.</v>
      </c>
      <c r="FU21" s="15" t="str">
        <f>#REF!</f>
        <v>#VALUE!:noResult:No valid cells found for operation.</v>
      </c>
      <c r="FV21" s="15" t="str">
        <f>#REF!</f>
        <v>#VALUE!:noResult:No valid cells found for operation.</v>
      </c>
      <c r="FW21" s="15" t="str">
        <f>#REF!</f>
        <v>#VALUE!:noResult:No valid cells found for operation.</v>
      </c>
      <c r="FX21" s="15">
        <f>IF(Trans!R[252],"AAAAAHC3m7M=",0)</f>
        <v>0</v>
      </c>
      <c r="FY21" s="15" t="b">
        <f>AND(Trans!A273,"AAAAAHC3m7Q=")</f>
        <v>1</v>
      </c>
      <c r="FZ21" s="15" t="str">
        <f>AND(Trans!B273,"AAAAAHC3m7U=")</f>
        <v>#VALUE!:noResult:No valid cells found for operation.</v>
      </c>
      <c r="GA21" s="15" t="b">
        <f>AND(Trans!C273,"AAAAAHC3m7Y=")</f>
        <v>1</v>
      </c>
      <c r="GB21" s="15" t="b">
        <f>AND(Trans!D273,"AAAAAHC3m7c=")</f>
        <v>1</v>
      </c>
      <c r="GC21" s="15" t="str">
        <f>AND(Trans!E273,"AAAAAHC3m7g=")</f>
        <v>#VALUE!:noResult:No valid cells found for operation.</v>
      </c>
      <c r="GD21" s="15" t="str">
        <f>AND(Trans!F273,"AAAAAHC3m7k=")</f>
        <v>#VALUE!:noResult:No valid cells found for operation.</v>
      </c>
      <c r="GE21" s="15" t="str">
        <f>AND(Trans!G273,"AAAAAHC3m7o=")</f>
        <v>#VALUE!:noResult:No valid cells found for operation.</v>
      </c>
      <c r="GF21" s="15" t="str">
        <f>#REF!</f>
        <v>#VALUE!:noResult:No valid cells found for operation.</v>
      </c>
      <c r="GG21" s="15" t="str">
        <f>AND(Trans!H273,"AAAAAHC3m7w=")</f>
        <v>#VALUE!:noResult:No valid cells found for operation.</v>
      </c>
      <c r="GH21" s="15" t="str">
        <f>#REF!</f>
        <v>#VALUE!:noResult:No valid cells found for operation.</v>
      </c>
      <c r="GI21" s="15" t="str">
        <f>#REF!</f>
        <v>#VALUE!:noResult:No valid cells found for operation.</v>
      </c>
      <c r="GJ21" s="15" t="str">
        <f>#REF!</f>
        <v>#VALUE!:noResult:No valid cells found for operation.</v>
      </c>
      <c r="GK21" s="15" t="str">
        <f>#REF!</f>
        <v>#VALUE!:noResult:No valid cells found for operation.</v>
      </c>
      <c r="GL21" s="15" t="str">
        <f>#REF!</f>
        <v>#VALUE!:noResult:No valid cells found for operation.</v>
      </c>
      <c r="GM21" s="15" t="str">
        <f>#REF!</f>
        <v>#VALUE!:noResult:No valid cells found for operation.</v>
      </c>
      <c r="GN21" s="15">
        <f>IF(Trans!R[253],"AAAAAHC3m8M=",0)</f>
        <v>0</v>
      </c>
      <c r="GO21" s="15" t="b">
        <f>AND(Trans!A274,"AAAAAHC3m8Q=")</f>
        <v>1</v>
      </c>
      <c r="GP21" s="15" t="str">
        <f>AND(Trans!B274,"AAAAAHC3m8U=")</f>
        <v>#VALUE!:noResult:No valid cells found for operation.</v>
      </c>
      <c r="GQ21" s="15" t="b">
        <f>AND(Trans!C274,"AAAAAHC3m8Y=")</f>
        <v>1</v>
      </c>
      <c r="GR21" s="15" t="b">
        <f>AND(Trans!D274,"AAAAAHC3m8c=")</f>
        <v>1</v>
      </c>
      <c r="GS21" s="15" t="str">
        <f>AND(Trans!E274,"AAAAAHC3m8g=")</f>
        <v>#VALUE!:noResult:No valid cells found for operation.</v>
      </c>
      <c r="GT21" s="15" t="str">
        <f>AND(Trans!F274,"AAAAAHC3m8k=")</f>
        <v>#VALUE!:noResult:No valid cells found for operation.</v>
      </c>
      <c r="GU21" s="15" t="str">
        <f>AND(Trans!G274,"AAAAAHC3m8o=")</f>
        <v>#VALUE!:noResult:No valid cells found for operation.</v>
      </c>
      <c r="GV21" s="15" t="str">
        <f>#REF!</f>
        <v>#VALUE!:noResult:No valid cells found for operation.</v>
      </c>
      <c r="GW21" s="15" t="str">
        <f>AND(Trans!H274,"AAAAAHC3m8w=")</f>
        <v>#VALUE!:noResult:No valid cells found for operation.</v>
      </c>
      <c r="GX21" s="15" t="str">
        <f>#REF!</f>
        <v>#VALUE!:noResult:No valid cells found for operation.</v>
      </c>
      <c r="GY21" s="15" t="str">
        <f>#REF!</f>
        <v>#VALUE!:noResult:No valid cells found for operation.</v>
      </c>
      <c r="GZ21" s="15" t="str">
        <f>#REF!</f>
        <v>#VALUE!:noResult:No valid cells found for operation.</v>
      </c>
      <c r="HA21" s="15" t="str">
        <f>#REF!</f>
        <v>#VALUE!:noResult:No valid cells found for operation.</v>
      </c>
      <c r="HB21" s="15" t="str">
        <f>#REF!</f>
        <v>#VALUE!:noResult:No valid cells found for operation.</v>
      </c>
      <c r="HC21" s="15" t="str">
        <f>#REF!</f>
        <v>#VALUE!:noResult:No valid cells found for operation.</v>
      </c>
      <c r="HD21" s="15">
        <f>IF(Trans!R[254],"AAAAAHC3m9M=",0)</f>
        <v>0</v>
      </c>
      <c r="HE21" s="15" t="b">
        <f>AND(Trans!A275,"AAAAAHC3m9Q=")</f>
        <v>1</v>
      </c>
      <c r="HF21" s="15" t="str">
        <f>AND(Trans!B275,"AAAAAHC3m9U=")</f>
        <v>#VALUE!:noResult:No valid cells found for operation.</v>
      </c>
      <c r="HG21" s="15" t="b">
        <f>AND(Trans!C275,"AAAAAHC3m9Y=")</f>
        <v>1</v>
      </c>
      <c r="HH21" s="15" t="b">
        <f>AND(Trans!D275,"AAAAAHC3m9c=")</f>
        <v>1</v>
      </c>
      <c r="HI21" s="15" t="str">
        <f>AND(Trans!E275,"AAAAAHC3m9g=")</f>
        <v>#VALUE!:noResult:No valid cells found for operation.</v>
      </c>
      <c r="HJ21" s="15" t="str">
        <f>AND(Trans!F275,"AAAAAHC3m9k=")</f>
        <v>#VALUE!:noResult:No valid cells found for operation.</v>
      </c>
      <c r="HK21" s="15" t="str">
        <f>AND(Trans!G275,"AAAAAHC3m9o=")</f>
        <v>#VALUE!:noResult:No valid cells found for operation.</v>
      </c>
      <c r="HL21" s="15" t="str">
        <f>#REF!</f>
        <v>#VALUE!:noResult:No valid cells found for operation.</v>
      </c>
      <c r="HM21" s="15" t="str">
        <f>AND(Trans!H275,"AAAAAHC3m9w=")</f>
        <v>#VALUE!:noResult:No valid cells found for operation.</v>
      </c>
      <c r="HN21" s="15" t="str">
        <f>#REF!</f>
        <v>#VALUE!:noResult:No valid cells found for operation.</v>
      </c>
      <c r="HO21" s="15" t="str">
        <f>#REF!</f>
        <v>#VALUE!:noResult:No valid cells found for operation.</v>
      </c>
      <c r="HP21" s="15" t="str">
        <f>#REF!</f>
        <v>#VALUE!:noResult:No valid cells found for operation.</v>
      </c>
      <c r="HQ21" s="15" t="str">
        <f>#REF!</f>
        <v>#VALUE!:noResult:No valid cells found for operation.</v>
      </c>
      <c r="HR21" s="15" t="str">
        <f>#REF!</f>
        <v>#VALUE!:noResult:No valid cells found for operation.</v>
      </c>
      <c r="HS21" s="15" t="str">
        <f>#REF!</f>
        <v>#VALUE!:noResult:No valid cells found for operation.</v>
      </c>
      <c r="HT21" s="15">
        <f>IF(Trans!R[255],"AAAAAHC3m+M=",0)</f>
        <v>0</v>
      </c>
      <c r="HU21" s="15" t="b">
        <f>AND(Trans!A276,"AAAAAHC3m+Q=")</f>
        <v>1</v>
      </c>
      <c r="HV21" s="15" t="str">
        <f>AND(Trans!B276,"AAAAAHC3m+U=")</f>
        <v>#VALUE!:noResult:No valid cells found for operation.</v>
      </c>
      <c r="HW21" s="15" t="b">
        <f>AND(Trans!C276,"AAAAAHC3m+Y=")</f>
        <v>1</v>
      </c>
      <c r="HX21" s="15" t="b">
        <f>AND(Trans!D276,"AAAAAHC3m+c=")</f>
        <v>1</v>
      </c>
      <c r="HY21" s="15" t="str">
        <f>AND(Trans!E276,"AAAAAHC3m+g=")</f>
        <v>#VALUE!:noResult:No valid cells found for operation.</v>
      </c>
      <c r="HZ21" s="15" t="str">
        <f>AND(Trans!F276,"AAAAAHC3m+k=")</f>
        <v>#VALUE!:noResult:No valid cells found for operation.</v>
      </c>
      <c r="IA21" s="15" t="str">
        <f>AND(Trans!G276,"AAAAAHC3m+o=")</f>
        <v>#VALUE!:noResult:No valid cells found for operation.</v>
      </c>
      <c r="IB21" s="15" t="str">
        <f>#REF!</f>
        <v>#VALUE!:noResult:No valid cells found for operation.</v>
      </c>
      <c r="IC21" s="15" t="str">
        <f>AND(Trans!H276,"AAAAAHC3m+w=")</f>
        <v>#VALUE!:noResult:No valid cells found for operation.</v>
      </c>
      <c r="ID21" s="15" t="str">
        <f>#REF!</f>
        <v>#VALUE!:noResult:No valid cells found for operation.</v>
      </c>
      <c r="IE21" s="15" t="str">
        <f>#REF!</f>
        <v>#VALUE!:noResult:No valid cells found for operation.</v>
      </c>
      <c r="IF21" s="15" t="str">
        <f>#REF!</f>
        <v>#VALUE!:noResult:No valid cells found for operation.</v>
      </c>
      <c r="IG21" s="15" t="str">
        <f>#REF!</f>
        <v>#VALUE!:noResult:No valid cells found for operation.</v>
      </c>
      <c r="IH21" s="15" t="str">
        <f>#REF!</f>
        <v>#VALUE!:noResult:No valid cells found for operation.</v>
      </c>
      <c r="II21" s="15" t="str">
        <f>#REF!</f>
        <v>#VALUE!:noResult:No valid cells found for operation.</v>
      </c>
      <c r="IJ21" s="15">
        <f>IF(Trans!R[256],"AAAAAHC3m/M=",0)</f>
        <v>0</v>
      </c>
      <c r="IK21" s="15" t="b">
        <f>AND(Trans!A277,"AAAAAHC3m/Q=")</f>
        <v>1</v>
      </c>
      <c r="IL21" s="15" t="str">
        <f>AND(Trans!B277,"AAAAAHC3m/U=")</f>
        <v>#VALUE!:noResult:No valid cells found for operation.</v>
      </c>
      <c r="IM21" s="15" t="b">
        <f>AND(Trans!C277,"AAAAAHC3m/Y=")</f>
        <v>1</v>
      </c>
      <c r="IN21" s="15" t="b">
        <f>AND(Trans!D277,"AAAAAHC3m/c=")</f>
        <v>1</v>
      </c>
      <c r="IO21" s="15" t="str">
        <f>AND(Trans!E277,"AAAAAHC3m/g=")</f>
        <v>#VALUE!:noResult:No valid cells found for operation.</v>
      </c>
      <c r="IP21" s="15" t="str">
        <f>AND(Trans!F277,"AAAAAHC3m/k=")</f>
        <v>#VALUE!:noResult:No valid cells found for operation.</v>
      </c>
      <c r="IQ21" s="15" t="str">
        <f>AND(Trans!G277,"AAAAAHC3m/o=")</f>
        <v>#VALUE!:noResult:No valid cells found for operation.</v>
      </c>
      <c r="IR21" s="15" t="str">
        <f>#REF!</f>
        <v>#VALUE!:noResult:No valid cells found for operation.</v>
      </c>
      <c r="IS21" s="15" t="str">
        <f>AND(Trans!H277,"AAAAAHC3m/w=")</f>
        <v>#VALUE!:noResult:No valid cells found for operation.</v>
      </c>
      <c r="IT21" s="15" t="str">
        <f>#REF!</f>
        <v>#VALUE!:noResult:No valid cells found for operation.</v>
      </c>
      <c r="IU21" s="15" t="str">
        <f>#REF!</f>
        <v>#VALUE!:noResult:No valid cells found for operation.</v>
      </c>
      <c r="IV21" s="15" t="str">
        <f>#REF!</f>
        <v>#VALUE!:noResult:No valid cells found for operation.</v>
      </c>
    </row>
    <row r="22">
      <c r="A22" s="15" t="str">
        <f>#REF!</f>
        <v>#VALUE!:noResult:No valid cells found for operation.</v>
      </c>
      <c r="B22" s="15" t="str">
        <f>#REF!</f>
        <v>#VALUE!:noResult:No valid cells found for operation.</v>
      </c>
      <c r="C22" s="15" t="str">
        <f>#REF!</f>
        <v>#VALUE!:noResult:No valid cells found for operation.</v>
      </c>
      <c r="D22" s="15" t="str">
        <f>IF(Trans!R[256],"AAAAAG978wM=",0)</f>
        <v>AAAAAG978wM=</v>
      </c>
      <c r="E22" s="15" t="b">
        <f>AND(Trans!A278,"AAAAAG978wQ=")</f>
        <v>1</v>
      </c>
      <c r="F22" s="15" t="str">
        <f>AND(Trans!B278,"AAAAAG978wU=")</f>
        <v>#VALUE!:noResult:No valid cells found for operation.</v>
      </c>
      <c r="G22" s="15" t="b">
        <f>AND(Trans!C278,"AAAAAG978wY=")</f>
        <v>1</v>
      </c>
      <c r="H22" s="15" t="b">
        <f>AND(Trans!D278,"AAAAAG978wc=")</f>
        <v>1</v>
      </c>
      <c r="I22" s="15" t="str">
        <f>AND(Trans!E278,"AAAAAG978wg=")</f>
        <v>#VALUE!:noResult:No valid cells found for operation.</v>
      </c>
      <c r="J22" s="15" t="str">
        <f>AND(Trans!F278,"AAAAAG978wk=")</f>
        <v>#VALUE!:noResult:No valid cells found for operation.</v>
      </c>
      <c r="K22" s="15" t="str">
        <f>AND(Trans!G278,"AAAAAG978wo=")</f>
        <v>#VALUE!:noResult:No valid cells found for operation.</v>
      </c>
      <c r="L22" s="15" t="str">
        <f>#REF!</f>
        <v>#VALUE!:noResult:No valid cells found for operation.</v>
      </c>
      <c r="M22" s="15" t="str">
        <f>AND(Trans!H278,"AAAAAG978ww=")</f>
        <v>#VALUE!:noResult:No valid cells found for operation.</v>
      </c>
      <c r="N22" s="15" t="str">
        <f>#REF!</f>
        <v>#VALUE!:noResult:No valid cells found for operation.</v>
      </c>
      <c r="O22" s="15" t="str">
        <f>#REF!</f>
        <v>#VALUE!:noResult:No valid cells found for operation.</v>
      </c>
      <c r="P22" s="15" t="str">
        <f>#REF!</f>
        <v>#VALUE!:noResult:No valid cells found for operation.</v>
      </c>
      <c r="Q22" s="15" t="str">
        <f>#REF!</f>
        <v>#VALUE!:noResult:No valid cells found for operation.</v>
      </c>
      <c r="R22" s="15" t="str">
        <f>#REF!</f>
        <v>#VALUE!:noResult:No valid cells found for operation.</v>
      </c>
      <c r="S22" s="15" t="str">
        <f>#REF!</f>
        <v>#VALUE!:noResult:No valid cells found for operation.</v>
      </c>
      <c r="T22" s="15">
        <f>IF(Trans!R[257],"AAAAAG978xM=",0)</f>
        <v>0</v>
      </c>
      <c r="U22" s="15" t="b">
        <f>AND(Trans!A279,"AAAAAG978xQ=")</f>
        <v>1</v>
      </c>
      <c r="V22" s="15" t="str">
        <f>AND(Trans!B279,"AAAAAG978xU=")</f>
        <v>#VALUE!:noResult:No valid cells found for operation.</v>
      </c>
      <c r="W22" s="15" t="b">
        <f>AND(Trans!C279,"AAAAAG978xY=")</f>
        <v>1</v>
      </c>
      <c r="X22" s="15" t="b">
        <f>AND(Trans!D279,"AAAAAG978xc=")</f>
        <v>1</v>
      </c>
      <c r="Y22" s="15" t="str">
        <f>AND(Trans!E279,"AAAAAG978xg=")</f>
        <v>#VALUE!:noResult:No valid cells found for operation.</v>
      </c>
      <c r="Z22" s="15" t="str">
        <f>AND(Trans!F279,"AAAAAG978xk=")</f>
        <v>#VALUE!:noResult:No valid cells found for operation.</v>
      </c>
      <c r="AA22" s="15" t="str">
        <f>AND(Trans!G279,"AAAAAG978xo=")</f>
        <v>#VALUE!:noResult:No valid cells found for operation.</v>
      </c>
      <c r="AB22" s="15" t="str">
        <f>#REF!</f>
        <v>#VALUE!:noResult:No valid cells found for operation.</v>
      </c>
      <c r="AC22" s="15" t="str">
        <f>AND(Trans!H279,"AAAAAG978xw=")</f>
        <v>#VALUE!:noResult:No valid cells found for operation.</v>
      </c>
      <c r="AD22" s="15" t="str">
        <f>#REF!</f>
        <v>#VALUE!:noResult:No valid cells found for operation.</v>
      </c>
      <c r="AE22" s="15" t="str">
        <f>#REF!</f>
        <v>#VALUE!:noResult:No valid cells found for operation.</v>
      </c>
      <c r="AF22" s="15" t="str">
        <f>#REF!</f>
        <v>#VALUE!:noResult:No valid cells found for operation.</v>
      </c>
      <c r="AG22" s="15" t="str">
        <f>#REF!</f>
        <v>#VALUE!:noResult:No valid cells found for operation.</v>
      </c>
      <c r="AH22" s="15" t="str">
        <f>#REF!</f>
        <v>#VALUE!:noResult:No valid cells found for operation.</v>
      </c>
      <c r="AI22" s="15" t="str">
        <f>#REF!</f>
        <v>#VALUE!:noResult:No valid cells found for operation.</v>
      </c>
      <c r="AJ22" s="15">
        <f>IF(Trans!R[258],"AAAAAG978yM=",0)</f>
        <v>0</v>
      </c>
      <c r="AK22" s="15" t="b">
        <f>AND(Trans!A280,"AAAAAG978yQ=")</f>
        <v>1</v>
      </c>
      <c r="AL22" s="15" t="str">
        <f>AND(Trans!B280,"AAAAAG978yU=")</f>
        <v>#VALUE!:noResult:No valid cells found for operation.</v>
      </c>
      <c r="AM22" s="15" t="b">
        <f>AND(Trans!C280,"AAAAAG978yY=")</f>
        <v>1</v>
      </c>
      <c r="AN22" s="15" t="b">
        <f>AND(Trans!D280,"AAAAAG978yc=")</f>
        <v>1</v>
      </c>
      <c r="AO22" s="15" t="str">
        <f>AND(Trans!E280,"AAAAAG978yg=")</f>
        <v>#VALUE!:noResult:No valid cells found for operation.</v>
      </c>
      <c r="AP22" s="15" t="str">
        <f>AND(Trans!F280,"AAAAAG978yk=")</f>
        <v>#VALUE!:noResult:No valid cells found for operation.</v>
      </c>
      <c r="AQ22" s="15" t="str">
        <f>AND(Trans!G280,"AAAAAG978yo=")</f>
        <v>#VALUE!:noResult:No valid cells found for operation.</v>
      </c>
      <c r="AR22" s="15" t="str">
        <f>#REF!</f>
        <v>#VALUE!:noResult:No valid cells found for operation.</v>
      </c>
      <c r="AS22" s="15" t="str">
        <f>AND(Trans!H280,"AAAAAG978yw=")</f>
        <v>#VALUE!:noResult:No valid cells found for operation.</v>
      </c>
      <c r="AT22" s="15" t="str">
        <f>#REF!</f>
        <v>#VALUE!:noResult:No valid cells found for operation.</v>
      </c>
      <c r="AU22" s="15" t="str">
        <f>#REF!</f>
        <v>#VALUE!:noResult:No valid cells found for operation.</v>
      </c>
      <c r="AV22" s="15" t="str">
        <f>#REF!</f>
        <v>#VALUE!:noResult:No valid cells found for operation.</v>
      </c>
      <c r="AW22" s="15" t="str">
        <f>#REF!</f>
        <v>#VALUE!:noResult:No valid cells found for operation.</v>
      </c>
      <c r="AX22" s="15" t="str">
        <f>#REF!</f>
        <v>#VALUE!:noResult:No valid cells found for operation.</v>
      </c>
      <c r="AY22" s="15" t="str">
        <f>#REF!</f>
        <v>#VALUE!:noResult:No valid cells found for operation.</v>
      </c>
      <c r="AZ22" s="15">
        <f>IF(Trans!R[259],"AAAAAG978zM=",0)</f>
        <v>0</v>
      </c>
      <c r="BA22" s="15" t="b">
        <f>AND(Trans!A281,"AAAAAG978zQ=")</f>
        <v>1</v>
      </c>
      <c r="BB22" s="15" t="str">
        <f>AND(Trans!B281,"AAAAAG978zU=")</f>
        <v>#VALUE!:noResult:No valid cells found for operation.</v>
      </c>
      <c r="BC22" s="15" t="b">
        <f>AND(Trans!C281,"AAAAAG978zY=")</f>
        <v>1</v>
      </c>
      <c r="BD22" s="15" t="b">
        <f>AND(Trans!D281,"AAAAAG978zc=")</f>
        <v>1</v>
      </c>
      <c r="BE22" s="15" t="str">
        <f>AND(Trans!E281,"AAAAAG978zg=")</f>
        <v>#VALUE!:noResult:No valid cells found for operation.</v>
      </c>
      <c r="BF22" s="15" t="str">
        <f>AND(Trans!F281,"AAAAAG978zk=")</f>
        <v>#VALUE!:noResult:No valid cells found for operation.</v>
      </c>
      <c r="BG22" s="15" t="str">
        <f>AND(Trans!G281,"AAAAAG978zo=")</f>
        <v>#VALUE!:noResult:No valid cells found for operation.</v>
      </c>
      <c r="BH22" s="15" t="str">
        <f>#REF!</f>
        <v>#VALUE!:noResult:No valid cells found for operation.</v>
      </c>
      <c r="BI22" s="15" t="str">
        <f>AND(Trans!H281,"AAAAAG978zw=")</f>
        <v>#VALUE!:noResult:No valid cells found for operation.</v>
      </c>
      <c r="BJ22" s="15" t="str">
        <f>#REF!</f>
        <v>#VALUE!:noResult:No valid cells found for operation.</v>
      </c>
      <c r="BK22" s="15" t="str">
        <f>#REF!</f>
        <v>#VALUE!:noResult:No valid cells found for operation.</v>
      </c>
      <c r="BL22" s="15" t="str">
        <f>#REF!</f>
        <v>#VALUE!:noResult:No valid cells found for operation.</v>
      </c>
      <c r="BM22" s="15" t="str">
        <f>#REF!</f>
        <v>#VALUE!:noResult:No valid cells found for operation.</v>
      </c>
      <c r="BN22" s="15" t="str">
        <f>#REF!</f>
        <v>#VALUE!:noResult:No valid cells found for operation.</v>
      </c>
      <c r="BO22" s="15" t="str">
        <f>#REF!</f>
        <v>#VALUE!:noResult:No valid cells found for operation.</v>
      </c>
      <c r="BP22" s="15">
        <f>IF(Trans!R[260],"AAAAAG9780M=",0)</f>
        <v>0</v>
      </c>
      <c r="BQ22" s="15" t="b">
        <f>AND(Trans!A282,"AAAAAG9780Q=")</f>
        <v>1</v>
      </c>
      <c r="BR22" s="15" t="str">
        <f>AND(Trans!B282,"AAAAAG9780U=")</f>
        <v>#VALUE!:noResult:No valid cells found for operation.</v>
      </c>
      <c r="BS22" s="15" t="b">
        <f>AND(Trans!C282,"AAAAAG9780Y=")</f>
        <v>1</v>
      </c>
      <c r="BT22" s="15" t="b">
        <f>AND(Trans!D282,"AAAAAG9780c=")</f>
        <v>1</v>
      </c>
      <c r="BU22" s="15" t="str">
        <f>AND(Trans!E282,"AAAAAG9780g=")</f>
        <v>#VALUE!:noResult:No valid cells found for operation.</v>
      </c>
      <c r="BV22" s="15" t="str">
        <f>AND(Trans!F282,"AAAAAG9780k=")</f>
        <v>#VALUE!:noResult:No valid cells found for operation.</v>
      </c>
      <c r="BW22" s="15" t="str">
        <f>AND(Trans!G282,"AAAAAG9780o=")</f>
        <v>#VALUE!:noResult:No valid cells found for operation.</v>
      </c>
      <c r="BX22" s="15" t="str">
        <f>#REF!</f>
        <v>#VALUE!:noResult:No valid cells found for operation.</v>
      </c>
      <c r="BY22" s="15" t="str">
        <f>AND(Trans!H282,"AAAAAG9780w=")</f>
        <v>#VALUE!:noResult:No valid cells found for operation.</v>
      </c>
      <c r="BZ22" s="15" t="str">
        <f>#REF!</f>
        <v>#VALUE!:noResult:No valid cells found for operation.</v>
      </c>
      <c r="CA22" s="15" t="str">
        <f>#REF!</f>
        <v>#VALUE!:noResult:No valid cells found for operation.</v>
      </c>
      <c r="CB22" s="15" t="str">
        <f>#REF!</f>
        <v>#VALUE!:noResult:No valid cells found for operation.</v>
      </c>
      <c r="CC22" s="15" t="str">
        <f>#REF!</f>
        <v>#VALUE!:noResult:No valid cells found for operation.</v>
      </c>
      <c r="CD22" s="15" t="str">
        <f>#REF!</f>
        <v>#VALUE!:noResult:No valid cells found for operation.</v>
      </c>
      <c r="CE22" s="15" t="str">
        <f>#REF!</f>
        <v>#VALUE!:noResult:No valid cells found for operation.</v>
      </c>
      <c r="CF22" s="15">
        <f>IF(Trans!R[261],"AAAAAG9781M=",0)</f>
        <v>0</v>
      </c>
      <c r="CG22" s="15" t="b">
        <f>AND(Trans!A283,"AAAAAG9781Q=")</f>
        <v>1</v>
      </c>
      <c r="CH22" s="15" t="str">
        <f>AND(Trans!B283,"AAAAAG9781U=")</f>
        <v>#VALUE!:noResult:No valid cells found for operation.</v>
      </c>
      <c r="CI22" s="15" t="b">
        <f>AND(Trans!C283,"AAAAAG9781Y=")</f>
        <v>1</v>
      </c>
      <c r="CJ22" s="15" t="b">
        <f>AND(Trans!D283,"AAAAAG9781c=")</f>
        <v>1</v>
      </c>
      <c r="CK22" s="15" t="str">
        <f>AND(Trans!E283,"AAAAAG9781g=")</f>
        <v>#VALUE!:noResult:No valid cells found for operation.</v>
      </c>
      <c r="CL22" s="15" t="str">
        <f>AND(Trans!F283,"AAAAAG9781k=")</f>
        <v>#VALUE!:noResult:No valid cells found for operation.</v>
      </c>
      <c r="CM22" s="15" t="str">
        <f>AND(Trans!G283,"AAAAAG9781o=")</f>
        <v>#VALUE!:noResult:No valid cells found for operation.</v>
      </c>
      <c r="CN22" s="15" t="str">
        <f>#REF!</f>
        <v>#VALUE!:noResult:No valid cells found for operation.</v>
      </c>
      <c r="CO22" s="15" t="str">
        <f>AND(Trans!H283,"AAAAAG9781w=")</f>
        <v>#VALUE!:noResult:No valid cells found for operation.</v>
      </c>
      <c r="CP22" s="15" t="str">
        <f>#REF!</f>
        <v>#VALUE!:noResult:No valid cells found for operation.</v>
      </c>
      <c r="CQ22" s="15" t="str">
        <f>#REF!</f>
        <v>#VALUE!:noResult:No valid cells found for operation.</v>
      </c>
      <c r="CR22" s="15" t="str">
        <f>#REF!</f>
        <v>#VALUE!:noResult:No valid cells found for operation.</v>
      </c>
      <c r="CS22" s="15" t="str">
        <f>#REF!</f>
        <v>#VALUE!:noResult:No valid cells found for operation.</v>
      </c>
      <c r="CT22" s="15" t="str">
        <f>#REF!</f>
        <v>#VALUE!:noResult:No valid cells found for operation.</v>
      </c>
      <c r="CU22" s="15" t="str">
        <f>#REF!</f>
        <v>#VALUE!:noResult:No valid cells found for operation.</v>
      </c>
      <c r="CV22" s="15">
        <f>IF(Trans!R[262],"AAAAAG9782M=",0)</f>
        <v>0</v>
      </c>
      <c r="CW22" s="15" t="b">
        <f>AND(Trans!A284,"AAAAAG9782Q=")</f>
        <v>1</v>
      </c>
      <c r="CX22" s="15" t="str">
        <f>AND(Trans!B284,"AAAAAG9782U=")</f>
        <v>#VALUE!:noResult:No valid cells found for operation.</v>
      </c>
      <c r="CY22" s="15" t="b">
        <f>AND(Trans!C284,"AAAAAG9782Y=")</f>
        <v>1</v>
      </c>
      <c r="CZ22" s="15" t="b">
        <f>AND(Trans!D284,"AAAAAG9782c=")</f>
        <v>1</v>
      </c>
      <c r="DA22" s="15" t="str">
        <f>AND(Trans!E284,"AAAAAG9782g=")</f>
        <v>#VALUE!:noResult:No valid cells found for operation.</v>
      </c>
      <c r="DB22" s="15" t="str">
        <f>AND(Trans!F284,"AAAAAG9782k=")</f>
        <v>#VALUE!:noResult:No valid cells found for operation.</v>
      </c>
      <c r="DC22" s="15" t="str">
        <f>AND(Trans!G284,"AAAAAG9782o=")</f>
        <v>#VALUE!:noResult:No valid cells found for operation.</v>
      </c>
      <c r="DD22" s="15" t="str">
        <f>#REF!</f>
        <v>#VALUE!:noResult:No valid cells found for operation.</v>
      </c>
      <c r="DE22" s="15" t="str">
        <f>AND(Trans!H284,"AAAAAG9782w=")</f>
        <v>#VALUE!:noResult:No valid cells found for operation.</v>
      </c>
      <c r="DF22" s="15" t="str">
        <f>#REF!</f>
        <v>#VALUE!:noResult:No valid cells found for operation.</v>
      </c>
      <c r="DG22" s="15" t="str">
        <f>#REF!</f>
        <v>#VALUE!:noResult:No valid cells found for operation.</v>
      </c>
      <c r="DH22" s="15" t="str">
        <f>#REF!</f>
        <v>#VALUE!:noResult:No valid cells found for operation.</v>
      </c>
      <c r="DI22" s="15" t="str">
        <f>#REF!</f>
        <v>#VALUE!:noResult:No valid cells found for operation.</v>
      </c>
      <c r="DJ22" s="15" t="str">
        <f>#REF!</f>
        <v>#VALUE!:noResult:No valid cells found for operation.</v>
      </c>
      <c r="DK22" s="15" t="str">
        <f>#REF!</f>
        <v>#VALUE!:noResult:No valid cells found for operation.</v>
      </c>
      <c r="DL22" s="15">
        <f>IF(Trans!R[263],"AAAAAG9783M=",0)</f>
        <v>0</v>
      </c>
      <c r="DM22" s="15" t="b">
        <f>AND(Trans!A285,"AAAAAG9783Q=")</f>
        <v>1</v>
      </c>
      <c r="DN22" s="15" t="str">
        <f>AND(Trans!B285,"AAAAAG9783U=")</f>
        <v>#VALUE!:noResult:No valid cells found for operation.</v>
      </c>
      <c r="DO22" s="15" t="b">
        <f>AND(Trans!C285,"AAAAAG9783Y=")</f>
        <v>1</v>
      </c>
      <c r="DP22" s="15" t="b">
        <f>AND(Trans!D285,"AAAAAG9783c=")</f>
        <v>1</v>
      </c>
      <c r="DQ22" s="15" t="str">
        <f>AND(Trans!E285,"AAAAAG9783g=")</f>
        <v>#VALUE!:noResult:No valid cells found for operation.</v>
      </c>
      <c r="DR22" s="15" t="str">
        <f>AND(Trans!F285,"AAAAAG9783k=")</f>
        <v>#VALUE!:noResult:No valid cells found for operation.</v>
      </c>
      <c r="DS22" s="15" t="str">
        <f>AND(Trans!G285,"AAAAAG9783o=")</f>
        <v>#VALUE!:noResult:No valid cells found for operation.</v>
      </c>
      <c r="DT22" s="15" t="str">
        <f>#REF!</f>
        <v>#VALUE!:noResult:No valid cells found for operation.</v>
      </c>
      <c r="DU22" s="15" t="str">
        <f>AND(Trans!H285,"AAAAAG9783w=")</f>
        <v>#VALUE!:noResult:No valid cells found for operation.</v>
      </c>
      <c r="DV22" s="15" t="str">
        <f>#REF!</f>
        <v>#VALUE!:noResult:No valid cells found for operation.</v>
      </c>
      <c r="DW22" s="15" t="str">
        <f>#REF!</f>
        <v>#VALUE!:noResult:No valid cells found for operation.</v>
      </c>
      <c r="DX22" s="15" t="str">
        <f>#REF!</f>
        <v>#VALUE!:noResult:No valid cells found for operation.</v>
      </c>
      <c r="DY22" s="15" t="str">
        <f>#REF!</f>
        <v>#VALUE!:noResult:No valid cells found for operation.</v>
      </c>
      <c r="DZ22" s="15" t="str">
        <f>#REF!</f>
        <v>#VALUE!:noResult:No valid cells found for operation.</v>
      </c>
      <c r="EA22" s="15" t="str">
        <f>#REF!</f>
        <v>#VALUE!:noResult:No valid cells found for operation.</v>
      </c>
      <c r="EB22" s="15">
        <f>IF(Trans!R[264],"AAAAAG9784M=",0)</f>
        <v>0</v>
      </c>
      <c r="EC22" s="15" t="b">
        <f>AND(Trans!A286,"AAAAAG9784Q=")</f>
        <v>1</v>
      </c>
      <c r="ED22" s="15" t="str">
        <f>AND(Trans!B286,"AAAAAG9784U=")</f>
        <v>#VALUE!:noResult:No valid cells found for operation.</v>
      </c>
      <c r="EE22" s="15" t="b">
        <f>AND(Trans!C286,"AAAAAG9784Y=")</f>
        <v>1</v>
      </c>
      <c r="EF22" s="15" t="b">
        <f>AND(Trans!D286,"AAAAAG9784c=")</f>
        <v>1</v>
      </c>
      <c r="EG22" s="15" t="str">
        <f>AND(Trans!E286,"AAAAAG9784g=")</f>
        <v>#VALUE!:noResult:No valid cells found for operation.</v>
      </c>
      <c r="EH22" s="15" t="str">
        <f>AND(Trans!F286,"AAAAAG9784k=")</f>
        <v>#VALUE!:noResult:No valid cells found for operation.</v>
      </c>
      <c r="EI22" s="15" t="str">
        <f>AND(Trans!G286,"AAAAAG9784o=")</f>
        <v>#VALUE!:noResult:No valid cells found for operation.</v>
      </c>
      <c r="EJ22" s="15" t="str">
        <f>#REF!</f>
        <v>#VALUE!:noResult:No valid cells found for operation.</v>
      </c>
      <c r="EK22" s="15" t="str">
        <f>AND(Trans!H286,"AAAAAG9784w=")</f>
        <v>#VALUE!:noResult:No valid cells found for operation.</v>
      </c>
      <c r="EL22" s="15" t="str">
        <f>#REF!</f>
        <v>#VALUE!:noResult:No valid cells found for operation.</v>
      </c>
      <c r="EM22" s="15" t="str">
        <f>#REF!</f>
        <v>#VALUE!:noResult:No valid cells found for operation.</v>
      </c>
      <c r="EN22" s="15" t="str">
        <f>#REF!</f>
        <v>#VALUE!:noResult:No valid cells found for operation.</v>
      </c>
      <c r="EO22" s="15" t="str">
        <f>#REF!</f>
        <v>#VALUE!:noResult:No valid cells found for operation.</v>
      </c>
      <c r="EP22" s="15" t="str">
        <f>#REF!</f>
        <v>#VALUE!:noResult:No valid cells found for operation.</v>
      </c>
      <c r="EQ22" s="15" t="str">
        <f>#REF!</f>
        <v>#VALUE!:noResult:No valid cells found for operation.</v>
      </c>
      <c r="ER22" s="15">
        <f>IF(Trans!R[265],"AAAAAG9785M=",0)</f>
        <v>0</v>
      </c>
      <c r="ES22" s="15" t="b">
        <f>AND(Trans!A287,"AAAAAG9785Q=")</f>
        <v>1</v>
      </c>
      <c r="ET22" s="15" t="str">
        <f>AND(Trans!B287,"AAAAAG9785U=")</f>
        <v>#VALUE!:noResult:No valid cells found for operation.</v>
      </c>
      <c r="EU22" s="15" t="b">
        <f>AND(Trans!C287,"AAAAAG9785Y=")</f>
        <v>1</v>
      </c>
      <c r="EV22" s="15" t="b">
        <f>AND(Trans!D287,"AAAAAG9785c=")</f>
        <v>1</v>
      </c>
      <c r="EW22" s="15" t="str">
        <f>AND(Trans!E287,"AAAAAG9785g=")</f>
        <v>#VALUE!:noResult:No valid cells found for operation.</v>
      </c>
      <c r="EX22" s="15" t="str">
        <f>AND(Trans!F287,"AAAAAG9785k=")</f>
        <v>#VALUE!:noResult:No valid cells found for operation.</v>
      </c>
      <c r="EY22" s="15" t="str">
        <f>AND(Trans!G287,"AAAAAG9785o=")</f>
        <v>#VALUE!:noResult:No valid cells found for operation.</v>
      </c>
      <c r="EZ22" s="15" t="str">
        <f>#REF!</f>
        <v>#VALUE!:noResult:No valid cells found for operation.</v>
      </c>
      <c r="FA22" s="15" t="str">
        <f>AND(Trans!H287,"AAAAAG9785w=")</f>
        <v>#VALUE!:noResult:No valid cells found for operation.</v>
      </c>
      <c r="FB22" s="15" t="str">
        <f>#REF!</f>
        <v>#VALUE!:noResult:No valid cells found for operation.</v>
      </c>
      <c r="FC22" s="15" t="str">
        <f>#REF!</f>
        <v>#VALUE!:noResult:No valid cells found for operation.</v>
      </c>
      <c r="FD22" s="15" t="str">
        <f>#REF!</f>
        <v>#VALUE!:noResult:No valid cells found for operation.</v>
      </c>
      <c r="FE22" s="15" t="str">
        <f>#REF!</f>
        <v>#VALUE!:noResult:No valid cells found for operation.</v>
      </c>
      <c r="FF22" s="15" t="str">
        <f>#REF!</f>
        <v>#VALUE!:noResult:No valid cells found for operation.</v>
      </c>
      <c r="FG22" s="15" t="str">
        <f>#REF!</f>
        <v>#VALUE!:noResult:No valid cells found for operation.</v>
      </c>
      <c r="FH22" s="15">
        <f>IF(Trans!R[266],"AAAAAG9786M=",0)</f>
        <v>0</v>
      </c>
      <c r="FI22" s="15" t="b">
        <f>AND(Trans!A288,"AAAAAG9786Q=")</f>
        <v>1</v>
      </c>
      <c r="FJ22" s="15" t="str">
        <f>AND(Trans!B288,"AAAAAG9786U=")</f>
        <v>#VALUE!:noResult:No valid cells found for operation.</v>
      </c>
      <c r="FK22" s="15" t="b">
        <f>AND(Trans!C288,"AAAAAG9786Y=")</f>
        <v>1</v>
      </c>
      <c r="FL22" s="15" t="b">
        <f>AND(Trans!D288,"AAAAAG9786c=")</f>
        <v>1</v>
      </c>
      <c r="FM22" s="15" t="str">
        <f>AND(Trans!E288,"AAAAAG9786g=")</f>
        <v>#VALUE!:noResult:No valid cells found for operation.</v>
      </c>
      <c r="FN22" s="15" t="str">
        <f>AND(Trans!F288,"AAAAAG9786k=")</f>
        <v>#VALUE!:noResult:No valid cells found for operation.</v>
      </c>
      <c r="FO22" s="15" t="str">
        <f>AND(Trans!G288,"AAAAAG9786o=")</f>
        <v>#VALUE!:noResult:No valid cells found for operation.</v>
      </c>
      <c r="FP22" s="15" t="str">
        <f>#REF!</f>
        <v>#VALUE!:noResult:No valid cells found for operation.</v>
      </c>
      <c r="FQ22" s="15" t="str">
        <f>AND(Trans!H288,"AAAAAG9786w=")</f>
        <v>#VALUE!:noResult:No valid cells found for operation.</v>
      </c>
      <c r="FR22" s="15" t="str">
        <f>#REF!</f>
        <v>#VALUE!:noResult:No valid cells found for operation.</v>
      </c>
      <c r="FS22" s="15" t="str">
        <f>#REF!</f>
        <v>#VALUE!:noResult:No valid cells found for operation.</v>
      </c>
      <c r="FT22" s="15" t="str">
        <f>#REF!</f>
        <v>#VALUE!:noResult:No valid cells found for operation.</v>
      </c>
      <c r="FU22" s="15" t="str">
        <f>#REF!</f>
        <v>#VALUE!:noResult:No valid cells found for operation.</v>
      </c>
      <c r="FV22" s="15" t="str">
        <f>#REF!</f>
        <v>#VALUE!:noResult:No valid cells found for operation.</v>
      </c>
      <c r="FW22" s="15" t="str">
        <f>#REF!</f>
        <v>#VALUE!:noResult:No valid cells found for operation.</v>
      </c>
      <c r="FX22" s="15">
        <f>IF(Trans!R[267],"AAAAAG9787M=",0)</f>
        <v>0</v>
      </c>
      <c r="FY22" s="15" t="b">
        <f>AND(Trans!A289,"AAAAAG9787Q=")</f>
        <v>1</v>
      </c>
      <c r="FZ22" s="15" t="str">
        <f>AND(Trans!B289,"AAAAAG9787U=")</f>
        <v>#VALUE!:noResult:No valid cells found for operation.</v>
      </c>
      <c r="GA22" s="15" t="b">
        <f>AND(Trans!C289,"AAAAAG9787Y=")</f>
        <v>1</v>
      </c>
      <c r="GB22" s="15" t="b">
        <f>AND(Trans!D289,"AAAAAG9787c=")</f>
        <v>1</v>
      </c>
      <c r="GC22" s="15" t="str">
        <f>AND(Trans!E289,"AAAAAG9787g=")</f>
        <v>#VALUE!:noResult:No valid cells found for operation.</v>
      </c>
      <c r="GD22" s="15" t="str">
        <f>AND(Trans!F289,"AAAAAG9787k=")</f>
        <v>#VALUE!:noResult:No valid cells found for operation.</v>
      </c>
      <c r="GE22" s="15" t="str">
        <f>AND(Trans!G289,"AAAAAG9787o=")</f>
        <v>#VALUE!:noResult:No valid cells found for operation.</v>
      </c>
      <c r="GF22" s="15" t="str">
        <f>#REF!</f>
        <v>#VALUE!:noResult:No valid cells found for operation.</v>
      </c>
      <c r="GG22" s="15" t="str">
        <f>AND(Trans!H289,"AAAAAG9787w=")</f>
        <v>#VALUE!:noResult:No valid cells found for operation.</v>
      </c>
      <c r="GH22" s="15" t="str">
        <f>#REF!</f>
        <v>#VALUE!:noResult:No valid cells found for operation.</v>
      </c>
      <c r="GI22" s="15" t="str">
        <f>#REF!</f>
        <v>#VALUE!:noResult:No valid cells found for operation.</v>
      </c>
      <c r="GJ22" s="15" t="str">
        <f>#REF!</f>
        <v>#VALUE!:noResult:No valid cells found for operation.</v>
      </c>
      <c r="GK22" s="15" t="str">
        <f>#REF!</f>
        <v>#VALUE!:noResult:No valid cells found for operation.</v>
      </c>
      <c r="GL22" s="15" t="str">
        <f>#REF!</f>
        <v>#VALUE!:noResult:No valid cells found for operation.</v>
      </c>
      <c r="GM22" s="15" t="str">
        <f>#REF!</f>
        <v>#VALUE!:noResult:No valid cells found for operation.</v>
      </c>
      <c r="GN22" s="15">
        <f>IF(Trans!R[268],"AAAAAG9788M=",0)</f>
        <v>0</v>
      </c>
      <c r="GO22" s="15" t="b">
        <f>AND(Trans!A290,"AAAAAG9788Q=")</f>
        <v>1</v>
      </c>
      <c r="GP22" s="15" t="str">
        <f>AND(Trans!B290,"AAAAAG9788U=")</f>
        <v>#VALUE!:noResult:No valid cells found for operation.</v>
      </c>
      <c r="GQ22" s="15" t="b">
        <f>AND(Trans!C290,"AAAAAG9788Y=")</f>
        <v>1</v>
      </c>
      <c r="GR22" s="15" t="b">
        <f>AND(Trans!D290,"AAAAAG9788c=")</f>
        <v>1</v>
      </c>
      <c r="GS22" s="15" t="str">
        <f>AND(Trans!E290,"AAAAAG9788g=")</f>
        <v>#VALUE!:noResult:No valid cells found for operation.</v>
      </c>
      <c r="GT22" s="15" t="str">
        <f>AND(Trans!F290,"AAAAAG9788k=")</f>
        <v>#VALUE!:noResult:No valid cells found for operation.</v>
      </c>
      <c r="GU22" s="15" t="str">
        <f>AND(Trans!G290,"AAAAAG9788o=")</f>
        <v>#VALUE!:noResult:No valid cells found for operation.</v>
      </c>
      <c r="GV22" s="15" t="str">
        <f>#REF!</f>
        <v>#VALUE!:noResult:No valid cells found for operation.</v>
      </c>
      <c r="GW22" s="15" t="str">
        <f>AND(Trans!H290,"AAAAAG9788w=")</f>
        <v>#VALUE!:noResult:No valid cells found for operation.</v>
      </c>
      <c r="GX22" s="15" t="str">
        <f>#REF!</f>
        <v>#VALUE!:noResult:No valid cells found for operation.</v>
      </c>
      <c r="GY22" s="15" t="str">
        <f>#REF!</f>
        <v>#VALUE!:noResult:No valid cells found for operation.</v>
      </c>
      <c r="GZ22" s="15" t="str">
        <f>#REF!</f>
        <v>#VALUE!:noResult:No valid cells found for operation.</v>
      </c>
      <c r="HA22" s="15" t="str">
        <f>#REF!</f>
        <v>#VALUE!:noResult:No valid cells found for operation.</v>
      </c>
      <c r="HB22" s="15" t="str">
        <f>#REF!</f>
        <v>#VALUE!:noResult:No valid cells found for operation.</v>
      </c>
      <c r="HC22" s="15" t="str">
        <f>#REF!</f>
        <v>#VALUE!:noResult:No valid cells found for operation.</v>
      </c>
      <c r="HD22" s="15">
        <f>IF(Trans!R[269],"AAAAAG9789M=",0)</f>
        <v>0</v>
      </c>
      <c r="HE22" s="15" t="b">
        <f>AND(Trans!A291,"AAAAAG9789Q=")</f>
        <v>1</v>
      </c>
      <c r="HF22" s="15" t="str">
        <f>AND(Trans!B291,"AAAAAG9789U=")</f>
        <v>#VALUE!:noResult:No valid cells found for operation.</v>
      </c>
      <c r="HG22" s="15" t="b">
        <f>AND(Trans!C291,"AAAAAG9789Y=")</f>
        <v>1</v>
      </c>
      <c r="HH22" s="15" t="b">
        <f>AND(Trans!D291,"AAAAAG9789c=")</f>
        <v>1</v>
      </c>
      <c r="HI22" s="15" t="str">
        <f>AND(Trans!E291,"AAAAAG9789g=")</f>
        <v>#VALUE!:noResult:No valid cells found for operation.</v>
      </c>
      <c r="HJ22" s="15" t="str">
        <f>AND(Trans!F291,"AAAAAG9789k=")</f>
        <v>#VALUE!:noResult:No valid cells found for operation.</v>
      </c>
      <c r="HK22" s="15" t="str">
        <f>AND(Trans!G291,"AAAAAG9789o=")</f>
        <v>#VALUE!:noResult:No valid cells found for operation.</v>
      </c>
      <c r="HL22" s="15" t="str">
        <f>#REF!</f>
        <v>#VALUE!:noResult:No valid cells found for operation.</v>
      </c>
      <c r="HM22" s="15" t="str">
        <f>AND(Trans!H291,"AAAAAG9789w=")</f>
        <v>#VALUE!:noResult:No valid cells found for operation.</v>
      </c>
      <c r="HN22" s="15" t="str">
        <f>#REF!</f>
        <v>#VALUE!:noResult:No valid cells found for operation.</v>
      </c>
      <c r="HO22" s="15" t="str">
        <f>#REF!</f>
        <v>#VALUE!:noResult:No valid cells found for operation.</v>
      </c>
      <c r="HP22" s="15" t="str">
        <f>#REF!</f>
        <v>#VALUE!:noResult:No valid cells found for operation.</v>
      </c>
      <c r="HQ22" s="15" t="str">
        <f>#REF!</f>
        <v>#VALUE!:noResult:No valid cells found for operation.</v>
      </c>
      <c r="HR22" s="15" t="str">
        <f>#REF!</f>
        <v>#VALUE!:noResult:No valid cells found for operation.</v>
      </c>
      <c r="HS22" s="15" t="str">
        <f>#REF!</f>
        <v>#VALUE!:noResult:No valid cells found for operation.</v>
      </c>
      <c r="HT22" s="15">
        <f>IF(Trans!R[270],"AAAAAG978+M=",0)</f>
        <v>0</v>
      </c>
      <c r="HU22" s="15" t="b">
        <f>AND(Trans!A292,"AAAAAG978+Q=")</f>
        <v>1</v>
      </c>
      <c r="HV22" s="15" t="str">
        <f>AND(Trans!B292,"AAAAAG978+U=")</f>
        <v>#VALUE!:noResult:No valid cells found for operation.</v>
      </c>
      <c r="HW22" s="15" t="b">
        <f>AND(Trans!C292,"AAAAAG978+Y=")</f>
        <v>1</v>
      </c>
      <c r="HX22" s="15" t="b">
        <f>AND(Trans!D292,"AAAAAG978+c=")</f>
        <v>1</v>
      </c>
      <c r="HY22" s="15" t="str">
        <f>AND(Trans!E292,"AAAAAG978+g=")</f>
        <v>#VALUE!:noResult:No valid cells found for operation.</v>
      </c>
      <c r="HZ22" s="15" t="str">
        <f>AND(Trans!F292,"AAAAAG978+k=")</f>
        <v>#VALUE!:noResult:No valid cells found for operation.</v>
      </c>
      <c r="IA22" s="15" t="str">
        <f>AND(Trans!G292,"AAAAAG978+o=")</f>
        <v>#VALUE!:noResult:No valid cells found for operation.</v>
      </c>
      <c r="IB22" s="15" t="str">
        <f>#REF!</f>
        <v>#VALUE!:noResult:No valid cells found for operation.</v>
      </c>
      <c r="IC22" s="15" t="str">
        <f>AND(Trans!H292,"AAAAAG978+w=")</f>
        <v>#VALUE!:noResult:No valid cells found for operation.</v>
      </c>
      <c r="ID22" s="15" t="str">
        <f>#REF!</f>
        <v>#VALUE!:noResult:No valid cells found for operation.</v>
      </c>
      <c r="IE22" s="15" t="str">
        <f>#REF!</f>
        <v>#VALUE!:noResult:No valid cells found for operation.</v>
      </c>
      <c r="IF22" s="15" t="str">
        <f>#REF!</f>
        <v>#VALUE!:noResult:No valid cells found for operation.</v>
      </c>
      <c r="IG22" s="15" t="str">
        <f>#REF!</f>
        <v>#VALUE!:noResult:No valid cells found for operation.</v>
      </c>
      <c r="IH22" s="15" t="str">
        <f>#REF!</f>
        <v>#VALUE!:noResult:No valid cells found for operation.</v>
      </c>
      <c r="II22" s="15" t="str">
        <f>#REF!</f>
        <v>#VALUE!:noResult:No valid cells found for operation.</v>
      </c>
      <c r="IJ22" s="15">
        <f>IF(Trans!R[271],"AAAAAG978/M=",0)</f>
        <v>0</v>
      </c>
      <c r="IK22" s="15" t="b">
        <f>AND(Trans!A293,"AAAAAG978/Q=")</f>
        <v>1</v>
      </c>
      <c r="IL22" s="15" t="str">
        <f>AND(Trans!B293,"AAAAAG978/U=")</f>
        <v>#VALUE!:noResult:No valid cells found for operation.</v>
      </c>
      <c r="IM22" s="15" t="b">
        <f>AND(Trans!C293,"AAAAAG978/Y=")</f>
        <v>1</v>
      </c>
      <c r="IN22" s="15" t="b">
        <f>AND(Trans!D293,"AAAAAG978/c=")</f>
        <v>1</v>
      </c>
      <c r="IO22" s="15" t="str">
        <f>AND(Trans!E293,"AAAAAG978/g=")</f>
        <v>#VALUE!:noResult:No valid cells found for operation.</v>
      </c>
      <c r="IP22" s="15" t="str">
        <f>AND(Trans!F293,"AAAAAG978/k=")</f>
        <v>#VALUE!:noResult:No valid cells found for operation.</v>
      </c>
      <c r="IQ22" s="15" t="str">
        <f>AND(Trans!G293,"AAAAAG978/o=")</f>
        <v>#VALUE!:noResult:No valid cells found for operation.</v>
      </c>
      <c r="IR22" s="15" t="str">
        <f>#REF!</f>
        <v>#VALUE!:noResult:No valid cells found for operation.</v>
      </c>
      <c r="IS22" s="15" t="str">
        <f>AND(Trans!H293,"AAAAAG978/w=")</f>
        <v>#VALUE!:noResult:No valid cells found for operation.</v>
      </c>
      <c r="IT22" s="15" t="str">
        <f>#REF!</f>
        <v>#VALUE!:noResult:No valid cells found for operation.</v>
      </c>
      <c r="IU22" s="15" t="str">
        <f>#REF!</f>
        <v>#VALUE!:noResult:No valid cells found for operation.</v>
      </c>
      <c r="IV22" s="15" t="str">
        <f>#REF!</f>
        <v>#VALUE!:noResult:No valid cells found for operation.</v>
      </c>
    </row>
    <row r="23">
      <c r="A23" s="15" t="str">
        <f>#REF!</f>
        <v>#VALUE!:noResult:No valid cells found for operation.</v>
      </c>
      <c r="B23" s="15" t="str">
        <f>#REF!</f>
        <v>#VALUE!:noResult:No valid cells found for operation.</v>
      </c>
      <c r="C23" s="15" t="str">
        <f>#REF!</f>
        <v>#VALUE!:noResult:No valid cells found for operation.</v>
      </c>
      <c r="D23" s="15" t="str">
        <f>IF(Trans!R[271],"AAAAADOvfwM=",0)</f>
        <v>AAAAADOvfwM=</v>
      </c>
      <c r="E23" s="15" t="b">
        <f>AND(Trans!A294,"AAAAADOvfwQ=")</f>
        <v>1</v>
      </c>
      <c r="F23" s="15" t="str">
        <f>AND(Trans!B294,"AAAAADOvfwU=")</f>
        <v>#VALUE!:noResult:No valid cells found for operation.</v>
      </c>
      <c r="G23" s="15" t="b">
        <f>AND(Trans!C294,"AAAAADOvfwY=")</f>
        <v>1</v>
      </c>
      <c r="H23" s="15" t="b">
        <f>AND(Trans!D294,"AAAAADOvfwc=")</f>
        <v>1</v>
      </c>
      <c r="I23" s="15" t="str">
        <f>AND(Trans!E294,"AAAAADOvfwg=")</f>
        <v>#VALUE!:noResult:No valid cells found for operation.</v>
      </c>
      <c r="J23" s="15" t="str">
        <f>AND(Trans!F294,"AAAAADOvfwk=")</f>
        <v>#VALUE!:noResult:No valid cells found for operation.</v>
      </c>
      <c r="K23" s="15" t="str">
        <f>AND(Trans!G294,"AAAAADOvfwo=")</f>
        <v>#VALUE!:noResult:No valid cells found for operation.</v>
      </c>
      <c r="L23" s="15" t="str">
        <f>#REF!</f>
        <v>#VALUE!:noResult:No valid cells found for operation.</v>
      </c>
      <c r="M23" s="15" t="str">
        <f>AND(Trans!H294,"AAAAADOvfww=")</f>
        <v>#VALUE!:noResult:No valid cells found for operation.</v>
      </c>
      <c r="N23" s="15" t="str">
        <f>#REF!</f>
        <v>#VALUE!:noResult:No valid cells found for operation.</v>
      </c>
      <c r="O23" s="15" t="str">
        <f>#REF!</f>
        <v>#VALUE!:noResult:No valid cells found for operation.</v>
      </c>
      <c r="P23" s="15" t="str">
        <f>#REF!</f>
        <v>#VALUE!:noResult:No valid cells found for operation.</v>
      </c>
      <c r="Q23" s="15" t="str">
        <f>#REF!</f>
        <v>#VALUE!:noResult:No valid cells found for operation.</v>
      </c>
      <c r="R23" s="15" t="str">
        <f>#REF!</f>
        <v>#VALUE!:noResult:No valid cells found for operation.</v>
      </c>
      <c r="S23" s="15" t="str">
        <f>#REF!</f>
        <v>#VALUE!:noResult:No valid cells found for operation.</v>
      </c>
      <c r="T23" s="15">
        <f>IF(Trans!R[272],"AAAAADOvfxM=",0)</f>
        <v>0</v>
      </c>
      <c r="U23" s="15" t="b">
        <f>AND(Trans!A295,"AAAAADOvfxQ=")</f>
        <v>1</v>
      </c>
      <c r="V23" s="15" t="str">
        <f>AND(Trans!B295,"AAAAADOvfxU=")</f>
        <v>#VALUE!:noResult:No valid cells found for operation.</v>
      </c>
      <c r="W23" s="15" t="b">
        <f>AND(Trans!C295,"AAAAADOvfxY=")</f>
        <v>1</v>
      </c>
      <c r="X23" s="15" t="b">
        <f>AND(Trans!D295,"AAAAADOvfxc=")</f>
        <v>1</v>
      </c>
      <c r="Y23" s="15" t="str">
        <f>AND(Trans!E295,"AAAAADOvfxg=")</f>
        <v>#VALUE!:noResult:No valid cells found for operation.</v>
      </c>
      <c r="Z23" s="15" t="str">
        <f>AND(Trans!F295,"AAAAADOvfxk=")</f>
        <v>#VALUE!:noResult:No valid cells found for operation.</v>
      </c>
      <c r="AA23" s="15" t="str">
        <f>AND(Trans!G295,"AAAAADOvfxo=")</f>
        <v>#VALUE!:noResult:No valid cells found for operation.</v>
      </c>
      <c r="AB23" s="15" t="str">
        <f>#REF!</f>
        <v>#VALUE!:noResult:No valid cells found for operation.</v>
      </c>
      <c r="AC23" s="15" t="str">
        <f>AND(Trans!H295,"AAAAADOvfxw=")</f>
        <v>#VALUE!:noResult:No valid cells found for operation.</v>
      </c>
      <c r="AD23" s="15" t="str">
        <f>#REF!</f>
        <v>#VALUE!:noResult:No valid cells found for operation.</v>
      </c>
      <c r="AE23" s="15" t="str">
        <f>#REF!</f>
        <v>#VALUE!:noResult:No valid cells found for operation.</v>
      </c>
      <c r="AF23" s="15" t="str">
        <f>#REF!</f>
        <v>#VALUE!:noResult:No valid cells found for operation.</v>
      </c>
      <c r="AG23" s="15" t="str">
        <f>#REF!</f>
        <v>#VALUE!:noResult:No valid cells found for operation.</v>
      </c>
      <c r="AH23" s="15" t="str">
        <f>#REF!</f>
        <v>#VALUE!:noResult:No valid cells found for operation.</v>
      </c>
      <c r="AI23" s="15" t="str">
        <f>#REF!</f>
        <v>#VALUE!:noResult:No valid cells found for operation.</v>
      </c>
      <c r="AJ23" s="15">
        <f>IF(Trans!R[273],"AAAAADOvfyM=",0)</f>
        <v>0</v>
      </c>
      <c r="AK23" s="15" t="b">
        <f>AND(Trans!A296,"AAAAADOvfyQ=")</f>
        <v>1</v>
      </c>
      <c r="AL23" s="15" t="str">
        <f>AND(Trans!B296,"AAAAADOvfyU=")</f>
        <v>#VALUE!:noResult:No valid cells found for operation.</v>
      </c>
      <c r="AM23" s="15" t="b">
        <f>AND(Trans!C296,"AAAAADOvfyY=")</f>
        <v>1</v>
      </c>
      <c r="AN23" s="15" t="b">
        <f>AND(Trans!D296,"AAAAADOvfyc=")</f>
        <v>1</v>
      </c>
      <c r="AO23" s="15" t="str">
        <f>AND(Trans!E296,"AAAAADOvfyg=")</f>
        <v>#VALUE!:noResult:No valid cells found for operation.</v>
      </c>
      <c r="AP23" s="15" t="str">
        <f>AND(Trans!F296,"AAAAADOvfyk=")</f>
        <v>#VALUE!:noResult:No valid cells found for operation.</v>
      </c>
      <c r="AQ23" s="15" t="str">
        <f>AND(Trans!G296,"AAAAADOvfyo=")</f>
        <v>#VALUE!:noResult:No valid cells found for operation.</v>
      </c>
      <c r="AR23" s="15" t="str">
        <f>#REF!</f>
        <v>#VALUE!:noResult:No valid cells found for operation.</v>
      </c>
      <c r="AS23" s="15" t="str">
        <f>AND(Trans!H296,"AAAAADOvfyw=")</f>
        <v>#VALUE!:noResult:No valid cells found for operation.</v>
      </c>
      <c r="AT23" s="15" t="str">
        <f>#REF!</f>
        <v>#VALUE!:noResult:No valid cells found for operation.</v>
      </c>
      <c r="AU23" s="15" t="str">
        <f>#REF!</f>
        <v>#VALUE!:noResult:No valid cells found for operation.</v>
      </c>
      <c r="AV23" s="15" t="str">
        <f>#REF!</f>
        <v>#VALUE!:noResult:No valid cells found for operation.</v>
      </c>
      <c r="AW23" s="15" t="str">
        <f>#REF!</f>
        <v>#VALUE!:noResult:No valid cells found for operation.</v>
      </c>
      <c r="AX23" s="15" t="str">
        <f>#REF!</f>
        <v>#VALUE!:noResult:No valid cells found for operation.</v>
      </c>
      <c r="AY23" s="15" t="str">
        <f>#REF!</f>
        <v>#VALUE!:noResult:No valid cells found for operation.</v>
      </c>
      <c r="AZ23" s="15">
        <f>IF(Trans!R[274],"AAAAADOvfzM=",0)</f>
        <v>0</v>
      </c>
      <c r="BA23" s="15" t="b">
        <f>AND(Trans!A297,"AAAAADOvfzQ=")</f>
        <v>1</v>
      </c>
      <c r="BB23" s="15" t="str">
        <f>AND(Trans!B297,"AAAAADOvfzU=")</f>
        <v>#VALUE!:noResult:No valid cells found for operation.</v>
      </c>
      <c r="BC23" s="15" t="b">
        <f>AND(Trans!C297,"AAAAADOvfzY=")</f>
        <v>1</v>
      </c>
      <c r="BD23" s="15" t="b">
        <f>AND(Trans!D297,"AAAAADOvfzc=")</f>
        <v>1</v>
      </c>
      <c r="BE23" s="15" t="str">
        <f>AND(Trans!E297,"AAAAADOvfzg=")</f>
        <v>#VALUE!:noResult:No valid cells found for operation.</v>
      </c>
      <c r="BF23" s="15" t="str">
        <f>AND(Trans!F297,"AAAAADOvfzk=")</f>
        <v>#VALUE!:noResult:No valid cells found for operation.</v>
      </c>
      <c r="BG23" s="15" t="str">
        <f>AND(Trans!G297,"AAAAADOvfzo=")</f>
        <v>#VALUE!:noResult:No valid cells found for operation.</v>
      </c>
      <c r="BH23" s="15" t="str">
        <f>#REF!</f>
        <v>#VALUE!:noResult:No valid cells found for operation.</v>
      </c>
      <c r="BI23" s="15" t="str">
        <f>AND(Trans!H297,"AAAAADOvfzw=")</f>
        <v>#VALUE!:noResult:No valid cells found for operation.</v>
      </c>
      <c r="BJ23" s="15" t="str">
        <f>#REF!</f>
        <v>#VALUE!:noResult:No valid cells found for operation.</v>
      </c>
      <c r="BK23" s="15" t="str">
        <f>#REF!</f>
        <v>#VALUE!:noResult:No valid cells found for operation.</v>
      </c>
      <c r="BL23" s="15" t="str">
        <f>#REF!</f>
        <v>#VALUE!:noResult:No valid cells found for operation.</v>
      </c>
      <c r="BM23" s="15" t="str">
        <f>#REF!</f>
        <v>#VALUE!:noResult:No valid cells found for operation.</v>
      </c>
      <c r="BN23" s="15" t="str">
        <f>#REF!</f>
        <v>#VALUE!:noResult:No valid cells found for operation.</v>
      </c>
      <c r="BO23" s="15" t="str">
        <f>#REF!</f>
        <v>#VALUE!:noResult:No valid cells found for operation.</v>
      </c>
      <c r="BP23" s="15">
        <f>IF(Trans!R[275],"AAAAADOvf0M=",0)</f>
        <v>0</v>
      </c>
      <c r="BQ23" s="15" t="b">
        <f>AND(Trans!A298,"AAAAADOvf0Q=")</f>
        <v>1</v>
      </c>
      <c r="BR23" s="15" t="str">
        <f>AND(Trans!B298,"AAAAADOvf0U=")</f>
        <v>#VALUE!:noResult:No valid cells found for operation.</v>
      </c>
      <c r="BS23" s="15" t="b">
        <f>AND(Trans!C298,"AAAAADOvf0Y=")</f>
        <v>1</v>
      </c>
      <c r="BT23" s="15" t="b">
        <f>AND(Trans!D298,"AAAAADOvf0c=")</f>
        <v>1</v>
      </c>
      <c r="BU23" s="15" t="str">
        <f>AND(Trans!E298,"AAAAADOvf0g=")</f>
        <v>#VALUE!:noResult:No valid cells found for operation.</v>
      </c>
      <c r="BV23" s="15" t="str">
        <f>AND(Trans!F298,"AAAAADOvf0k=")</f>
        <v>#VALUE!:noResult:No valid cells found for operation.</v>
      </c>
      <c r="BW23" s="15" t="str">
        <f>AND(Trans!G298,"AAAAADOvf0o=")</f>
        <v>#VALUE!:noResult:No valid cells found for operation.</v>
      </c>
      <c r="BX23" s="15" t="str">
        <f>#REF!</f>
        <v>#VALUE!:noResult:No valid cells found for operation.</v>
      </c>
      <c r="BY23" s="15" t="str">
        <f>AND(Trans!H298,"AAAAADOvf0w=")</f>
        <v>#VALUE!:noResult:No valid cells found for operation.</v>
      </c>
      <c r="BZ23" s="15" t="str">
        <f>#REF!</f>
        <v>#VALUE!:noResult:No valid cells found for operation.</v>
      </c>
      <c r="CA23" s="15" t="str">
        <f>#REF!</f>
        <v>#VALUE!:noResult:No valid cells found for operation.</v>
      </c>
      <c r="CB23" s="15" t="str">
        <f>#REF!</f>
        <v>#VALUE!:noResult:No valid cells found for operation.</v>
      </c>
      <c r="CC23" s="15" t="str">
        <f>#REF!</f>
        <v>#VALUE!:noResult:No valid cells found for operation.</v>
      </c>
      <c r="CD23" s="15" t="str">
        <f>#REF!</f>
        <v>#VALUE!:noResult:No valid cells found for operation.</v>
      </c>
      <c r="CE23" s="15" t="str">
        <f>#REF!</f>
        <v>#VALUE!:noResult:No valid cells found for operation.</v>
      </c>
      <c r="CF23" s="15">
        <f>IF(Trans!R[276],"AAAAADOvf1M=",0)</f>
        <v>0</v>
      </c>
      <c r="CG23" s="15" t="b">
        <f>AND(Trans!A299,"AAAAADOvf1Q=")</f>
        <v>1</v>
      </c>
      <c r="CH23" s="15" t="str">
        <f>AND(Trans!B299,"AAAAADOvf1U=")</f>
        <v>#VALUE!:noResult:No valid cells found for operation.</v>
      </c>
      <c r="CI23" s="15" t="b">
        <f>AND(Trans!C299,"AAAAADOvf1Y=")</f>
        <v>1</v>
      </c>
      <c r="CJ23" s="15" t="b">
        <f>AND(Trans!D299,"AAAAADOvf1c=")</f>
        <v>1</v>
      </c>
      <c r="CK23" s="15" t="str">
        <f>AND(Trans!E299,"AAAAADOvf1g=")</f>
        <v>#VALUE!:noResult:No valid cells found for operation.</v>
      </c>
      <c r="CL23" s="15" t="str">
        <f>AND(Trans!F299,"AAAAADOvf1k=")</f>
        <v>#VALUE!:noResult:No valid cells found for operation.</v>
      </c>
      <c r="CM23" s="15" t="str">
        <f>AND(Trans!G299,"AAAAADOvf1o=")</f>
        <v>#VALUE!:noResult:No valid cells found for operation.</v>
      </c>
      <c r="CN23" s="15" t="str">
        <f>#REF!</f>
        <v>#VALUE!:noResult:No valid cells found for operation.</v>
      </c>
      <c r="CO23" s="15" t="str">
        <f>AND(Trans!H299,"AAAAADOvf1w=")</f>
        <v>#VALUE!:noResult:No valid cells found for operation.</v>
      </c>
      <c r="CP23" s="15" t="str">
        <f>#REF!</f>
        <v>#VALUE!:noResult:No valid cells found for operation.</v>
      </c>
      <c r="CQ23" s="15" t="str">
        <f>#REF!</f>
        <v>#VALUE!:noResult:No valid cells found for operation.</v>
      </c>
      <c r="CR23" s="15" t="str">
        <f>#REF!</f>
        <v>#VALUE!:noResult:No valid cells found for operation.</v>
      </c>
      <c r="CS23" s="15" t="str">
        <f>#REF!</f>
        <v>#VALUE!:noResult:No valid cells found for operation.</v>
      </c>
      <c r="CT23" s="15" t="str">
        <f>#REF!</f>
        <v>#VALUE!:noResult:No valid cells found for operation.</v>
      </c>
      <c r="CU23" s="15" t="str">
        <f>#REF!</f>
        <v>#VALUE!:noResult:No valid cells found for operation.</v>
      </c>
      <c r="CV23" s="15">
        <f>IF(Trans!R[277],"AAAAADOvf2M=",0)</f>
        <v>0</v>
      </c>
      <c r="CW23" s="15" t="b">
        <f>AND(Trans!A300,"AAAAADOvf2Q=")</f>
        <v>1</v>
      </c>
      <c r="CX23" s="15" t="str">
        <f>AND(Trans!B300,"AAAAADOvf2U=")</f>
        <v>#VALUE!:noResult:No valid cells found for operation.</v>
      </c>
      <c r="CY23" s="15" t="b">
        <f>AND(Trans!C300,"AAAAADOvf2Y=")</f>
        <v>1</v>
      </c>
      <c r="CZ23" s="15" t="b">
        <f>AND(Trans!D300,"AAAAADOvf2c=")</f>
        <v>1</v>
      </c>
      <c r="DA23" s="15" t="str">
        <f>AND(Trans!E300,"AAAAADOvf2g=")</f>
        <v>#VALUE!:noResult:No valid cells found for operation.</v>
      </c>
      <c r="DB23" s="15" t="str">
        <f>AND(Trans!F300,"AAAAADOvf2k=")</f>
        <v>#VALUE!:noResult:No valid cells found for operation.</v>
      </c>
      <c r="DC23" s="15" t="str">
        <f>AND(Trans!G300,"AAAAADOvf2o=")</f>
        <v>#VALUE!:noResult:No valid cells found for operation.</v>
      </c>
      <c r="DD23" s="15" t="str">
        <f>#REF!</f>
        <v>#VALUE!:noResult:No valid cells found for operation.</v>
      </c>
      <c r="DE23" s="15" t="str">
        <f>AND(Trans!H300,"AAAAADOvf2w=")</f>
        <v>#VALUE!:noResult:No valid cells found for operation.</v>
      </c>
      <c r="DF23" s="15" t="str">
        <f>#REF!</f>
        <v>#VALUE!:noResult:No valid cells found for operation.</v>
      </c>
      <c r="DG23" s="15" t="str">
        <f>#REF!</f>
        <v>#VALUE!:noResult:No valid cells found for operation.</v>
      </c>
      <c r="DH23" s="15" t="str">
        <f>#REF!</f>
        <v>#VALUE!:noResult:No valid cells found for operation.</v>
      </c>
      <c r="DI23" s="15" t="str">
        <f>#REF!</f>
        <v>#VALUE!:noResult:No valid cells found for operation.</v>
      </c>
      <c r="DJ23" s="15" t="str">
        <f>#REF!</f>
        <v>#VALUE!:noResult:No valid cells found for operation.</v>
      </c>
      <c r="DK23" s="15" t="str">
        <f>#REF!</f>
        <v>#VALUE!:noResult:No valid cells found for operation.</v>
      </c>
      <c r="DL23" s="15">
        <f>IF(Trans!R[278],"AAAAADOvf3M=",0)</f>
        <v>0</v>
      </c>
      <c r="DM23" s="15" t="b">
        <f>AND(Trans!A301,"AAAAADOvf3Q=")</f>
        <v>1</v>
      </c>
      <c r="DN23" s="15" t="str">
        <f>AND(Trans!B301,"AAAAADOvf3U=")</f>
        <v>#VALUE!:noResult:No valid cells found for operation.</v>
      </c>
      <c r="DO23" s="15" t="b">
        <f>AND(Trans!C301,"AAAAADOvf3Y=")</f>
        <v>1</v>
      </c>
      <c r="DP23" s="15" t="b">
        <f>AND(Trans!D301,"AAAAADOvf3c=")</f>
        <v>1</v>
      </c>
      <c r="DQ23" s="15" t="str">
        <f>AND(Trans!E301,"AAAAADOvf3g=")</f>
        <v>#VALUE!:noResult:No valid cells found for operation.</v>
      </c>
      <c r="DR23" s="15" t="str">
        <f>AND(Trans!F301,"AAAAADOvf3k=")</f>
        <v>#VALUE!:noResult:No valid cells found for operation.</v>
      </c>
      <c r="DS23" s="15" t="str">
        <f>AND(Trans!G301,"AAAAADOvf3o=")</f>
        <v>#VALUE!:noResult:No valid cells found for operation.</v>
      </c>
      <c r="DT23" s="15" t="str">
        <f>#REF!</f>
        <v>#VALUE!:noResult:No valid cells found for operation.</v>
      </c>
      <c r="DU23" s="15" t="str">
        <f>AND(Trans!H301,"AAAAADOvf3w=")</f>
        <v>#VALUE!:noResult:No valid cells found for operation.</v>
      </c>
      <c r="DV23" s="15" t="str">
        <f>#REF!</f>
        <v>#VALUE!:noResult:No valid cells found for operation.</v>
      </c>
      <c r="DW23" s="15" t="str">
        <f>#REF!</f>
        <v>#VALUE!:noResult:No valid cells found for operation.</v>
      </c>
      <c r="DX23" s="15" t="str">
        <f>#REF!</f>
        <v>#VALUE!:noResult:No valid cells found for operation.</v>
      </c>
      <c r="DY23" s="15" t="str">
        <f>#REF!</f>
        <v>#VALUE!:noResult:No valid cells found for operation.</v>
      </c>
      <c r="DZ23" s="15" t="str">
        <f>#REF!</f>
        <v>#VALUE!:noResult:No valid cells found for operation.</v>
      </c>
      <c r="EA23" s="15" t="str">
        <f>#REF!</f>
        <v>#VALUE!:noResult:No valid cells found for operation.</v>
      </c>
      <c r="EB23" s="15">
        <f>IF(Trans!R[279],"AAAAADOvf4M=",0)</f>
        <v>0</v>
      </c>
      <c r="EC23" s="15" t="b">
        <f>AND(Trans!A302,"AAAAADOvf4Q=")</f>
        <v>1</v>
      </c>
      <c r="ED23" s="15" t="str">
        <f>AND(Trans!B302,"AAAAADOvf4U=")</f>
        <v>#VALUE!:noResult:No valid cells found for operation.</v>
      </c>
      <c r="EE23" s="15" t="b">
        <f>AND(Trans!C302,"AAAAADOvf4Y=")</f>
        <v>1</v>
      </c>
      <c r="EF23" s="15" t="b">
        <f>AND(Trans!D302,"AAAAADOvf4c=")</f>
        <v>1</v>
      </c>
      <c r="EG23" s="15" t="str">
        <f>AND(Trans!E302,"AAAAADOvf4g=")</f>
        <v>#VALUE!:noResult:No valid cells found for operation.</v>
      </c>
      <c r="EH23" s="15" t="str">
        <f>AND(Trans!F302,"AAAAADOvf4k=")</f>
        <v>#VALUE!:noResult:No valid cells found for operation.</v>
      </c>
      <c r="EI23" s="15" t="str">
        <f>AND(Trans!G302,"AAAAADOvf4o=")</f>
        <v>#VALUE!:noResult:No valid cells found for operation.</v>
      </c>
      <c r="EJ23" s="15" t="str">
        <f>#REF!</f>
        <v>#VALUE!:noResult:No valid cells found for operation.</v>
      </c>
      <c r="EK23" s="15" t="str">
        <f>AND(Trans!H302,"AAAAADOvf4w=")</f>
        <v>#VALUE!:noResult:No valid cells found for operation.</v>
      </c>
      <c r="EL23" s="15" t="str">
        <f>#REF!</f>
        <v>#VALUE!:noResult:No valid cells found for operation.</v>
      </c>
      <c r="EM23" s="15" t="str">
        <f>#REF!</f>
        <v>#VALUE!:noResult:No valid cells found for operation.</v>
      </c>
      <c r="EN23" s="15" t="str">
        <f>#REF!</f>
        <v>#VALUE!:noResult:No valid cells found for operation.</v>
      </c>
      <c r="EO23" s="15" t="str">
        <f>#REF!</f>
        <v>#VALUE!:noResult:No valid cells found for operation.</v>
      </c>
      <c r="EP23" s="15" t="str">
        <f>#REF!</f>
        <v>#VALUE!:noResult:No valid cells found for operation.</v>
      </c>
      <c r="EQ23" s="15" t="str">
        <f>#REF!</f>
        <v>#VALUE!:noResult:No valid cells found for operation.</v>
      </c>
      <c r="ER23" s="15">
        <f>IF(Trans!R[280],"AAAAADOvf5M=",0)</f>
        <v>0</v>
      </c>
      <c r="ES23" s="15" t="b">
        <f>AND(Trans!A303,"AAAAADOvf5Q=")</f>
        <v>1</v>
      </c>
      <c r="ET23" s="15" t="str">
        <f>AND(Trans!B303,"AAAAADOvf5U=")</f>
        <v>#VALUE!:noResult:No valid cells found for operation.</v>
      </c>
      <c r="EU23" s="15" t="b">
        <f>AND(Trans!C303,"AAAAADOvf5Y=")</f>
        <v>1</v>
      </c>
      <c r="EV23" s="15" t="b">
        <f>AND(Trans!D303,"AAAAADOvf5c=")</f>
        <v>1</v>
      </c>
      <c r="EW23" s="15" t="str">
        <f>AND(Trans!E303,"AAAAADOvf5g=")</f>
        <v>#VALUE!:noResult:No valid cells found for operation.</v>
      </c>
      <c r="EX23" s="15" t="str">
        <f>AND(Trans!F303,"AAAAADOvf5k=")</f>
        <v>#VALUE!:noResult:No valid cells found for operation.</v>
      </c>
      <c r="EY23" s="15" t="str">
        <f>AND(Trans!G303,"AAAAADOvf5o=")</f>
        <v>#VALUE!:noResult:No valid cells found for operation.</v>
      </c>
      <c r="EZ23" s="15" t="str">
        <f>#REF!</f>
        <v>#VALUE!:noResult:No valid cells found for operation.</v>
      </c>
      <c r="FA23" s="15" t="str">
        <f>AND(Trans!H303,"AAAAADOvf5w=")</f>
        <v>#VALUE!:noResult:No valid cells found for operation.</v>
      </c>
      <c r="FB23" s="15" t="str">
        <f>#REF!</f>
        <v>#VALUE!:noResult:No valid cells found for operation.</v>
      </c>
      <c r="FC23" s="15" t="str">
        <f>#REF!</f>
        <v>#VALUE!:noResult:No valid cells found for operation.</v>
      </c>
      <c r="FD23" s="15" t="str">
        <f>#REF!</f>
        <v>#VALUE!:noResult:No valid cells found for operation.</v>
      </c>
      <c r="FE23" s="15" t="str">
        <f>#REF!</f>
        <v>#VALUE!:noResult:No valid cells found for operation.</v>
      </c>
      <c r="FF23" s="15" t="str">
        <f>#REF!</f>
        <v>#VALUE!:noResult:No valid cells found for operation.</v>
      </c>
      <c r="FG23" s="15" t="str">
        <f>#REF!</f>
        <v>#VALUE!:noResult:No valid cells found for operation.</v>
      </c>
      <c r="FH23" s="15">
        <f>IF(Trans!R[281],"AAAAADOvf6M=",0)</f>
        <v>0</v>
      </c>
      <c r="FI23" s="15" t="b">
        <f>AND(Trans!A304,"AAAAADOvf6Q=")</f>
        <v>1</v>
      </c>
      <c r="FJ23" s="15" t="str">
        <f>AND(Trans!B304,"AAAAADOvf6U=")</f>
        <v>#VALUE!:noResult:No valid cells found for operation.</v>
      </c>
      <c r="FK23" s="15" t="b">
        <f>AND(Trans!C304,"AAAAADOvf6Y=")</f>
        <v>1</v>
      </c>
      <c r="FL23" s="15" t="b">
        <f>AND(Trans!D304,"AAAAADOvf6c=")</f>
        <v>1</v>
      </c>
      <c r="FM23" s="15" t="str">
        <f>AND(Trans!E304,"AAAAADOvf6g=")</f>
        <v>#VALUE!:noResult:No valid cells found for operation.</v>
      </c>
      <c r="FN23" s="15" t="str">
        <f>AND(Trans!F304,"AAAAADOvf6k=")</f>
        <v>#VALUE!:noResult:No valid cells found for operation.</v>
      </c>
      <c r="FO23" s="15" t="str">
        <f>AND(Trans!G304,"AAAAADOvf6o=")</f>
        <v>#VALUE!:noResult:No valid cells found for operation.</v>
      </c>
      <c r="FP23" s="15" t="str">
        <f>#REF!</f>
        <v>#VALUE!:noResult:No valid cells found for operation.</v>
      </c>
      <c r="FQ23" s="15" t="str">
        <f>AND(Trans!H304,"AAAAADOvf6w=")</f>
        <v>#VALUE!:noResult:No valid cells found for operation.</v>
      </c>
      <c r="FR23" s="15" t="str">
        <f>#REF!</f>
        <v>#VALUE!:noResult:No valid cells found for operation.</v>
      </c>
      <c r="FS23" s="15" t="str">
        <f>#REF!</f>
        <v>#VALUE!:noResult:No valid cells found for operation.</v>
      </c>
      <c r="FT23" s="15" t="str">
        <f>#REF!</f>
        <v>#VALUE!:noResult:No valid cells found for operation.</v>
      </c>
      <c r="FU23" s="15" t="str">
        <f>#REF!</f>
        <v>#VALUE!:noResult:No valid cells found for operation.</v>
      </c>
      <c r="FV23" s="15" t="str">
        <f>#REF!</f>
        <v>#VALUE!:noResult:No valid cells found for operation.</v>
      </c>
      <c r="FW23" s="15" t="str">
        <f>#REF!</f>
        <v>#VALUE!:noResult:No valid cells found for operation.</v>
      </c>
      <c r="FX23" s="15">
        <f>IF(Trans!R[282],"AAAAADOvf7M=",0)</f>
        <v>0</v>
      </c>
      <c r="FY23" s="15" t="b">
        <f>AND(Trans!A305,"AAAAADOvf7Q=")</f>
        <v>1</v>
      </c>
      <c r="FZ23" s="15" t="str">
        <f>AND(Trans!B305,"AAAAADOvf7U=")</f>
        <v>#VALUE!:noResult:No valid cells found for operation.</v>
      </c>
      <c r="GA23" s="15" t="b">
        <f>AND(Trans!C305,"AAAAADOvf7Y=")</f>
        <v>1</v>
      </c>
      <c r="GB23" s="15" t="b">
        <f>AND(Trans!D305,"AAAAADOvf7c=")</f>
        <v>1</v>
      </c>
      <c r="GC23" s="15" t="str">
        <f>AND(Trans!E305,"AAAAADOvf7g=")</f>
        <v>#VALUE!:noResult:No valid cells found for operation.</v>
      </c>
      <c r="GD23" s="15" t="str">
        <f>AND(Trans!F305,"AAAAADOvf7k=")</f>
        <v>#VALUE!:noResult:No valid cells found for operation.</v>
      </c>
      <c r="GE23" s="15" t="str">
        <f>AND(Trans!G305,"AAAAADOvf7o=")</f>
        <v>#VALUE!:noResult:No valid cells found for operation.</v>
      </c>
      <c r="GF23" s="15" t="str">
        <f>#REF!</f>
        <v>#VALUE!:noResult:No valid cells found for operation.</v>
      </c>
      <c r="GG23" s="15" t="str">
        <f>AND(Trans!H305,"AAAAADOvf7w=")</f>
        <v>#VALUE!:noResult:No valid cells found for operation.</v>
      </c>
      <c r="GH23" s="15" t="str">
        <f>#REF!</f>
        <v>#VALUE!:noResult:No valid cells found for operation.</v>
      </c>
      <c r="GI23" s="15" t="str">
        <f>#REF!</f>
        <v>#VALUE!:noResult:No valid cells found for operation.</v>
      </c>
      <c r="GJ23" s="15" t="str">
        <f>#REF!</f>
        <v>#VALUE!:noResult:No valid cells found for operation.</v>
      </c>
      <c r="GK23" s="15" t="str">
        <f>#REF!</f>
        <v>#VALUE!:noResult:No valid cells found for operation.</v>
      </c>
      <c r="GL23" s="15" t="str">
        <f>#REF!</f>
        <v>#VALUE!:noResult:No valid cells found for operation.</v>
      </c>
      <c r="GM23" s="15" t="str">
        <f>#REF!</f>
        <v>#VALUE!:noResult:No valid cells found for operation.</v>
      </c>
      <c r="GN23" s="15">
        <f>IF(Trans!R[283],"AAAAADOvf8M=",0)</f>
        <v>0</v>
      </c>
      <c r="GO23" s="15" t="b">
        <f>AND(Trans!A306,"AAAAADOvf8Q=")</f>
        <v>1</v>
      </c>
      <c r="GP23" s="15" t="str">
        <f>AND(Trans!B306,"AAAAADOvf8U=")</f>
        <v>#VALUE!:noResult:No valid cells found for operation.</v>
      </c>
      <c r="GQ23" s="15" t="b">
        <f>AND(Trans!C306,"AAAAADOvf8Y=")</f>
        <v>1</v>
      </c>
      <c r="GR23" s="15" t="b">
        <f>AND(Trans!D306,"AAAAADOvf8c=")</f>
        <v>1</v>
      </c>
      <c r="GS23" s="15" t="str">
        <f>AND(Trans!E306,"AAAAADOvf8g=")</f>
        <v>#VALUE!:noResult:No valid cells found for operation.</v>
      </c>
      <c r="GT23" s="15" t="str">
        <f>AND(Trans!F306,"AAAAADOvf8k=")</f>
        <v>#VALUE!:noResult:No valid cells found for operation.</v>
      </c>
      <c r="GU23" s="15" t="str">
        <f>AND(Trans!G306,"AAAAADOvf8o=")</f>
        <v>#VALUE!:noResult:No valid cells found for operation.</v>
      </c>
      <c r="GV23" s="15" t="str">
        <f>#REF!</f>
        <v>#VALUE!:noResult:No valid cells found for operation.</v>
      </c>
      <c r="GW23" s="15" t="str">
        <f>AND(Trans!H306,"AAAAADOvf8w=")</f>
        <v>#VALUE!:noResult:No valid cells found for operation.</v>
      </c>
      <c r="GX23" s="15" t="str">
        <f>#REF!</f>
        <v>#VALUE!:noResult:No valid cells found for operation.</v>
      </c>
      <c r="GY23" s="15" t="str">
        <f>#REF!</f>
        <v>#VALUE!:noResult:No valid cells found for operation.</v>
      </c>
      <c r="GZ23" s="15" t="str">
        <f>#REF!</f>
        <v>#VALUE!:noResult:No valid cells found for operation.</v>
      </c>
      <c r="HA23" s="15" t="str">
        <f>#REF!</f>
        <v>#VALUE!:noResult:No valid cells found for operation.</v>
      </c>
      <c r="HB23" s="15" t="str">
        <f>#REF!</f>
        <v>#VALUE!:noResult:No valid cells found for operation.</v>
      </c>
      <c r="HC23" s="15" t="str">
        <f>#REF!</f>
        <v>#VALUE!:noResult:No valid cells found for operation.</v>
      </c>
      <c r="HD23" s="15">
        <f>IF(Trans!R[284],"AAAAADOvf9M=",0)</f>
        <v>0</v>
      </c>
      <c r="HE23" s="15" t="b">
        <f>AND(Trans!A307,"AAAAADOvf9Q=")</f>
        <v>1</v>
      </c>
      <c r="HF23" s="15" t="str">
        <f>AND(Trans!B307,"AAAAADOvf9U=")</f>
        <v>#VALUE!:noResult:No valid cells found for operation.</v>
      </c>
      <c r="HG23" s="15" t="b">
        <f>AND(Trans!C307,"AAAAADOvf9Y=")</f>
        <v>1</v>
      </c>
      <c r="HH23" s="15" t="b">
        <f>AND(Trans!D307,"AAAAADOvf9c=")</f>
        <v>1</v>
      </c>
      <c r="HI23" s="15" t="str">
        <f>AND(Trans!E307,"AAAAADOvf9g=")</f>
        <v>#VALUE!:noResult:No valid cells found for operation.</v>
      </c>
      <c r="HJ23" s="15" t="str">
        <f>AND(Trans!F307,"AAAAADOvf9k=")</f>
        <v>#VALUE!:noResult:No valid cells found for operation.</v>
      </c>
      <c r="HK23" s="15" t="str">
        <f>AND(Trans!G307,"AAAAADOvf9o=")</f>
        <v>#VALUE!:noResult:No valid cells found for operation.</v>
      </c>
      <c r="HL23" s="15" t="str">
        <f>#REF!</f>
        <v>#VALUE!:noResult:No valid cells found for operation.</v>
      </c>
      <c r="HM23" s="15" t="str">
        <f>AND(Trans!H307,"AAAAADOvf9w=")</f>
        <v>#VALUE!:noResult:No valid cells found for operation.</v>
      </c>
      <c r="HN23" s="15" t="str">
        <f>#REF!</f>
        <v>#VALUE!:noResult:No valid cells found for operation.</v>
      </c>
      <c r="HO23" s="15" t="str">
        <f>#REF!</f>
        <v>#VALUE!:noResult:No valid cells found for operation.</v>
      </c>
      <c r="HP23" s="15" t="str">
        <f>#REF!</f>
        <v>#VALUE!:noResult:No valid cells found for operation.</v>
      </c>
      <c r="HQ23" s="15" t="str">
        <f>#REF!</f>
        <v>#VALUE!:noResult:No valid cells found for operation.</v>
      </c>
      <c r="HR23" s="15" t="str">
        <f>#REF!</f>
        <v>#VALUE!:noResult:No valid cells found for operation.</v>
      </c>
      <c r="HS23" s="15" t="str">
        <f>#REF!</f>
        <v>#VALUE!:noResult:No valid cells found for operation.</v>
      </c>
      <c r="HT23" s="15">
        <f>IF(Trans!R[285],"AAAAADOvf+M=",0)</f>
        <v>0</v>
      </c>
      <c r="HU23" s="15" t="b">
        <f>AND(Trans!A308,"AAAAADOvf+Q=")</f>
        <v>1</v>
      </c>
      <c r="HV23" s="15" t="str">
        <f>AND(Trans!B308,"AAAAADOvf+U=")</f>
        <v>#VALUE!:noResult:No valid cells found for operation.</v>
      </c>
      <c r="HW23" s="15" t="b">
        <f>AND(Trans!C308,"AAAAADOvf+Y=")</f>
        <v>1</v>
      </c>
      <c r="HX23" s="15" t="b">
        <f>AND(Trans!D308,"AAAAADOvf+c=")</f>
        <v>1</v>
      </c>
      <c r="HY23" s="15" t="str">
        <f>AND(Trans!E308,"AAAAADOvf+g=")</f>
        <v>#VALUE!:noResult:No valid cells found for operation.</v>
      </c>
      <c r="HZ23" s="15" t="str">
        <f>AND(Trans!F308,"AAAAADOvf+k=")</f>
        <v>#VALUE!:noResult:No valid cells found for operation.</v>
      </c>
      <c r="IA23" s="15" t="str">
        <f>AND(Trans!G308,"AAAAADOvf+o=")</f>
        <v>#VALUE!:noResult:No valid cells found for operation.</v>
      </c>
      <c r="IB23" s="15" t="str">
        <f>#REF!</f>
        <v>#VALUE!:noResult:No valid cells found for operation.</v>
      </c>
      <c r="IC23" s="15" t="str">
        <f>AND(Trans!H308,"AAAAADOvf+w=")</f>
        <v>#VALUE!:noResult:No valid cells found for operation.</v>
      </c>
      <c r="ID23" s="15" t="str">
        <f>#REF!</f>
        <v>#VALUE!:noResult:No valid cells found for operation.</v>
      </c>
      <c r="IE23" s="15" t="str">
        <f>#REF!</f>
        <v>#VALUE!:noResult:No valid cells found for operation.</v>
      </c>
      <c r="IF23" s="15" t="str">
        <f>#REF!</f>
        <v>#VALUE!:noResult:No valid cells found for operation.</v>
      </c>
      <c r="IG23" s="15" t="str">
        <f>#REF!</f>
        <v>#VALUE!:noResult:No valid cells found for operation.</v>
      </c>
      <c r="IH23" s="15" t="str">
        <f>#REF!</f>
        <v>#VALUE!:noResult:No valid cells found for operation.</v>
      </c>
      <c r="II23" s="15" t="str">
        <f>#REF!</f>
        <v>#VALUE!:noResult:No valid cells found for operation.</v>
      </c>
      <c r="IJ23" s="15">
        <f>IF(Trans!R[286],"AAAAADOvf/M=",0)</f>
        <v>0</v>
      </c>
      <c r="IK23" s="15" t="b">
        <f>AND(Trans!A309,"AAAAADOvf/Q=")</f>
        <v>1</v>
      </c>
      <c r="IL23" s="15" t="str">
        <f>AND(Trans!B309,"AAAAADOvf/U=")</f>
        <v>#VALUE!:noResult:No valid cells found for operation.</v>
      </c>
      <c r="IM23" s="15" t="b">
        <f>AND(Trans!C309,"AAAAADOvf/Y=")</f>
        <v>1</v>
      </c>
      <c r="IN23" s="15" t="b">
        <f>AND(Trans!D309,"AAAAADOvf/c=")</f>
        <v>1</v>
      </c>
      <c r="IO23" s="15" t="str">
        <f>AND(Trans!E309,"AAAAADOvf/g=")</f>
        <v>#VALUE!:noResult:No valid cells found for operation.</v>
      </c>
      <c r="IP23" s="15" t="str">
        <f>AND(Trans!F309,"AAAAADOvf/k=")</f>
        <v>#VALUE!:noResult:No valid cells found for operation.</v>
      </c>
      <c r="IQ23" s="15" t="str">
        <f>AND(Trans!G309,"AAAAADOvf/o=")</f>
        <v>#VALUE!:noResult:No valid cells found for operation.</v>
      </c>
      <c r="IR23" s="15" t="str">
        <f>#REF!</f>
        <v>#VALUE!:noResult:No valid cells found for operation.</v>
      </c>
      <c r="IS23" s="15" t="str">
        <f>AND(Trans!H309,"AAAAADOvf/w=")</f>
        <v>#VALUE!:noResult:No valid cells found for operation.</v>
      </c>
      <c r="IT23" s="15" t="str">
        <f>#REF!</f>
        <v>#VALUE!:noResult:No valid cells found for operation.</v>
      </c>
      <c r="IU23" s="15" t="str">
        <f>#REF!</f>
        <v>#VALUE!:noResult:No valid cells found for operation.</v>
      </c>
      <c r="IV23" s="15" t="str">
        <f>#REF!</f>
        <v>#VALUE!:noResult:No valid cells found for operation.</v>
      </c>
    </row>
    <row r="24">
      <c r="A24" s="15" t="str">
        <f>#REF!</f>
        <v>#VALUE!:noResult:No valid cells found for operation.</v>
      </c>
      <c r="B24" s="15" t="str">
        <f>#REF!</f>
        <v>#VALUE!:noResult:No valid cells found for operation.</v>
      </c>
      <c r="C24" s="15" t="str">
        <f>#REF!</f>
        <v>#VALUE!:noResult:No valid cells found for operation.</v>
      </c>
      <c r="D24" s="15" t="str">
        <f>IF(Trans!R[286],"AAAAADtengM=",0)</f>
        <v>AAAAADtengM=</v>
      </c>
      <c r="E24" s="15" t="b">
        <f>AND(Trans!A310,"AAAAADtengQ=")</f>
        <v>1</v>
      </c>
      <c r="F24" s="15" t="str">
        <f>AND(Trans!B310,"AAAAADtengU=")</f>
        <v>#VALUE!:noResult:No valid cells found for operation.</v>
      </c>
      <c r="G24" s="15" t="b">
        <f>AND(Trans!C310,"AAAAADtengY=")</f>
        <v>1</v>
      </c>
      <c r="H24" s="15" t="b">
        <f>AND(Trans!D310,"AAAAADtengc=")</f>
        <v>1</v>
      </c>
      <c r="I24" s="15" t="str">
        <f>AND(Trans!E310,"AAAAADtengg=")</f>
        <v>#VALUE!:noResult:No valid cells found for operation.</v>
      </c>
      <c r="J24" s="15" t="str">
        <f>AND(Trans!F310,"AAAAADtengk=")</f>
        <v>#VALUE!:noResult:No valid cells found for operation.</v>
      </c>
      <c r="K24" s="15" t="str">
        <f>AND(Trans!G310,"AAAAADtengo=")</f>
        <v>#VALUE!:noResult:No valid cells found for operation.</v>
      </c>
      <c r="L24" s="15" t="str">
        <f>#REF!</f>
        <v>#VALUE!:noResult:No valid cells found for operation.</v>
      </c>
      <c r="M24" s="15" t="str">
        <f>AND(Trans!H310,"AAAAADtengw=")</f>
        <v>#VALUE!:noResult:No valid cells found for operation.</v>
      </c>
      <c r="N24" s="15" t="str">
        <f>#REF!</f>
        <v>#VALUE!:noResult:No valid cells found for operation.</v>
      </c>
      <c r="O24" s="15" t="str">
        <f>#REF!</f>
        <v>#VALUE!:noResult:No valid cells found for operation.</v>
      </c>
      <c r="P24" s="15" t="str">
        <f>#REF!</f>
        <v>#VALUE!:noResult:No valid cells found for operation.</v>
      </c>
      <c r="Q24" s="15" t="str">
        <f>#REF!</f>
        <v>#VALUE!:noResult:No valid cells found for operation.</v>
      </c>
      <c r="R24" s="15" t="str">
        <f>#REF!</f>
        <v>#VALUE!:noResult:No valid cells found for operation.</v>
      </c>
      <c r="S24" s="15" t="str">
        <f>#REF!</f>
        <v>#VALUE!:noResult:No valid cells found for operation.</v>
      </c>
      <c r="T24" s="15">
        <f>IF(Trans!R[287],"AAAAADtenhM=",0)</f>
        <v>0</v>
      </c>
      <c r="U24" s="15" t="b">
        <f>AND(Trans!A311,"AAAAADtenhQ=")</f>
        <v>1</v>
      </c>
      <c r="V24" s="15" t="str">
        <f>AND(Trans!B311,"AAAAADtenhU=")</f>
        <v>#VALUE!:noResult:No valid cells found for operation.</v>
      </c>
      <c r="W24" s="15" t="b">
        <f>AND(Trans!C311,"AAAAADtenhY=")</f>
        <v>1</v>
      </c>
      <c r="X24" s="15" t="b">
        <f>AND(Trans!D311,"AAAAADtenhc=")</f>
        <v>1</v>
      </c>
      <c r="Y24" s="15" t="str">
        <f>AND(Trans!E311,"AAAAADtenhg=")</f>
        <v>#VALUE!:noResult:No valid cells found for operation.</v>
      </c>
      <c r="Z24" s="15" t="str">
        <f>AND(Trans!F311,"AAAAADtenhk=")</f>
        <v>#VALUE!:noResult:No valid cells found for operation.</v>
      </c>
      <c r="AA24" s="15" t="str">
        <f>AND(Trans!G311,"AAAAADtenho=")</f>
        <v>#VALUE!:noResult:No valid cells found for operation.</v>
      </c>
      <c r="AB24" s="15" t="str">
        <f>#REF!</f>
        <v>#VALUE!:noResult:No valid cells found for operation.</v>
      </c>
      <c r="AC24" s="15" t="str">
        <f>AND(Trans!H311,"AAAAADtenhw=")</f>
        <v>#VALUE!:noResult:No valid cells found for operation.</v>
      </c>
      <c r="AD24" s="15" t="str">
        <f>#REF!</f>
        <v>#VALUE!:noResult:No valid cells found for operation.</v>
      </c>
      <c r="AE24" s="15" t="str">
        <f>#REF!</f>
        <v>#VALUE!:noResult:No valid cells found for operation.</v>
      </c>
      <c r="AF24" s="15" t="str">
        <f>#REF!</f>
        <v>#VALUE!:noResult:No valid cells found for operation.</v>
      </c>
      <c r="AG24" s="15" t="str">
        <f>#REF!</f>
        <v>#VALUE!:noResult:No valid cells found for operation.</v>
      </c>
      <c r="AH24" s="15" t="str">
        <f>#REF!</f>
        <v>#VALUE!:noResult:No valid cells found for operation.</v>
      </c>
      <c r="AI24" s="15" t="str">
        <f>#REF!</f>
        <v>#VALUE!:noResult:No valid cells found for operation.</v>
      </c>
      <c r="AJ24" s="15">
        <f>IF(Trans!R[288],"AAAAADteniM=",0)</f>
        <v>0</v>
      </c>
      <c r="AK24" s="15" t="b">
        <f>AND(Trans!A312,"AAAAADteniQ=")</f>
        <v>1</v>
      </c>
      <c r="AL24" s="15" t="str">
        <f>AND(Trans!B312,"AAAAADteniU=")</f>
        <v>#VALUE!:noResult:No valid cells found for operation.</v>
      </c>
      <c r="AM24" s="15" t="b">
        <f>AND(Trans!C312,"AAAAADteniY=")</f>
        <v>1</v>
      </c>
      <c r="AN24" s="15" t="b">
        <f>AND(Trans!D312,"AAAAADtenic=")</f>
        <v>1</v>
      </c>
      <c r="AO24" s="15" t="str">
        <f>AND(Trans!E312,"AAAAADtenig=")</f>
        <v>#VALUE!:noResult:No valid cells found for operation.</v>
      </c>
      <c r="AP24" s="15" t="str">
        <f>AND(Trans!F312,"AAAAADtenik=")</f>
        <v>#VALUE!:noResult:No valid cells found for operation.</v>
      </c>
      <c r="AQ24" s="15" t="str">
        <f>AND(Trans!G312,"AAAAADtenio=")</f>
        <v>#VALUE!:noResult:No valid cells found for operation.</v>
      </c>
      <c r="AR24" s="15" t="str">
        <f>#REF!</f>
        <v>#VALUE!:noResult:No valid cells found for operation.</v>
      </c>
      <c r="AS24" s="15" t="str">
        <f>AND(Trans!H312,"AAAAADteniw=")</f>
        <v>#VALUE!:noResult:No valid cells found for operation.</v>
      </c>
      <c r="AT24" s="15" t="str">
        <f>#REF!</f>
        <v>#VALUE!:noResult:No valid cells found for operation.</v>
      </c>
      <c r="AU24" s="15" t="str">
        <f>#REF!</f>
        <v>#VALUE!:noResult:No valid cells found for operation.</v>
      </c>
      <c r="AV24" s="15" t="str">
        <f>#REF!</f>
        <v>#VALUE!:noResult:No valid cells found for operation.</v>
      </c>
      <c r="AW24" s="15" t="str">
        <f>#REF!</f>
        <v>#VALUE!:noResult:No valid cells found for operation.</v>
      </c>
      <c r="AX24" s="15" t="str">
        <f>#REF!</f>
        <v>#VALUE!:noResult:No valid cells found for operation.</v>
      </c>
      <c r="AY24" s="15" t="str">
        <f>#REF!</f>
        <v>#VALUE!:noResult:No valid cells found for operation.</v>
      </c>
      <c r="AZ24" s="15">
        <f>IF(Trans!R[289],"AAAAADtenjM=",0)</f>
        <v>0</v>
      </c>
      <c r="BA24" s="15" t="b">
        <f>AND(Trans!A313,"AAAAADtenjQ=")</f>
        <v>1</v>
      </c>
      <c r="BB24" s="15" t="str">
        <f>AND(Trans!B313,"AAAAADtenjU=")</f>
        <v>#VALUE!:noResult:No valid cells found for operation.</v>
      </c>
      <c r="BC24" s="15" t="b">
        <f>AND(Trans!C313,"AAAAADtenjY=")</f>
        <v>1</v>
      </c>
      <c r="BD24" s="15" t="b">
        <f>AND(Trans!D313,"AAAAADtenjc=")</f>
        <v>1</v>
      </c>
      <c r="BE24" s="15" t="str">
        <f>AND(Trans!E313,"AAAAADtenjg=")</f>
        <v>#VALUE!:noResult:No valid cells found for operation.</v>
      </c>
      <c r="BF24" s="15" t="str">
        <f>AND(Trans!F313,"AAAAADtenjk=")</f>
        <v>#VALUE!:noResult:No valid cells found for operation.</v>
      </c>
      <c r="BG24" s="15" t="str">
        <f>AND(Trans!G313,"AAAAADtenjo=")</f>
        <v>#VALUE!:noResult:No valid cells found for operation.</v>
      </c>
      <c r="BH24" s="15" t="str">
        <f>#REF!</f>
        <v>#VALUE!:noResult:No valid cells found for operation.</v>
      </c>
      <c r="BI24" s="15" t="str">
        <f>AND(Trans!H313,"AAAAADtenjw=")</f>
        <v>#VALUE!:noResult:No valid cells found for operation.</v>
      </c>
      <c r="BJ24" s="15" t="str">
        <f>#REF!</f>
        <v>#VALUE!:noResult:No valid cells found for operation.</v>
      </c>
      <c r="BK24" s="15" t="str">
        <f>#REF!</f>
        <v>#VALUE!:noResult:No valid cells found for operation.</v>
      </c>
      <c r="BL24" s="15" t="str">
        <f>#REF!</f>
        <v>#VALUE!:noResult:No valid cells found for operation.</v>
      </c>
      <c r="BM24" s="15" t="str">
        <f>#REF!</f>
        <v>#VALUE!:noResult:No valid cells found for operation.</v>
      </c>
      <c r="BN24" s="15" t="str">
        <f>#REF!</f>
        <v>#VALUE!:noResult:No valid cells found for operation.</v>
      </c>
      <c r="BO24" s="15" t="str">
        <f>#REF!</f>
        <v>#VALUE!:noResult:No valid cells found for operation.</v>
      </c>
      <c r="BP24" s="15">
        <f>IF(Trans!R[290],"AAAAADtenkM=",0)</f>
        <v>0</v>
      </c>
      <c r="BQ24" s="15" t="b">
        <f>AND(Trans!A314,"AAAAADtenkQ=")</f>
        <v>1</v>
      </c>
      <c r="BR24" s="15" t="str">
        <f>AND(Trans!B314,"AAAAADtenkU=")</f>
        <v>#VALUE!:noResult:No valid cells found for operation.</v>
      </c>
      <c r="BS24" s="15" t="b">
        <f>AND(Trans!C314,"AAAAADtenkY=")</f>
        <v>1</v>
      </c>
      <c r="BT24" s="15" t="b">
        <f>AND(Trans!D314,"AAAAADtenkc=")</f>
        <v>1</v>
      </c>
      <c r="BU24" s="15" t="str">
        <f>AND(Trans!E314,"AAAAADtenkg=")</f>
        <v>#VALUE!:noResult:No valid cells found for operation.</v>
      </c>
      <c r="BV24" s="15" t="str">
        <f>AND(Trans!F314,"AAAAADtenkk=")</f>
        <v>#VALUE!:noResult:No valid cells found for operation.</v>
      </c>
      <c r="BW24" s="15" t="str">
        <f>AND(Trans!G314,"AAAAADtenko=")</f>
        <v>#VALUE!:noResult:No valid cells found for operation.</v>
      </c>
      <c r="BX24" s="15" t="str">
        <f>#REF!</f>
        <v>#VALUE!:noResult:No valid cells found for operation.</v>
      </c>
      <c r="BY24" s="15" t="str">
        <f>AND(Trans!H314,"AAAAADtenkw=")</f>
        <v>#VALUE!:noResult:No valid cells found for operation.</v>
      </c>
      <c r="BZ24" s="15" t="str">
        <f>#REF!</f>
        <v>#VALUE!:noResult:No valid cells found for operation.</v>
      </c>
      <c r="CA24" s="15" t="str">
        <f>#REF!</f>
        <v>#VALUE!:noResult:No valid cells found for operation.</v>
      </c>
      <c r="CB24" s="15" t="str">
        <f>#REF!</f>
        <v>#VALUE!:noResult:No valid cells found for operation.</v>
      </c>
      <c r="CC24" s="15" t="str">
        <f>#REF!</f>
        <v>#VALUE!:noResult:No valid cells found for operation.</v>
      </c>
      <c r="CD24" s="15" t="str">
        <f>#REF!</f>
        <v>#VALUE!:noResult:No valid cells found for operation.</v>
      </c>
      <c r="CE24" s="15" t="str">
        <f>#REF!</f>
        <v>#VALUE!:noResult:No valid cells found for operation.</v>
      </c>
      <c r="CF24" s="15">
        <f>IF(Trans!R[291],"AAAAADtenlM=",0)</f>
        <v>0</v>
      </c>
      <c r="CG24" s="15" t="b">
        <f>AND(Trans!A315,"AAAAADtenlQ=")</f>
        <v>1</v>
      </c>
      <c r="CH24" s="15" t="str">
        <f>AND(Trans!B315,"AAAAADtenlU=")</f>
        <v>#VALUE!:noResult:No valid cells found for operation.</v>
      </c>
      <c r="CI24" s="15" t="b">
        <f>AND(Trans!C315,"AAAAADtenlY=")</f>
        <v>1</v>
      </c>
      <c r="CJ24" s="15" t="b">
        <f>AND(Trans!D315,"AAAAADtenlc=")</f>
        <v>1</v>
      </c>
      <c r="CK24" s="15" t="str">
        <f>AND(Trans!E315,"AAAAADtenlg=")</f>
        <v>#VALUE!:noResult:No valid cells found for operation.</v>
      </c>
      <c r="CL24" s="15" t="str">
        <f>AND(Trans!F315,"AAAAADtenlk=")</f>
        <v>#VALUE!:noResult:No valid cells found for operation.</v>
      </c>
      <c r="CM24" s="15" t="str">
        <f>AND(Trans!G315,"AAAAADtenlo=")</f>
        <v>#VALUE!:noResult:No valid cells found for operation.</v>
      </c>
      <c r="CN24" s="15" t="str">
        <f>#REF!</f>
        <v>#VALUE!:noResult:No valid cells found for operation.</v>
      </c>
      <c r="CO24" s="15" t="str">
        <f>AND(Trans!H315,"AAAAADtenlw=")</f>
        <v>#VALUE!:noResult:No valid cells found for operation.</v>
      </c>
      <c r="CP24" s="15" t="str">
        <f>#REF!</f>
        <v>#VALUE!:noResult:No valid cells found for operation.</v>
      </c>
      <c r="CQ24" s="15" t="str">
        <f>#REF!</f>
        <v>#VALUE!:noResult:No valid cells found for operation.</v>
      </c>
      <c r="CR24" s="15" t="str">
        <f>#REF!</f>
        <v>#VALUE!:noResult:No valid cells found for operation.</v>
      </c>
      <c r="CS24" s="15" t="str">
        <f>#REF!</f>
        <v>#VALUE!:noResult:No valid cells found for operation.</v>
      </c>
      <c r="CT24" s="15" t="str">
        <f>#REF!</f>
        <v>#VALUE!:noResult:No valid cells found for operation.</v>
      </c>
      <c r="CU24" s="15" t="str">
        <f>#REF!</f>
        <v>#VALUE!:noResult:No valid cells found for operation.</v>
      </c>
      <c r="CV24" s="15">
        <f>IF(Trans!R[292],"AAAAADtenmM=",0)</f>
        <v>0</v>
      </c>
      <c r="CW24" s="15" t="b">
        <f>AND(Trans!A316,"AAAAADtenmQ=")</f>
        <v>1</v>
      </c>
      <c r="CX24" s="15" t="str">
        <f>AND(Trans!B316,"AAAAADtenmU=")</f>
        <v>#VALUE!:noResult:No valid cells found for operation.</v>
      </c>
      <c r="CY24" s="15" t="b">
        <f>AND(Trans!C316,"AAAAADtenmY=")</f>
        <v>1</v>
      </c>
      <c r="CZ24" s="15" t="b">
        <f>AND(Trans!D316,"AAAAADtenmc=")</f>
        <v>1</v>
      </c>
      <c r="DA24" s="15" t="str">
        <f>AND(Trans!E316,"AAAAADtenmg=")</f>
        <v>#VALUE!:noResult:No valid cells found for operation.</v>
      </c>
      <c r="DB24" s="15" t="str">
        <f>AND(Trans!F316,"AAAAADtenmk=")</f>
        <v>#VALUE!:noResult:No valid cells found for operation.</v>
      </c>
      <c r="DC24" s="15" t="str">
        <f>AND(Trans!G316,"AAAAADtenmo=")</f>
        <v>#VALUE!:noResult:No valid cells found for operation.</v>
      </c>
      <c r="DD24" s="15" t="str">
        <f>#REF!</f>
        <v>#VALUE!:noResult:No valid cells found for operation.</v>
      </c>
      <c r="DE24" s="15" t="str">
        <f>AND(Trans!H316,"AAAAADtenmw=")</f>
        <v>#VALUE!:noResult:No valid cells found for operation.</v>
      </c>
      <c r="DF24" s="15" t="str">
        <f>#REF!</f>
        <v>#VALUE!:noResult:No valid cells found for operation.</v>
      </c>
      <c r="DG24" s="15" t="str">
        <f>#REF!</f>
        <v>#VALUE!:noResult:No valid cells found for operation.</v>
      </c>
      <c r="DH24" s="15" t="str">
        <f>#REF!</f>
        <v>#VALUE!:noResult:No valid cells found for operation.</v>
      </c>
      <c r="DI24" s="15" t="str">
        <f>#REF!</f>
        <v>#VALUE!:noResult:No valid cells found for operation.</v>
      </c>
      <c r="DJ24" s="15" t="str">
        <f>#REF!</f>
        <v>#VALUE!:noResult:No valid cells found for operation.</v>
      </c>
      <c r="DK24" s="15" t="str">
        <f>#REF!</f>
        <v>#VALUE!:noResult:No valid cells found for operation.</v>
      </c>
      <c r="DL24" s="15">
        <f>IF(Trans!R[293],"AAAAADtennM=",0)</f>
        <v>0</v>
      </c>
      <c r="DM24" s="15" t="b">
        <f>AND(Trans!A317,"AAAAADtennQ=")</f>
        <v>1</v>
      </c>
      <c r="DN24" s="15" t="str">
        <f>AND(Trans!B317,"AAAAADtennU=")</f>
        <v>#VALUE!:noResult:No valid cells found for operation.</v>
      </c>
      <c r="DO24" s="15" t="b">
        <f>AND(Trans!C317,"AAAAADtennY=")</f>
        <v>1</v>
      </c>
      <c r="DP24" s="15" t="b">
        <f>AND(Trans!D317,"AAAAADtennc=")</f>
        <v>1</v>
      </c>
      <c r="DQ24" s="15" t="str">
        <f>AND(Trans!E317,"AAAAADtenng=")</f>
        <v>#VALUE!:noResult:No valid cells found for operation.</v>
      </c>
      <c r="DR24" s="15" t="str">
        <f>AND(Trans!F317,"AAAAADtennk=")</f>
        <v>#VALUE!:noResult:No valid cells found for operation.</v>
      </c>
      <c r="DS24" s="15" t="str">
        <f>AND(Trans!G317,"AAAAADtenno=")</f>
        <v>#VALUE!:noResult:No valid cells found for operation.</v>
      </c>
      <c r="DT24" s="15" t="str">
        <f>#REF!</f>
        <v>#VALUE!:noResult:No valid cells found for operation.</v>
      </c>
      <c r="DU24" s="15" t="str">
        <f>AND(Trans!H317,"AAAAADtennw=")</f>
        <v>#VALUE!:noResult:No valid cells found for operation.</v>
      </c>
      <c r="DV24" s="15" t="str">
        <f>#REF!</f>
        <v>#VALUE!:noResult:No valid cells found for operation.</v>
      </c>
      <c r="DW24" s="15" t="str">
        <f>#REF!</f>
        <v>#VALUE!:noResult:No valid cells found for operation.</v>
      </c>
      <c r="DX24" s="15" t="str">
        <f>#REF!</f>
        <v>#VALUE!:noResult:No valid cells found for operation.</v>
      </c>
      <c r="DY24" s="15" t="str">
        <f>#REF!</f>
        <v>#VALUE!:noResult:No valid cells found for operation.</v>
      </c>
      <c r="DZ24" s="15" t="str">
        <f>#REF!</f>
        <v>#VALUE!:noResult:No valid cells found for operation.</v>
      </c>
      <c r="EA24" s="15" t="str">
        <f>#REF!</f>
        <v>#VALUE!:noResult:No valid cells found for operation.</v>
      </c>
      <c r="EB24" s="15">
        <f>IF(Trans!R[294],"AAAAADtenoM=",0)</f>
        <v>0</v>
      </c>
      <c r="EC24" s="15" t="b">
        <f>AND(Trans!A318,"AAAAADtenoQ=")</f>
        <v>1</v>
      </c>
      <c r="ED24" s="15" t="str">
        <f>AND(Trans!B318,"AAAAADtenoU=")</f>
        <v>#VALUE!:noResult:No valid cells found for operation.</v>
      </c>
      <c r="EE24" s="15" t="b">
        <f>AND(Trans!C318,"AAAAADtenoY=")</f>
        <v>1</v>
      </c>
      <c r="EF24" s="15" t="b">
        <f>AND(Trans!D318,"AAAAADtenoc=")</f>
        <v>1</v>
      </c>
      <c r="EG24" s="15" t="str">
        <f>AND(Trans!E318,"AAAAADtenog=")</f>
        <v>#VALUE!:noResult:No valid cells found for operation.</v>
      </c>
      <c r="EH24" s="15" t="str">
        <f>AND(Trans!F318,"AAAAADtenok=")</f>
        <v>#VALUE!:noResult:No valid cells found for operation.</v>
      </c>
      <c r="EI24" s="15" t="str">
        <f>AND(Trans!G318,"AAAAADtenoo=")</f>
        <v>#VALUE!:noResult:No valid cells found for operation.</v>
      </c>
      <c r="EJ24" s="15" t="str">
        <f>#REF!</f>
        <v>#VALUE!:noResult:No valid cells found for operation.</v>
      </c>
      <c r="EK24" s="15" t="str">
        <f>AND(Trans!H318,"AAAAADtenow=")</f>
        <v>#VALUE!:noResult:No valid cells found for operation.</v>
      </c>
      <c r="EL24" s="15" t="str">
        <f>#REF!</f>
        <v>#VALUE!:noResult:No valid cells found for operation.</v>
      </c>
      <c r="EM24" s="15" t="str">
        <f>#REF!</f>
        <v>#VALUE!:noResult:No valid cells found for operation.</v>
      </c>
      <c r="EN24" s="15" t="str">
        <f>#REF!</f>
        <v>#VALUE!:noResult:No valid cells found for operation.</v>
      </c>
      <c r="EO24" s="15" t="str">
        <f>#REF!</f>
        <v>#VALUE!:noResult:No valid cells found for operation.</v>
      </c>
      <c r="EP24" s="15" t="str">
        <f>#REF!</f>
        <v>#VALUE!:noResult:No valid cells found for operation.</v>
      </c>
      <c r="EQ24" s="15" t="str">
        <f>#REF!</f>
        <v>#VALUE!:noResult:No valid cells found for operation.</v>
      </c>
      <c r="ER24" s="15">
        <f>IF(Trans!R[295],"AAAAADtenpM=",0)</f>
        <v>0</v>
      </c>
      <c r="ES24" s="15" t="b">
        <f>AND(Trans!A319,"AAAAADtenpQ=")</f>
        <v>1</v>
      </c>
      <c r="ET24" s="15" t="str">
        <f>AND(Trans!B319,"AAAAADtenpU=")</f>
        <v>#VALUE!:noResult:No valid cells found for operation.</v>
      </c>
      <c r="EU24" s="15" t="b">
        <f>AND(Trans!C319,"AAAAADtenpY=")</f>
        <v>1</v>
      </c>
      <c r="EV24" s="15" t="b">
        <f>AND(Trans!D319,"AAAAADtenpc=")</f>
        <v>1</v>
      </c>
      <c r="EW24" s="15" t="str">
        <f>AND(Trans!E319,"AAAAADtenpg=")</f>
        <v>#VALUE!:noResult:No valid cells found for operation.</v>
      </c>
      <c r="EX24" s="15" t="str">
        <f>AND(Trans!F319,"AAAAADtenpk=")</f>
        <v>#VALUE!:noResult:No valid cells found for operation.</v>
      </c>
      <c r="EY24" s="15" t="str">
        <f>AND(Trans!G319,"AAAAADtenpo=")</f>
        <v>#VALUE!:noResult:No valid cells found for operation.</v>
      </c>
      <c r="EZ24" s="15" t="str">
        <f>#REF!</f>
        <v>#VALUE!:noResult:No valid cells found for operation.</v>
      </c>
      <c r="FA24" s="15" t="str">
        <f>AND(Trans!H319,"AAAAADtenpw=")</f>
        <v>#VALUE!:noResult:No valid cells found for operation.</v>
      </c>
      <c r="FB24" s="15" t="str">
        <f>#REF!</f>
        <v>#VALUE!:noResult:No valid cells found for operation.</v>
      </c>
      <c r="FC24" s="15" t="str">
        <f>#REF!</f>
        <v>#VALUE!:noResult:No valid cells found for operation.</v>
      </c>
      <c r="FD24" s="15" t="str">
        <f>#REF!</f>
        <v>#VALUE!:noResult:No valid cells found for operation.</v>
      </c>
      <c r="FE24" s="15" t="str">
        <f>#REF!</f>
        <v>#VALUE!:noResult:No valid cells found for operation.</v>
      </c>
      <c r="FF24" s="15" t="str">
        <f>#REF!</f>
        <v>#VALUE!:noResult:No valid cells found for operation.</v>
      </c>
      <c r="FG24" s="15" t="str">
        <f>#REF!</f>
        <v>#VALUE!:noResult:No valid cells found for operation.</v>
      </c>
      <c r="FH24" s="15">
        <f>IF(Trans!R[296],"AAAAADtenqM=",0)</f>
        <v>0</v>
      </c>
      <c r="FI24" s="15" t="b">
        <f>AND(Trans!A320,"AAAAADtenqQ=")</f>
        <v>1</v>
      </c>
      <c r="FJ24" s="15" t="str">
        <f>AND(Trans!B320,"AAAAADtenqU=")</f>
        <v>#VALUE!:noResult:No valid cells found for operation.</v>
      </c>
      <c r="FK24" s="15" t="b">
        <f>AND(Trans!C320,"AAAAADtenqY=")</f>
        <v>1</v>
      </c>
      <c r="FL24" s="15" t="b">
        <f>AND(Trans!D320,"AAAAADtenqc=")</f>
        <v>1</v>
      </c>
      <c r="FM24" s="15" t="str">
        <f>AND(Trans!E320,"AAAAADtenqg=")</f>
        <v>#VALUE!:noResult:No valid cells found for operation.</v>
      </c>
      <c r="FN24" s="15" t="str">
        <f>AND(Trans!F320,"AAAAADtenqk=")</f>
        <v>#VALUE!:noResult:No valid cells found for operation.</v>
      </c>
      <c r="FO24" s="15" t="str">
        <f>AND(Trans!G320,"AAAAADtenqo=")</f>
        <v>#VALUE!:noResult:No valid cells found for operation.</v>
      </c>
      <c r="FP24" s="15" t="str">
        <f>#REF!</f>
        <v>#VALUE!:noResult:No valid cells found for operation.</v>
      </c>
      <c r="FQ24" s="15" t="str">
        <f>AND(Trans!H320,"AAAAADtenqw=")</f>
        <v>#VALUE!:noResult:No valid cells found for operation.</v>
      </c>
      <c r="FR24" s="15" t="str">
        <f>#REF!</f>
        <v>#VALUE!:noResult:No valid cells found for operation.</v>
      </c>
      <c r="FS24" s="15" t="str">
        <f>#REF!</f>
        <v>#VALUE!:noResult:No valid cells found for operation.</v>
      </c>
      <c r="FT24" s="15" t="str">
        <f>#REF!</f>
        <v>#VALUE!:noResult:No valid cells found for operation.</v>
      </c>
      <c r="FU24" s="15" t="str">
        <f>#REF!</f>
        <v>#VALUE!:noResult:No valid cells found for operation.</v>
      </c>
      <c r="FV24" s="15" t="str">
        <f>#REF!</f>
        <v>#VALUE!:noResult:No valid cells found for operation.</v>
      </c>
      <c r="FW24" s="15" t="str">
        <f>#REF!</f>
        <v>#VALUE!:noResult:No valid cells found for operation.</v>
      </c>
      <c r="FX24" s="15">
        <f>IF(Trans!R[297],"AAAAADtenrM=",0)</f>
        <v>0</v>
      </c>
      <c r="FY24" s="15" t="b">
        <f>AND(Trans!A321,"AAAAADtenrQ=")</f>
        <v>1</v>
      </c>
      <c r="FZ24" s="15" t="str">
        <f>AND(Trans!B321,"AAAAADtenrU=")</f>
        <v>#VALUE!:noResult:No valid cells found for operation.</v>
      </c>
      <c r="GA24" s="15" t="b">
        <f>AND(Trans!C321,"AAAAADtenrY=")</f>
        <v>1</v>
      </c>
      <c r="GB24" s="15" t="b">
        <f>AND(Trans!D321,"AAAAADtenrc=")</f>
        <v>1</v>
      </c>
      <c r="GC24" s="15" t="str">
        <f>AND(Trans!E321,"AAAAADtenrg=")</f>
        <v>#VALUE!:noResult:No valid cells found for operation.</v>
      </c>
      <c r="GD24" s="15" t="str">
        <f>AND(Trans!F321,"AAAAADtenrk=")</f>
        <v>#VALUE!:noResult:No valid cells found for operation.</v>
      </c>
      <c r="GE24" s="15" t="str">
        <f>AND(Trans!G321,"AAAAADtenro=")</f>
        <v>#VALUE!:noResult:No valid cells found for operation.</v>
      </c>
      <c r="GF24" s="15" t="str">
        <f>#REF!</f>
        <v>#VALUE!:noResult:No valid cells found for operation.</v>
      </c>
      <c r="GG24" s="15" t="str">
        <f>AND(Trans!H321,"AAAAADtenrw=")</f>
        <v>#VALUE!:noResult:No valid cells found for operation.</v>
      </c>
      <c r="GH24" s="15" t="str">
        <f>#REF!</f>
        <v>#VALUE!:noResult:No valid cells found for operation.</v>
      </c>
      <c r="GI24" s="15" t="str">
        <f>#REF!</f>
        <v>#VALUE!:noResult:No valid cells found for operation.</v>
      </c>
      <c r="GJ24" s="15" t="str">
        <f>#REF!</f>
        <v>#VALUE!:noResult:No valid cells found for operation.</v>
      </c>
      <c r="GK24" s="15" t="str">
        <f>#REF!</f>
        <v>#VALUE!:noResult:No valid cells found for operation.</v>
      </c>
      <c r="GL24" s="15" t="str">
        <f>#REF!</f>
        <v>#VALUE!:noResult:No valid cells found for operation.</v>
      </c>
      <c r="GM24" s="15" t="str">
        <f>#REF!</f>
        <v>#VALUE!:noResult:No valid cells found for operation.</v>
      </c>
      <c r="GN24" s="15">
        <f>IF(Trans!R[298],"AAAAADtensM=",0)</f>
        <v>0</v>
      </c>
      <c r="GO24" s="15" t="b">
        <f>AND(Trans!A322,"AAAAADtensQ=")</f>
        <v>1</v>
      </c>
      <c r="GP24" s="15" t="str">
        <f>AND(Trans!B322,"AAAAADtensU=")</f>
        <v>#VALUE!:noResult:No valid cells found for operation.</v>
      </c>
      <c r="GQ24" s="15" t="b">
        <f>AND(Trans!C322,"AAAAADtensY=")</f>
        <v>1</v>
      </c>
      <c r="GR24" s="15" t="b">
        <f>AND(Trans!D322,"AAAAADtensc=")</f>
        <v>1</v>
      </c>
      <c r="GS24" s="15" t="str">
        <f>AND(Trans!E322,"AAAAADtensg=")</f>
        <v>#VALUE!:noResult:No valid cells found for operation.</v>
      </c>
      <c r="GT24" s="15" t="str">
        <f>AND(Trans!F322,"AAAAADtensk=")</f>
        <v>#VALUE!:noResult:No valid cells found for operation.</v>
      </c>
      <c r="GU24" s="15" t="str">
        <f>AND(Trans!G322,"AAAAADtenso=")</f>
        <v>#VALUE!:noResult:No valid cells found for operation.</v>
      </c>
      <c r="GV24" s="15" t="str">
        <f>#REF!</f>
        <v>#VALUE!:noResult:No valid cells found for operation.</v>
      </c>
      <c r="GW24" s="15" t="str">
        <f>AND(Trans!H322,"AAAAADtensw=")</f>
        <v>#VALUE!:noResult:No valid cells found for operation.</v>
      </c>
      <c r="GX24" s="15" t="str">
        <f>#REF!</f>
        <v>#VALUE!:noResult:No valid cells found for operation.</v>
      </c>
      <c r="GY24" s="15" t="str">
        <f>#REF!</f>
        <v>#VALUE!:noResult:No valid cells found for operation.</v>
      </c>
      <c r="GZ24" s="15" t="str">
        <f>#REF!</f>
        <v>#VALUE!:noResult:No valid cells found for operation.</v>
      </c>
      <c r="HA24" s="15" t="str">
        <f>#REF!</f>
        <v>#VALUE!:noResult:No valid cells found for operation.</v>
      </c>
      <c r="HB24" s="15" t="str">
        <f>#REF!</f>
        <v>#VALUE!:noResult:No valid cells found for operation.</v>
      </c>
      <c r="HC24" s="15" t="str">
        <f>#REF!</f>
        <v>#VALUE!:noResult:No valid cells found for operation.</v>
      </c>
      <c r="HD24" s="15">
        <f>IF(Trans!R[299],"AAAAADtentM=",0)</f>
        <v>0</v>
      </c>
      <c r="HE24" s="15" t="b">
        <f>AND(Trans!A323,"AAAAADtentQ=")</f>
        <v>1</v>
      </c>
      <c r="HF24" s="15" t="str">
        <f>AND(Trans!B323,"AAAAADtentU=")</f>
        <v>#VALUE!:noResult:No valid cells found for operation.</v>
      </c>
      <c r="HG24" s="15" t="b">
        <f>AND(Trans!C323,"AAAAADtentY=")</f>
        <v>1</v>
      </c>
      <c r="HH24" s="15" t="b">
        <f>AND(Trans!D323,"AAAAADtentc=")</f>
        <v>1</v>
      </c>
      <c r="HI24" s="15" t="str">
        <f>AND(Trans!E323,"AAAAADtentg=")</f>
        <v>#VALUE!:noResult:No valid cells found for operation.</v>
      </c>
      <c r="HJ24" s="15" t="str">
        <f>AND(Trans!F323,"AAAAADtentk=")</f>
        <v>#VALUE!:noResult:No valid cells found for operation.</v>
      </c>
      <c r="HK24" s="15" t="str">
        <f>AND(Trans!G323,"AAAAADtento=")</f>
        <v>#VALUE!:noResult:No valid cells found for operation.</v>
      </c>
      <c r="HL24" s="15" t="str">
        <f>#REF!</f>
        <v>#VALUE!:noResult:No valid cells found for operation.</v>
      </c>
      <c r="HM24" s="15" t="str">
        <f>AND(Trans!H323,"AAAAADtentw=")</f>
        <v>#VALUE!:noResult:No valid cells found for operation.</v>
      </c>
      <c r="HN24" s="15" t="str">
        <f>#REF!</f>
        <v>#VALUE!:noResult:No valid cells found for operation.</v>
      </c>
      <c r="HO24" s="15" t="str">
        <f>#REF!</f>
        <v>#VALUE!:noResult:No valid cells found for operation.</v>
      </c>
      <c r="HP24" s="15" t="str">
        <f>#REF!</f>
        <v>#VALUE!:noResult:No valid cells found for operation.</v>
      </c>
      <c r="HQ24" s="15" t="str">
        <f>#REF!</f>
        <v>#VALUE!:noResult:No valid cells found for operation.</v>
      </c>
      <c r="HR24" s="15" t="str">
        <f>#REF!</f>
        <v>#VALUE!:noResult:No valid cells found for operation.</v>
      </c>
      <c r="HS24" s="15" t="str">
        <f>#REF!</f>
        <v>#VALUE!:noResult:No valid cells found for operation.</v>
      </c>
      <c r="HT24" s="15">
        <f>IF(Trans!R[300],"AAAAADtenuM=",0)</f>
        <v>0</v>
      </c>
      <c r="HU24" s="15" t="b">
        <f>AND(Trans!A324,"AAAAADtenuQ=")</f>
        <v>1</v>
      </c>
      <c r="HV24" s="15" t="str">
        <f>AND(Trans!B324,"AAAAADtenuU=")</f>
        <v>#VALUE!:noResult:No valid cells found for operation.</v>
      </c>
      <c r="HW24" s="15" t="b">
        <f>AND(Trans!C324,"AAAAADtenuY=")</f>
        <v>1</v>
      </c>
      <c r="HX24" s="15" t="b">
        <f>AND(Trans!D324,"AAAAADtenuc=")</f>
        <v>1</v>
      </c>
      <c r="HY24" s="15" t="str">
        <f>AND(Trans!E324,"AAAAADtenug=")</f>
        <v>#VALUE!:noResult:No valid cells found for operation.</v>
      </c>
      <c r="HZ24" s="15" t="str">
        <f>AND(Trans!F324,"AAAAADtenuk=")</f>
        <v>#VALUE!:noResult:No valid cells found for operation.</v>
      </c>
      <c r="IA24" s="15" t="str">
        <f>AND(Trans!G324,"AAAAADtenuo=")</f>
        <v>#VALUE!:noResult:No valid cells found for operation.</v>
      </c>
      <c r="IB24" s="15" t="str">
        <f>#REF!</f>
        <v>#VALUE!:noResult:No valid cells found for operation.</v>
      </c>
      <c r="IC24" s="15" t="str">
        <f>AND(Trans!H324,"AAAAADtenuw=")</f>
        <v>#VALUE!:noResult:No valid cells found for operation.</v>
      </c>
      <c r="ID24" s="15" t="str">
        <f>#REF!</f>
        <v>#VALUE!:noResult:No valid cells found for operation.</v>
      </c>
      <c r="IE24" s="15" t="str">
        <f>#REF!</f>
        <v>#VALUE!:noResult:No valid cells found for operation.</v>
      </c>
      <c r="IF24" s="15" t="str">
        <f>#REF!</f>
        <v>#VALUE!:noResult:No valid cells found for operation.</v>
      </c>
      <c r="IG24" s="15" t="str">
        <f>#REF!</f>
        <v>#VALUE!:noResult:No valid cells found for operation.</v>
      </c>
      <c r="IH24" s="15" t="str">
        <f>#REF!</f>
        <v>#VALUE!:noResult:No valid cells found for operation.</v>
      </c>
      <c r="II24" s="15" t="str">
        <f>#REF!</f>
        <v>#VALUE!:noResult:No valid cells found for operation.</v>
      </c>
      <c r="IJ24" s="15">
        <f>IF(Trans!R[301],"AAAAADtenvM=",0)</f>
        <v>0</v>
      </c>
      <c r="IK24" s="15" t="b">
        <f>AND(Trans!A325,"AAAAADtenvQ=")</f>
        <v>1</v>
      </c>
      <c r="IL24" s="15" t="str">
        <f>AND(Trans!B325,"AAAAADtenvU=")</f>
        <v>#VALUE!:noResult:No valid cells found for operation.</v>
      </c>
      <c r="IM24" s="15" t="b">
        <f>AND(Trans!C325,"AAAAADtenvY=")</f>
        <v>1</v>
      </c>
      <c r="IN24" s="15" t="b">
        <f>AND(Trans!D325,"AAAAADtenvc=")</f>
        <v>1</v>
      </c>
      <c r="IO24" s="15" t="str">
        <f>AND(Trans!E325,"AAAAADtenvg=")</f>
        <v>#VALUE!:noResult:No valid cells found for operation.</v>
      </c>
      <c r="IP24" s="15" t="str">
        <f>AND(Trans!F325,"AAAAADtenvk=")</f>
        <v>#VALUE!:noResult:No valid cells found for operation.</v>
      </c>
      <c r="IQ24" s="15" t="str">
        <f>AND(Trans!G325,"AAAAADtenvo=")</f>
        <v>#VALUE!:noResult:No valid cells found for operation.</v>
      </c>
      <c r="IR24" s="15" t="str">
        <f>#REF!</f>
        <v>#VALUE!:noResult:No valid cells found for operation.</v>
      </c>
      <c r="IS24" s="15" t="str">
        <f>AND(Trans!H325,"AAAAADtenvw=")</f>
        <v>#VALUE!:noResult:No valid cells found for operation.</v>
      </c>
      <c r="IT24" s="15" t="str">
        <f>#REF!</f>
        <v>#VALUE!:noResult:No valid cells found for operation.</v>
      </c>
      <c r="IU24" s="15" t="str">
        <f>#REF!</f>
        <v>#VALUE!:noResult:No valid cells found for operation.</v>
      </c>
      <c r="IV24" s="15" t="str">
        <f>#REF!</f>
        <v>#VALUE!:noResult:No valid cells found for operation.</v>
      </c>
    </row>
    <row r="25">
      <c r="A25" s="15" t="str">
        <f>#REF!</f>
        <v>#VALUE!:noResult:No valid cells found for operation.</v>
      </c>
      <c r="B25" s="15" t="str">
        <f>#REF!</f>
        <v>#VALUE!:noResult:No valid cells found for operation.</v>
      </c>
      <c r="C25" s="15" t="str">
        <f>#REF!</f>
        <v>#VALUE!:noResult:No valid cells found for operation.</v>
      </c>
      <c r="D25" s="15" t="str">
        <f>IF(Trans!R[301],"AAAAAB/+7wM=",0)</f>
        <v>AAAAAB/+7wM=</v>
      </c>
      <c r="E25" s="15" t="b">
        <f>AND(Trans!A326,"AAAAAB/+7wQ=")</f>
        <v>1</v>
      </c>
      <c r="F25" s="15" t="str">
        <f>AND(Trans!B326,"AAAAAB/+7wU=")</f>
        <v>#VALUE!:noResult:No valid cells found for operation.</v>
      </c>
      <c r="G25" s="15" t="b">
        <f>AND(Trans!C326,"AAAAAB/+7wY=")</f>
        <v>1</v>
      </c>
      <c r="H25" s="15" t="b">
        <f>AND(Trans!D326,"AAAAAB/+7wc=")</f>
        <v>1</v>
      </c>
      <c r="I25" s="15" t="str">
        <f>AND(Trans!E326,"AAAAAB/+7wg=")</f>
        <v>#VALUE!:noResult:No valid cells found for operation.</v>
      </c>
      <c r="J25" s="15" t="str">
        <f>AND(Trans!F326,"AAAAAB/+7wk=")</f>
        <v>#VALUE!:noResult:No valid cells found for operation.</v>
      </c>
      <c r="K25" s="15" t="str">
        <f>AND(Trans!G326,"AAAAAB/+7wo=")</f>
        <v>#VALUE!:noResult:No valid cells found for operation.</v>
      </c>
      <c r="L25" s="15" t="str">
        <f>#REF!</f>
        <v>#VALUE!:noResult:No valid cells found for operation.</v>
      </c>
      <c r="M25" s="15" t="str">
        <f>AND(Trans!H326,"AAAAAB/+7ww=")</f>
        <v>#VALUE!:noResult:No valid cells found for operation.</v>
      </c>
      <c r="N25" s="15" t="str">
        <f>#REF!</f>
        <v>#VALUE!:noResult:No valid cells found for operation.</v>
      </c>
      <c r="O25" s="15" t="str">
        <f>#REF!</f>
        <v>#VALUE!:noResult:No valid cells found for operation.</v>
      </c>
      <c r="P25" s="15" t="str">
        <f>#REF!</f>
        <v>#VALUE!:noResult:No valid cells found for operation.</v>
      </c>
      <c r="Q25" s="15" t="str">
        <f>#REF!</f>
        <v>#VALUE!:noResult:No valid cells found for operation.</v>
      </c>
      <c r="R25" s="15" t="str">
        <f>#REF!</f>
        <v>#VALUE!:noResult:No valid cells found for operation.</v>
      </c>
      <c r="S25" s="15" t="str">
        <f>#REF!</f>
        <v>#VALUE!:noResult:No valid cells found for operation.</v>
      </c>
      <c r="T25" s="15">
        <f>IF(Trans!R[302],"AAAAAB/+7xM=",0)</f>
        <v>0</v>
      </c>
      <c r="U25" s="15" t="b">
        <f>AND(Trans!A327,"AAAAAB/+7xQ=")</f>
        <v>1</v>
      </c>
      <c r="V25" s="15" t="str">
        <f>AND(Trans!B327,"AAAAAB/+7xU=")</f>
        <v>#VALUE!:noResult:No valid cells found for operation.</v>
      </c>
      <c r="W25" s="15" t="b">
        <f>AND(Trans!C327,"AAAAAB/+7xY=")</f>
        <v>1</v>
      </c>
      <c r="X25" s="15" t="b">
        <f>AND(Trans!D327,"AAAAAB/+7xc=")</f>
        <v>1</v>
      </c>
      <c r="Y25" s="15" t="str">
        <f>AND(Trans!E327,"AAAAAB/+7xg=")</f>
        <v>#VALUE!:noResult:No valid cells found for operation.</v>
      </c>
      <c r="Z25" s="15" t="str">
        <f>AND(Trans!F327,"AAAAAB/+7xk=")</f>
        <v>#VALUE!:noResult:No valid cells found for operation.</v>
      </c>
      <c r="AA25" s="15" t="str">
        <f>AND(Trans!G327,"AAAAAB/+7xo=")</f>
        <v>#VALUE!:noResult:No valid cells found for operation.</v>
      </c>
      <c r="AB25" s="15" t="str">
        <f>#REF!</f>
        <v>#VALUE!:noResult:No valid cells found for operation.</v>
      </c>
      <c r="AC25" s="15" t="str">
        <f>AND(Trans!H327,"AAAAAB/+7xw=")</f>
        <v>#VALUE!:noResult:No valid cells found for operation.</v>
      </c>
      <c r="AD25" s="15" t="str">
        <f>#REF!</f>
        <v>#VALUE!:noResult:No valid cells found for operation.</v>
      </c>
      <c r="AE25" s="15" t="str">
        <f>#REF!</f>
        <v>#VALUE!:noResult:No valid cells found for operation.</v>
      </c>
      <c r="AF25" s="15" t="str">
        <f>#REF!</f>
        <v>#VALUE!:noResult:No valid cells found for operation.</v>
      </c>
      <c r="AG25" s="15" t="str">
        <f>#REF!</f>
        <v>#VALUE!:noResult:No valid cells found for operation.</v>
      </c>
      <c r="AH25" s="15" t="str">
        <f>#REF!</f>
        <v>#VALUE!:noResult:No valid cells found for operation.</v>
      </c>
      <c r="AI25" s="15" t="str">
        <f>#REF!</f>
        <v>#VALUE!:noResult:No valid cells found for operation.</v>
      </c>
      <c r="AJ25" s="15">
        <f>IF(Trans!R[303],"AAAAAB/+7yM=",0)</f>
        <v>0</v>
      </c>
      <c r="AK25" s="15" t="b">
        <f>AND(Trans!A328,"AAAAAB/+7yQ=")</f>
        <v>1</v>
      </c>
      <c r="AL25" s="15" t="str">
        <f>AND(Trans!B328,"AAAAAB/+7yU=")</f>
        <v>#VALUE!:noResult:No valid cells found for operation.</v>
      </c>
      <c r="AM25" s="15" t="b">
        <f>AND(Trans!C328,"AAAAAB/+7yY=")</f>
        <v>1</v>
      </c>
      <c r="AN25" s="15" t="b">
        <f>AND(Trans!D328,"AAAAAB/+7yc=")</f>
        <v>1</v>
      </c>
      <c r="AO25" s="15" t="str">
        <f>AND(Trans!E328,"AAAAAB/+7yg=")</f>
        <v>#VALUE!:noResult:No valid cells found for operation.</v>
      </c>
      <c r="AP25" s="15" t="str">
        <f>AND(Trans!F328,"AAAAAB/+7yk=")</f>
        <v>#VALUE!:noResult:No valid cells found for operation.</v>
      </c>
      <c r="AQ25" s="15" t="str">
        <f>AND(Trans!G328,"AAAAAB/+7yo=")</f>
        <v>#VALUE!:noResult:No valid cells found for operation.</v>
      </c>
      <c r="AR25" s="15" t="str">
        <f>#REF!</f>
        <v>#VALUE!:noResult:No valid cells found for operation.</v>
      </c>
      <c r="AS25" s="15" t="str">
        <f>AND(Trans!H328,"AAAAAB/+7yw=")</f>
        <v>#VALUE!:noResult:No valid cells found for operation.</v>
      </c>
      <c r="AT25" s="15" t="str">
        <f>#REF!</f>
        <v>#VALUE!:noResult:No valid cells found for operation.</v>
      </c>
      <c r="AU25" s="15" t="str">
        <f>#REF!</f>
        <v>#VALUE!:noResult:No valid cells found for operation.</v>
      </c>
      <c r="AV25" s="15" t="str">
        <f>#REF!</f>
        <v>#VALUE!:noResult:No valid cells found for operation.</v>
      </c>
      <c r="AW25" s="15" t="str">
        <f>#REF!</f>
        <v>#VALUE!:noResult:No valid cells found for operation.</v>
      </c>
      <c r="AX25" s="15" t="str">
        <f>#REF!</f>
        <v>#VALUE!:noResult:No valid cells found for operation.</v>
      </c>
      <c r="AY25" s="15" t="str">
        <f>#REF!</f>
        <v>#VALUE!:noResult:No valid cells found for operation.</v>
      </c>
      <c r="AZ25" s="15">
        <f>IF(Trans!R[304],"AAAAAB/+7zM=",0)</f>
        <v>0</v>
      </c>
      <c r="BA25" s="15" t="b">
        <f>AND(Trans!A329,"AAAAAB/+7zQ=")</f>
        <v>1</v>
      </c>
      <c r="BB25" s="15" t="str">
        <f>AND(Trans!B329,"AAAAAB/+7zU=")</f>
        <v>#VALUE!:noResult:No valid cells found for operation.</v>
      </c>
      <c r="BC25" s="15" t="b">
        <f>AND(Trans!C329,"AAAAAB/+7zY=")</f>
        <v>1</v>
      </c>
      <c r="BD25" s="15" t="b">
        <f>AND(Trans!D329,"AAAAAB/+7zc=")</f>
        <v>1</v>
      </c>
      <c r="BE25" s="15" t="str">
        <f>AND(Trans!E329,"AAAAAB/+7zg=")</f>
        <v>#VALUE!:noResult:No valid cells found for operation.</v>
      </c>
      <c r="BF25" s="15" t="str">
        <f>AND(Trans!F329,"AAAAAB/+7zk=")</f>
        <v>#VALUE!:noResult:No valid cells found for operation.</v>
      </c>
      <c r="BG25" s="15" t="str">
        <f>AND(Trans!G329,"AAAAAB/+7zo=")</f>
        <v>#VALUE!:noResult:No valid cells found for operation.</v>
      </c>
      <c r="BH25" s="15" t="str">
        <f>#REF!</f>
        <v>#VALUE!:noResult:No valid cells found for operation.</v>
      </c>
      <c r="BI25" s="15" t="str">
        <f>AND(Trans!H329,"AAAAAB/+7zw=")</f>
        <v>#VALUE!:noResult:No valid cells found for operation.</v>
      </c>
      <c r="BJ25" s="15" t="str">
        <f>#REF!</f>
        <v>#VALUE!:noResult:No valid cells found for operation.</v>
      </c>
      <c r="BK25" s="15" t="str">
        <f>#REF!</f>
        <v>#VALUE!:noResult:No valid cells found for operation.</v>
      </c>
      <c r="BL25" s="15" t="str">
        <f>#REF!</f>
        <v>#VALUE!:noResult:No valid cells found for operation.</v>
      </c>
      <c r="BM25" s="15" t="str">
        <f>#REF!</f>
        <v>#VALUE!:noResult:No valid cells found for operation.</v>
      </c>
      <c r="BN25" s="15" t="str">
        <f>#REF!</f>
        <v>#VALUE!:noResult:No valid cells found for operation.</v>
      </c>
      <c r="BO25" s="15" t="str">
        <f>#REF!</f>
        <v>#VALUE!:noResult:No valid cells found for operation.</v>
      </c>
      <c r="BP25" s="15">
        <f>IF(Trans!R[305],"AAAAAB/+70M=",0)</f>
        <v>0</v>
      </c>
      <c r="BQ25" s="15" t="b">
        <f>AND(Trans!A330,"AAAAAB/+70Q=")</f>
        <v>1</v>
      </c>
      <c r="BR25" s="15" t="str">
        <f>AND(Trans!B330,"AAAAAB/+70U=")</f>
        <v>#VALUE!:noResult:No valid cells found for operation.</v>
      </c>
      <c r="BS25" s="15" t="b">
        <f>AND(Trans!C330,"AAAAAB/+70Y=")</f>
        <v>1</v>
      </c>
      <c r="BT25" s="15" t="b">
        <f>AND(Trans!D330,"AAAAAB/+70c=")</f>
        <v>1</v>
      </c>
      <c r="BU25" s="15" t="str">
        <f>AND(Trans!E330,"AAAAAB/+70g=")</f>
        <v>#VALUE!:noResult:No valid cells found for operation.</v>
      </c>
      <c r="BV25" s="15" t="str">
        <f>AND(Trans!F330,"AAAAAB/+70k=")</f>
        <v>#VALUE!:noResult:No valid cells found for operation.</v>
      </c>
      <c r="BW25" s="15" t="str">
        <f>AND(Trans!G330,"AAAAAB/+70o=")</f>
        <v>#VALUE!:noResult:No valid cells found for operation.</v>
      </c>
      <c r="BX25" s="15" t="str">
        <f>#REF!</f>
        <v>#VALUE!:noResult:No valid cells found for operation.</v>
      </c>
      <c r="BY25" s="15" t="str">
        <f>AND(Trans!H330,"AAAAAB/+70w=")</f>
        <v>#VALUE!:noResult:No valid cells found for operation.</v>
      </c>
      <c r="BZ25" s="15" t="str">
        <f>#REF!</f>
        <v>#VALUE!:noResult:No valid cells found for operation.</v>
      </c>
      <c r="CA25" s="15" t="str">
        <f>#REF!</f>
        <v>#VALUE!:noResult:No valid cells found for operation.</v>
      </c>
      <c r="CB25" s="15" t="str">
        <f>#REF!</f>
        <v>#VALUE!:noResult:No valid cells found for operation.</v>
      </c>
      <c r="CC25" s="15" t="str">
        <f>#REF!</f>
        <v>#VALUE!:noResult:No valid cells found for operation.</v>
      </c>
      <c r="CD25" s="15" t="str">
        <f>#REF!</f>
        <v>#VALUE!:noResult:No valid cells found for operation.</v>
      </c>
      <c r="CE25" s="15" t="str">
        <f>#REF!</f>
        <v>#VALUE!:noResult:No valid cells found for operation.</v>
      </c>
      <c r="CF25" s="15">
        <f>IF(Trans!R[306],"AAAAAB/+71M=",0)</f>
        <v>0</v>
      </c>
      <c r="CG25" s="15" t="b">
        <f>AND(Trans!A331,"AAAAAB/+71Q=")</f>
        <v>1</v>
      </c>
      <c r="CH25" s="15" t="str">
        <f>AND(Trans!B331,"AAAAAB/+71U=")</f>
        <v>#VALUE!:noResult:No valid cells found for operation.</v>
      </c>
      <c r="CI25" s="15" t="b">
        <f>AND(Trans!C331,"AAAAAB/+71Y=")</f>
        <v>1</v>
      </c>
      <c r="CJ25" s="15" t="b">
        <f>AND(Trans!D331,"AAAAAB/+71c=")</f>
        <v>1</v>
      </c>
      <c r="CK25" s="15" t="str">
        <f>AND(Trans!E331,"AAAAAB/+71g=")</f>
        <v>#VALUE!:noResult:No valid cells found for operation.</v>
      </c>
      <c r="CL25" s="15" t="str">
        <f>AND(Trans!F331,"AAAAAB/+71k=")</f>
        <v>#VALUE!:noResult:No valid cells found for operation.</v>
      </c>
      <c r="CM25" s="15" t="str">
        <f>AND(Trans!G331,"AAAAAB/+71o=")</f>
        <v>#VALUE!:noResult:No valid cells found for operation.</v>
      </c>
      <c r="CN25" s="15" t="str">
        <f>#REF!</f>
        <v>#VALUE!:noResult:No valid cells found for operation.</v>
      </c>
      <c r="CO25" s="15" t="str">
        <f>AND(Trans!H331,"AAAAAB/+71w=")</f>
        <v>#VALUE!:noResult:No valid cells found for operation.</v>
      </c>
      <c r="CP25" s="15" t="str">
        <f>#REF!</f>
        <v>#VALUE!:noResult:No valid cells found for operation.</v>
      </c>
      <c r="CQ25" s="15" t="str">
        <f>#REF!</f>
        <v>#VALUE!:noResult:No valid cells found for operation.</v>
      </c>
      <c r="CR25" s="15" t="str">
        <f>#REF!</f>
        <v>#VALUE!:noResult:No valid cells found for operation.</v>
      </c>
      <c r="CS25" s="15" t="str">
        <f>#REF!</f>
        <v>#VALUE!:noResult:No valid cells found for operation.</v>
      </c>
      <c r="CT25" s="15" t="str">
        <f>#REF!</f>
        <v>#VALUE!:noResult:No valid cells found for operation.</v>
      </c>
      <c r="CU25" s="15" t="str">
        <f>#REF!</f>
        <v>#VALUE!:noResult:No valid cells found for operation.</v>
      </c>
      <c r="CV25" s="15">
        <f>IF(Trans!R[307],"AAAAAB/+72M=",0)</f>
        <v>0</v>
      </c>
      <c r="CW25" s="15" t="b">
        <f>AND(Trans!A332,"AAAAAB/+72Q=")</f>
        <v>1</v>
      </c>
      <c r="CX25" s="15" t="str">
        <f>AND(Trans!B332,"AAAAAB/+72U=")</f>
        <v>#VALUE!:noResult:No valid cells found for operation.</v>
      </c>
      <c r="CY25" s="15" t="b">
        <f>AND(Trans!C332,"AAAAAB/+72Y=")</f>
        <v>1</v>
      </c>
      <c r="CZ25" s="15" t="b">
        <f>AND(Trans!D332,"AAAAAB/+72c=")</f>
        <v>1</v>
      </c>
      <c r="DA25" s="15" t="str">
        <f>AND(Trans!E332,"AAAAAB/+72g=")</f>
        <v>#VALUE!:noResult:No valid cells found for operation.</v>
      </c>
      <c r="DB25" s="15" t="str">
        <f>AND(Trans!F332,"AAAAAB/+72k=")</f>
        <v>#VALUE!:noResult:No valid cells found for operation.</v>
      </c>
      <c r="DC25" s="15" t="str">
        <f>AND(Trans!G332,"AAAAAB/+72o=")</f>
        <v>#VALUE!:noResult:No valid cells found for operation.</v>
      </c>
      <c r="DD25" s="15" t="str">
        <f>#REF!</f>
        <v>#VALUE!:noResult:No valid cells found for operation.</v>
      </c>
      <c r="DE25" s="15" t="str">
        <f>AND(Trans!H332,"AAAAAB/+72w=")</f>
        <v>#VALUE!:noResult:No valid cells found for operation.</v>
      </c>
      <c r="DF25" s="15" t="str">
        <f>#REF!</f>
        <v>#VALUE!:noResult:No valid cells found for operation.</v>
      </c>
      <c r="DG25" s="15" t="str">
        <f>#REF!</f>
        <v>#VALUE!:noResult:No valid cells found for operation.</v>
      </c>
      <c r="DH25" s="15" t="str">
        <f>#REF!</f>
        <v>#VALUE!:noResult:No valid cells found for operation.</v>
      </c>
      <c r="DI25" s="15" t="str">
        <f>#REF!</f>
        <v>#VALUE!:noResult:No valid cells found for operation.</v>
      </c>
      <c r="DJ25" s="15" t="str">
        <f>#REF!</f>
        <v>#VALUE!:noResult:No valid cells found for operation.</v>
      </c>
      <c r="DK25" s="15" t="str">
        <f>#REF!</f>
        <v>#VALUE!:noResult:No valid cells found for operation.</v>
      </c>
      <c r="DL25" s="15">
        <f>IF(Trans!R[308],"AAAAAB/+73M=",0)</f>
        <v>0</v>
      </c>
      <c r="DM25" s="15" t="b">
        <f>AND(Trans!A333,"AAAAAB/+73Q=")</f>
        <v>1</v>
      </c>
      <c r="DN25" s="15" t="str">
        <f>AND(Trans!B333,"AAAAAB/+73U=")</f>
        <v>#VALUE!:noResult:No valid cells found for operation.</v>
      </c>
      <c r="DO25" s="15" t="b">
        <f>AND(Trans!C333,"AAAAAB/+73Y=")</f>
        <v>1</v>
      </c>
      <c r="DP25" s="15" t="b">
        <f>AND(Trans!D333,"AAAAAB/+73c=")</f>
        <v>1</v>
      </c>
      <c r="DQ25" s="15" t="str">
        <f>AND(Trans!E333,"AAAAAB/+73g=")</f>
        <v>#VALUE!:noResult:No valid cells found for operation.</v>
      </c>
      <c r="DR25" s="15" t="str">
        <f>AND(Trans!F333,"AAAAAB/+73k=")</f>
        <v>#VALUE!:noResult:No valid cells found for operation.</v>
      </c>
      <c r="DS25" s="15" t="str">
        <f>AND(Trans!G333,"AAAAAB/+73o=")</f>
        <v>#VALUE!:noResult:No valid cells found for operation.</v>
      </c>
      <c r="DT25" s="15" t="str">
        <f>#REF!</f>
        <v>#VALUE!:noResult:No valid cells found for operation.</v>
      </c>
      <c r="DU25" s="15" t="str">
        <f>AND(Trans!H333,"AAAAAB/+73w=")</f>
        <v>#VALUE!:noResult:No valid cells found for operation.</v>
      </c>
      <c r="DV25" s="15" t="str">
        <f>#REF!</f>
        <v>#VALUE!:noResult:No valid cells found for operation.</v>
      </c>
      <c r="DW25" s="15" t="str">
        <f>#REF!</f>
        <v>#VALUE!:noResult:No valid cells found for operation.</v>
      </c>
      <c r="DX25" s="15" t="str">
        <f>#REF!</f>
        <v>#VALUE!:noResult:No valid cells found for operation.</v>
      </c>
      <c r="DY25" s="15" t="str">
        <f>#REF!</f>
        <v>#VALUE!:noResult:No valid cells found for operation.</v>
      </c>
      <c r="DZ25" s="15" t="str">
        <f>#REF!</f>
        <v>#VALUE!:noResult:No valid cells found for operation.</v>
      </c>
      <c r="EA25" s="15" t="str">
        <f>#REF!</f>
        <v>#VALUE!:noResult:No valid cells found for operation.</v>
      </c>
      <c r="EB25" s="15">
        <f>IF(Trans!R[309],"AAAAAB/+74M=",0)</f>
        <v>0</v>
      </c>
      <c r="EC25" s="15" t="b">
        <f>AND(Trans!A334,"AAAAAB/+74Q=")</f>
        <v>1</v>
      </c>
      <c r="ED25" s="15" t="str">
        <f>AND(Trans!B334,"AAAAAB/+74U=")</f>
        <v>#VALUE!:noResult:No valid cells found for operation.</v>
      </c>
      <c r="EE25" s="15" t="b">
        <f>AND(Trans!C334,"AAAAAB/+74Y=")</f>
        <v>1</v>
      </c>
      <c r="EF25" s="15" t="b">
        <f>AND(Trans!D334,"AAAAAB/+74c=")</f>
        <v>1</v>
      </c>
      <c r="EG25" s="15" t="str">
        <f>AND(Trans!E334,"AAAAAB/+74g=")</f>
        <v>#VALUE!:noResult:No valid cells found for operation.</v>
      </c>
      <c r="EH25" s="15" t="str">
        <f>AND(Trans!F334,"AAAAAB/+74k=")</f>
        <v>#VALUE!:noResult:No valid cells found for operation.</v>
      </c>
      <c r="EI25" s="15" t="str">
        <f>AND(Trans!G334,"AAAAAB/+74o=")</f>
        <v>#VALUE!:noResult:No valid cells found for operation.</v>
      </c>
      <c r="EJ25" s="15" t="str">
        <f>#REF!</f>
        <v>#VALUE!:noResult:No valid cells found for operation.</v>
      </c>
      <c r="EK25" s="15" t="str">
        <f>AND(Trans!H334,"AAAAAB/+74w=")</f>
        <v>#VALUE!:noResult:No valid cells found for operation.</v>
      </c>
      <c r="EL25" s="15" t="str">
        <f>#REF!</f>
        <v>#VALUE!:noResult:No valid cells found for operation.</v>
      </c>
      <c r="EM25" s="15" t="str">
        <f>#REF!</f>
        <v>#VALUE!:noResult:No valid cells found for operation.</v>
      </c>
      <c r="EN25" s="15" t="str">
        <f>#REF!</f>
        <v>#VALUE!:noResult:No valid cells found for operation.</v>
      </c>
      <c r="EO25" s="15" t="str">
        <f>#REF!</f>
        <v>#VALUE!:noResult:No valid cells found for operation.</v>
      </c>
      <c r="EP25" s="15" t="str">
        <f>#REF!</f>
        <v>#VALUE!:noResult:No valid cells found for operation.</v>
      </c>
      <c r="EQ25" s="15" t="str">
        <f>#REF!</f>
        <v>#VALUE!:noResult:No valid cells found for operation.</v>
      </c>
      <c r="ER25" s="15">
        <f>IF(Trans!R[310],"AAAAAB/+75M=",0)</f>
        <v>0</v>
      </c>
      <c r="ES25" s="15" t="b">
        <f>AND(Trans!A335,"AAAAAB/+75Q=")</f>
        <v>1</v>
      </c>
      <c r="ET25" s="15" t="str">
        <f>AND(Trans!B335,"AAAAAB/+75U=")</f>
        <v>#VALUE!:noResult:No valid cells found for operation.</v>
      </c>
      <c r="EU25" s="15" t="b">
        <f>AND(Trans!C335,"AAAAAB/+75Y=")</f>
        <v>1</v>
      </c>
      <c r="EV25" s="15" t="b">
        <f>AND(Trans!D335,"AAAAAB/+75c=")</f>
        <v>1</v>
      </c>
      <c r="EW25" s="15" t="str">
        <f>AND(Trans!E335,"AAAAAB/+75g=")</f>
        <v>#VALUE!:noResult:No valid cells found for operation.</v>
      </c>
      <c r="EX25" s="15" t="str">
        <f>AND(Trans!F335,"AAAAAB/+75k=")</f>
        <v>#VALUE!:noResult:No valid cells found for operation.</v>
      </c>
      <c r="EY25" s="15" t="str">
        <f>AND(Trans!G335,"AAAAAB/+75o=")</f>
        <v>#VALUE!:noResult:No valid cells found for operation.</v>
      </c>
      <c r="EZ25" s="15" t="str">
        <f>#REF!</f>
        <v>#VALUE!:noResult:No valid cells found for operation.</v>
      </c>
      <c r="FA25" s="15" t="str">
        <f>AND(Trans!H335,"AAAAAB/+75w=")</f>
        <v>#VALUE!:noResult:No valid cells found for operation.</v>
      </c>
      <c r="FB25" s="15" t="str">
        <f>#REF!</f>
        <v>#VALUE!:noResult:No valid cells found for operation.</v>
      </c>
      <c r="FC25" s="15" t="str">
        <f>#REF!</f>
        <v>#VALUE!:noResult:No valid cells found for operation.</v>
      </c>
      <c r="FD25" s="15" t="str">
        <f>#REF!</f>
        <v>#VALUE!:noResult:No valid cells found for operation.</v>
      </c>
      <c r="FE25" s="15" t="str">
        <f>#REF!</f>
        <v>#VALUE!:noResult:No valid cells found for operation.</v>
      </c>
      <c r="FF25" s="15" t="str">
        <f>#REF!</f>
        <v>#VALUE!:noResult:No valid cells found for operation.</v>
      </c>
      <c r="FG25" s="15" t="str">
        <f>#REF!</f>
        <v>#VALUE!:noResult:No valid cells found for operation.</v>
      </c>
      <c r="FH25" s="15">
        <f>IF(Trans!R[311],"AAAAAB/+76M=",0)</f>
        <v>0</v>
      </c>
      <c r="FI25" s="15" t="b">
        <f>AND(Trans!A336,"AAAAAB/+76Q=")</f>
        <v>1</v>
      </c>
      <c r="FJ25" s="15" t="str">
        <f>AND(Trans!B336,"AAAAAB/+76U=")</f>
        <v>#VALUE!:noResult:No valid cells found for operation.</v>
      </c>
      <c r="FK25" s="15" t="b">
        <f>AND(Trans!C336,"AAAAAB/+76Y=")</f>
        <v>1</v>
      </c>
      <c r="FL25" s="15" t="b">
        <f>AND(Trans!D336,"AAAAAB/+76c=")</f>
        <v>1</v>
      </c>
      <c r="FM25" s="15" t="str">
        <f>AND(Trans!E336,"AAAAAB/+76g=")</f>
        <v>#VALUE!:noResult:No valid cells found for operation.</v>
      </c>
      <c r="FN25" s="15" t="str">
        <f>AND(Trans!F336,"AAAAAB/+76k=")</f>
        <v>#VALUE!:noResult:No valid cells found for operation.</v>
      </c>
      <c r="FO25" s="15" t="str">
        <f>AND(Trans!G336,"AAAAAB/+76o=")</f>
        <v>#VALUE!:noResult:No valid cells found for operation.</v>
      </c>
      <c r="FP25" s="15" t="str">
        <f>#REF!</f>
        <v>#VALUE!:noResult:No valid cells found for operation.</v>
      </c>
      <c r="FQ25" s="15" t="str">
        <f>AND(Trans!H336,"AAAAAB/+76w=")</f>
        <v>#VALUE!:noResult:No valid cells found for operation.</v>
      </c>
      <c r="FR25" s="15" t="str">
        <f>#REF!</f>
        <v>#VALUE!:noResult:No valid cells found for operation.</v>
      </c>
      <c r="FS25" s="15" t="str">
        <f>#REF!</f>
        <v>#VALUE!:noResult:No valid cells found for operation.</v>
      </c>
      <c r="FT25" s="15" t="str">
        <f>#REF!</f>
        <v>#VALUE!:noResult:No valid cells found for operation.</v>
      </c>
      <c r="FU25" s="15" t="str">
        <f>#REF!</f>
        <v>#VALUE!:noResult:No valid cells found for operation.</v>
      </c>
      <c r="FV25" s="15" t="str">
        <f>#REF!</f>
        <v>#VALUE!:noResult:No valid cells found for operation.</v>
      </c>
      <c r="FW25" s="15" t="str">
        <f>#REF!</f>
        <v>#VALUE!:noResult:No valid cells found for operation.</v>
      </c>
      <c r="FX25" s="15">
        <f>IF(Trans!R[312],"AAAAAB/+77M=",0)</f>
        <v>0</v>
      </c>
      <c r="FY25" s="15" t="b">
        <f>AND(Trans!A337,"AAAAAB/+77Q=")</f>
        <v>1</v>
      </c>
      <c r="FZ25" s="15" t="str">
        <f>AND(Trans!B337,"AAAAAB/+77U=")</f>
        <v>#VALUE!:noResult:No valid cells found for operation.</v>
      </c>
      <c r="GA25" s="15" t="b">
        <f>AND(Trans!C337,"AAAAAB/+77Y=")</f>
        <v>1</v>
      </c>
      <c r="GB25" s="15" t="b">
        <f>AND(Trans!D337,"AAAAAB/+77c=")</f>
        <v>1</v>
      </c>
      <c r="GC25" s="15" t="str">
        <f>AND(Trans!E337,"AAAAAB/+77g=")</f>
        <v>#VALUE!:noResult:No valid cells found for operation.</v>
      </c>
      <c r="GD25" s="15" t="str">
        <f>AND(Trans!F337,"AAAAAB/+77k=")</f>
        <v>#VALUE!:noResult:No valid cells found for operation.</v>
      </c>
      <c r="GE25" s="15" t="str">
        <f>AND(Trans!G337,"AAAAAB/+77o=")</f>
        <v>#VALUE!:noResult:No valid cells found for operation.</v>
      </c>
      <c r="GF25" s="15" t="str">
        <f>#REF!</f>
        <v>#VALUE!:noResult:No valid cells found for operation.</v>
      </c>
      <c r="GG25" s="15" t="str">
        <f>AND(Trans!H337,"AAAAAB/+77w=")</f>
        <v>#VALUE!:noResult:No valid cells found for operation.</v>
      </c>
      <c r="GH25" s="15" t="str">
        <f>#REF!</f>
        <v>#VALUE!:noResult:No valid cells found for operation.</v>
      </c>
      <c r="GI25" s="15" t="str">
        <f>#REF!</f>
        <v>#VALUE!:noResult:No valid cells found for operation.</v>
      </c>
      <c r="GJ25" s="15" t="str">
        <f>#REF!</f>
        <v>#VALUE!:noResult:No valid cells found for operation.</v>
      </c>
      <c r="GK25" s="15" t="str">
        <f>#REF!</f>
        <v>#VALUE!:noResult:No valid cells found for operation.</v>
      </c>
      <c r="GL25" s="15" t="str">
        <f>#REF!</f>
        <v>#VALUE!:noResult:No valid cells found for operation.</v>
      </c>
      <c r="GM25" s="15" t="str">
        <f>#REF!</f>
        <v>#VALUE!:noResult:No valid cells found for operation.</v>
      </c>
      <c r="GN25" s="15">
        <f>IF(Trans!R[313],"AAAAAB/+78M=",0)</f>
        <v>0</v>
      </c>
      <c r="GO25" s="15" t="b">
        <f>AND(Trans!A338,"AAAAAB/+78Q=")</f>
        <v>1</v>
      </c>
      <c r="GP25" s="15" t="str">
        <f>AND(Trans!B338,"AAAAAB/+78U=")</f>
        <v>#VALUE!:noResult:No valid cells found for operation.</v>
      </c>
      <c r="GQ25" s="15" t="b">
        <f>AND(Trans!C338,"AAAAAB/+78Y=")</f>
        <v>1</v>
      </c>
      <c r="GR25" s="15" t="b">
        <f>AND(Trans!D338,"AAAAAB/+78c=")</f>
        <v>1</v>
      </c>
      <c r="GS25" s="15" t="str">
        <f>AND(Trans!E338,"AAAAAB/+78g=")</f>
        <v>#VALUE!:noResult:No valid cells found for operation.</v>
      </c>
      <c r="GT25" s="15" t="str">
        <f>AND(Trans!F338,"AAAAAB/+78k=")</f>
        <v>#VALUE!:noResult:No valid cells found for operation.</v>
      </c>
      <c r="GU25" s="15" t="str">
        <f>AND(Trans!G338,"AAAAAB/+78o=")</f>
        <v>#VALUE!:noResult:No valid cells found for operation.</v>
      </c>
      <c r="GV25" s="15" t="str">
        <f>#REF!</f>
        <v>#VALUE!:noResult:No valid cells found for operation.</v>
      </c>
      <c r="GW25" s="15" t="str">
        <f>AND(Trans!H338,"AAAAAB/+78w=")</f>
        <v>#VALUE!:noResult:No valid cells found for operation.</v>
      </c>
      <c r="GX25" s="15" t="str">
        <f>#REF!</f>
        <v>#VALUE!:noResult:No valid cells found for operation.</v>
      </c>
      <c r="GY25" s="15" t="str">
        <f>#REF!</f>
        <v>#VALUE!:noResult:No valid cells found for operation.</v>
      </c>
      <c r="GZ25" s="15" t="str">
        <f>#REF!</f>
        <v>#VALUE!:noResult:No valid cells found for operation.</v>
      </c>
      <c r="HA25" s="15" t="str">
        <f>#REF!</f>
        <v>#VALUE!:noResult:No valid cells found for operation.</v>
      </c>
      <c r="HB25" s="15" t="str">
        <f>#REF!</f>
        <v>#VALUE!:noResult:No valid cells found for operation.</v>
      </c>
      <c r="HC25" s="15" t="str">
        <f>#REF!</f>
        <v>#VALUE!:noResult:No valid cells found for operation.</v>
      </c>
      <c r="HD25" s="15">
        <f>IF(Trans!R[314],"AAAAAB/+79M=",0)</f>
        <v>0</v>
      </c>
      <c r="HE25" s="15" t="b">
        <f>AND(Trans!A339,"AAAAAB/+79Q=")</f>
        <v>1</v>
      </c>
      <c r="HF25" s="15" t="str">
        <f>AND(Trans!B339,"AAAAAB/+79U=")</f>
        <v>#VALUE!:noResult:No valid cells found for operation.</v>
      </c>
      <c r="HG25" s="15" t="b">
        <f>AND(Trans!C339,"AAAAAB/+79Y=")</f>
        <v>1</v>
      </c>
      <c r="HH25" s="15" t="b">
        <f>AND(Trans!D339,"AAAAAB/+79c=")</f>
        <v>1</v>
      </c>
      <c r="HI25" s="15" t="str">
        <f>AND(Trans!E339,"AAAAAB/+79g=")</f>
        <v>#VALUE!:noResult:No valid cells found for operation.</v>
      </c>
      <c r="HJ25" s="15" t="str">
        <f>AND(Trans!F339,"AAAAAB/+79k=")</f>
        <v>#VALUE!:noResult:No valid cells found for operation.</v>
      </c>
      <c r="HK25" s="15" t="str">
        <f>AND(Trans!G339,"AAAAAB/+79o=")</f>
        <v>#VALUE!:noResult:No valid cells found for operation.</v>
      </c>
      <c r="HL25" s="15" t="str">
        <f>#REF!</f>
        <v>#VALUE!:noResult:No valid cells found for operation.</v>
      </c>
      <c r="HM25" s="15" t="str">
        <f>AND(Trans!H339,"AAAAAB/+79w=")</f>
        <v>#VALUE!:noResult:No valid cells found for operation.</v>
      </c>
      <c r="HN25" s="15" t="str">
        <f>#REF!</f>
        <v>#VALUE!:noResult:No valid cells found for operation.</v>
      </c>
      <c r="HO25" s="15" t="str">
        <f>#REF!</f>
        <v>#VALUE!:noResult:No valid cells found for operation.</v>
      </c>
      <c r="HP25" s="15" t="str">
        <f>#REF!</f>
        <v>#VALUE!:noResult:No valid cells found for operation.</v>
      </c>
      <c r="HQ25" s="15" t="str">
        <f>#REF!</f>
        <v>#VALUE!:noResult:No valid cells found for operation.</v>
      </c>
      <c r="HR25" s="15" t="str">
        <f>#REF!</f>
        <v>#VALUE!:noResult:No valid cells found for operation.</v>
      </c>
      <c r="HS25" s="15" t="str">
        <f>#REF!</f>
        <v>#VALUE!:noResult:No valid cells found for operation.</v>
      </c>
      <c r="HT25" s="15">
        <f>IF(Trans!R[315],"AAAAAB/+7+M=",0)</f>
        <v>0</v>
      </c>
      <c r="HU25" s="15" t="b">
        <f>AND(Trans!A340,"AAAAAB/+7+Q=")</f>
        <v>1</v>
      </c>
      <c r="HV25" s="15" t="str">
        <f>AND(Trans!B340,"AAAAAB/+7+U=")</f>
        <v>#VALUE!:noResult:No valid cells found for operation.</v>
      </c>
      <c r="HW25" s="15" t="b">
        <f>AND(Trans!C340,"AAAAAB/+7+Y=")</f>
        <v>1</v>
      </c>
      <c r="HX25" s="15" t="b">
        <f>AND(Trans!D340,"AAAAAB/+7+c=")</f>
        <v>1</v>
      </c>
      <c r="HY25" s="15" t="str">
        <f>AND(Trans!E340,"AAAAAB/+7+g=")</f>
        <v>#VALUE!:noResult:No valid cells found for operation.</v>
      </c>
      <c r="HZ25" s="15" t="str">
        <f>AND(Trans!F340,"AAAAAB/+7+k=")</f>
        <v>#VALUE!:noResult:No valid cells found for operation.</v>
      </c>
      <c r="IA25" s="15" t="str">
        <f>AND(Trans!G340,"AAAAAB/+7+o=")</f>
        <v>#VALUE!:noResult:No valid cells found for operation.</v>
      </c>
      <c r="IB25" s="15" t="str">
        <f>#REF!</f>
        <v>#VALUE!:noResult:No valid cells found for operation.</v>
      </c>
      <c r="IC25" s="15" t="str">
        <f>AND(Trans!H340,"AAAAAB/+7+w=")</f>
        <v>#VALUE!:noResult:No valid cells found for operation.</v>
      </c>
      <c r="ID25" s="15" t="str">
        <f>#REF!</f>
        <v>#VALUE!:noResult:No valid cells found for operation.</v>
      </c>
      <c r="IE25" s="15" t="str">
        <f>#REF!</f>
        <v>#VALUE!:noResult:No valid cells found for operation.</v>
      </c>
      <c r="IF25" s="15" t="str">
        <f>#REF!</f>
        <v>#VALUE!:noResult:No valid cells found for operation.</v>
      </c>
      <c r="IG25" s="15" t="str">
        <f>#REF!</f>
        <v>#VALUE!:noResult:No valid cells found for operation.</v>
      </c>
      <c r="IH25" s="15" t="str">
        <f>#REF!</f>
        <v>#VALUE!:noResult:No valid cells found for operation.</v>
      </c>
      <c r="II25" s="15" t="str">
        <f>#REF!</f>
        <v>#VALUE!:noResult:No valid cells found for operation.</v>
      </c>
      <c r="IJ25" s="15">
        <f>IF(Trans!R[316],"AAAAAB/+7/M=",0)</f>
        <v>0</v>
      </c>
      <c r="IK25" s="15" t="b">
        <f>AND(Trans!A341,"AAAAAB/+7/Q=")</f>
        <v>1</v>
      </c>
      <c r="IL25" s="15" t="str">
        <f>AND(Trans!B341,"AAAAAB/+7/U=")</f>
        <v>#VALUE!:noResult:No valid cells found for operation.</v>
      </c>
      <c r="IM25" s="15" t="b">
        <f>AND(Trans!C341,"AAAAAB/+7/Y=")</f>
        <v>1</v>
      </c>
      <c r="IN25" s="15" t="b">
        <f>AND(Trans!D341,"AAAAAB/+7/c=")</f>
        <v>1</v>
      </c>
      <c r="IO25" s="15" t="str">
        <f>AND(Trans!E341,"AAAAAB/+7/g=")</f>
        <v>#VALUE!:noResult:No valid cells found for operation.</v>
      </c>
      <c r="IP25" s="15" t="str">
        <f>AND(Trans!F341,"AAAAAB/+7/k=")</f>
        <v>#VALUE!:noResult:No valid cells found for operation.</v>
      </c>
      <c r="IQ25" s="15" t="str">
        <f>AND(Trans!G341,"AAAAAB/+7/o=")</f>
        <v>#VALUE!:noResult:No valid cells found for operation.</v>
      </c>
      <c r="IR25" s="15" t="str">
        <f>#REF!</f>
        <v>#VALUE!:noResult:No valid cells found for operation.</v>
      </c>
      <c r="IS25" s="15" t="str">
        <f>AND(Trans!H341,"AAAAAB/+7/w=")</f>
        <v>#VALUE!:noResult:No valid cells found for operation.</v>
      </c>
      <c r="IT25" s="15" t="str">
        <f>#REF!</f>
        <v>#VALUE!:noResult:No valid cells found for operation.</v>
      </c>
      <c r="IU25" s="15" t="str">
        <f>#REF!</f>
        <v>#VALUE!:noResult:No valid cells found for operation.</v>
      </c>
      <c r="IV25" s="15" t="str">
        <f>#REF!</f>
        <v>#VALUE!:noResult:No valid cells found for operation.</v>
      </c>
    </row>
    <row r="26">
      <c r="A26" s="15" t="str">
        <f>#REF!</f>
        <v>#VALUE!:noResult:No valid cells found for operation.</v>
      </c>
      <c r="B26" s="15" t="str">
        <f>#REF!</f>
        <v>#VALUE!:noResult:No valid cells found for operation.</v>
      </c>
      <c r="C26" s="15" t="str">
        <f>#REF!</f>
        <v>#VALUE!:noResult:No valid cells found for operation.</v>
      </c>
      <c r="D26" s="15" t="str">
        <f>IF(Trans!R[316],"AAAAAH9fXwM=",0)</f>
        <v>AAAAAH9fXwM=</v>
      </c>
      <c r="E26" s="15" t="b">
        <f>AND(Trans!A342,"AAAAAH9fXwQ=")</f>
        <v>1</v>
      </c>
      <c r="F26" s="15" t="str">
        <f>AND(Trans!B342,"AAAAAH9fXwU=")</f>
        <v>#VALUE!:noResult:No valid cells found for operation.</v>
      </c>
      <c r="G26" s="15" t="b">
        <f>AND(Trans!C342,"AAAAAH9fXwY=")</f>
        <v>1</v>
      </c>
      <c r="H26" s="15" t="b">
        <f>AND(Trans!D342,"AAAAAH9fXwc=")</f>
        <v>1</v>
      </c>
      <c r="I26" s="15" t="str">
        <f>AND(Trans!E342,"AAAAAH9fXwg=")</f>
        <v>#VALUE!:noResult:No valid cells found for operation.</v>
      </c>
      <c r="J26" s="15" t="str">
        <f>AND(Trans!F342,"AAAAAH9fXwk=")</f>
        <v>#VALUE!:noResult:No valid cells found for operation.</v>
      </c>
      <c r="K26" s="15" t="str">
        <f>AND(Trans!G342,"AAAAAH9fXwo=")</f>
        <v>#VALUE!:noResult:No valid cells found for operation.</v>
      </c>
      <c r="L26" s="15" t="str">
        <f>#REF!</f>
        <v>#VALUE!:noResult:No valid cells found for operation.</v>
      </c>
      <c r="M26" s="15" t="str">
        <f>AND(Trans!H342,"AAAAAH9fXww=")</f>
        <v>#VALUE!:noResult:No valid cells found for operation.</v>
      </c>
      <c r="N26" s="15" t="str">
        <f>#REF!</f>
        <v>#VALUE!:noResult:No valid cells found for operation.</v>
      </c>
      <c r="O26" s="15" t="str">
        <f>#REF!</f>
        <v>#VALUE!:noResult:No valid cells found for operation.</v>
      </c>
      <c r="P26" s="15" t="str">
        <f>#REF!</f>
        <v>#VALUE!:noResult:No valid cells found for operation.</v>
      </c>
      <c r="Q26" s="15" t="str">
        <f>#REF!</f>
        <v>#VALUE!:noResult:No valid cells found for operation.</v>
      </c>
      <c r="R26" s="15" t="str">
        <f>#REF!</f>
        <v>#VALUE!:noResult:No valid cells found for operation.</v>
      </c>
      <c r="S26" s="15" t="str">
        <f>#REF!</f>
        <v>#VALUE!:noResult:No valid cells found for operation.</v>
      </c>
      <c r="T26" s="15">
        <f>IF(Trans!R[317],"AAAAAH9fXxM=",0)</f>
        <v>0</v>
      </c>
      <c r="U26" s="15" t="b">
        <f>AND(Trans!A343,"AAAAAH9fXxQ=")</f>
        <v>1</v>
      </c>
      <c r="V26" s="15" t="str">
        <f>AND(Trans!B343,"AAAAAH9fXxU=")</f>
        <v>#VALUE!:noResult:No valid cells found for operation.</v>
      </c>
      <c r="W26" s="15" t="b">
        <f>AND(Trans!C343,"AAAAAH9fXxY=")</f>
        <v>1</v>
      </c>
      <c r="X26" s="15" t="b">
        <f>AND(Trans!D343,"AAAAAH9fXxc=")</f>
        <v>1</v>
      </c>
      <c r="Y26" s="15" t="str">
        <f>AND(Trans!E343,"AAAAAH9fXxg=")</f>
        <v>#VALUE!:noResult:No valid cells found for operation.</v>
      </c>
      <c r="Z26" s="15" t="str">
        <f>AND(Trans!F343,"AAAAAH9fXxk=")</f>
        <v>#VALUE!:noResult:No valid cells found for operation.</v>
      </c>
      <c r="AA26" s="15" t="str">
        <f>AND(Trans!G343,"AAAAAH9fXxo=")</f>
        <v>#VALUE!:noResult:No valid cells found for operation.</v>
      </c>
      <c r="AB26" s="15" t="str">
        <f>#REF!</f>
        <v>#VALUE!:noResult:No valid cells found for operation.</v>
      </c>
      <c r="AC26" s="15" t="str">
        <f>AND(Trans!H343,"AAAAAH9fXxw=")</f>
        <v>#VALUE!:noResult:No valid cells found for operation.</v>
      </c>
      <c r="AD26" s="15" t="str">
        <f>#REF!</f>
        <v>#VALUE!:noResult:No valid cells found for operation.</v>
      </c>
      <c r="AE26" s="15" t="str">
        <f>#REF!</f>
        <v>#VALUE!:noResult:No valid cells found for operation.</v>
      </c>
      <c r="AF26" s="15" t="str">
        <f>#REF!</f>
        <v>#VALUE!:noResult:No valid cells found for operation.</v>
      </c>
      <c r="AG26" s="15" t="str">
        <f>#REF!</f>
        <v>#VALUE!:noResult:No valid cells found for operation.</v>
      </c>
      <c r="AH26" s="15" t="str">
        <f>#REF!</f>
        <v>#VALUE!:noResult:No valid cells found for operation.</v>
      </c>
      <c r="AI26" s="15" t="str">
        <f>#REF!</f>
        <v>#VALUE!:noResult:No valid cells found for operation.</v>
      </c>
      <c r="AJ26" s="15">
        <f>IF(Trans!R[318],"AAAAAH9fXyM=",0)</f>
        <v>0</v>
      </c>
      <c r="AK26" s="15" t="b">
        <f>AND(Trans!A344,"AAAAAH9fXyQ=")</f>
        <v>1</v>
      </c>
      <c r="AL26" s="15" t="str">
        <f>AND(Trans!B344,"AAAAAH9fXyU=")</f>
        <v>#VALUE!:noResult:No valid cells found for operation.</v>
      </c>
      <c r="AM26" s="15" t="b">
        <f>AND(Trans!C344,"AAAAAH9fXyY=")</f>
        <v>1</v>
      </c>
      <c r="AN26" s="15" t="b">
        <f>AND(Trans!D344,"AAAAAH9fXyc=")</f>
        <v>1</v>
      </c>
      <c r="AO26" s="15" t="str">
        <f>AND(Trans!E344,"AAAAAH9fXyg=")</f>
        <v>#VALUE!:noResult:No valid cells found for operation.</v>
      </c>
      <c r="AP26" s="15" t="str">
        <f>AND(Trans!F344,"AAAAAH9fXyk=")</f>
        <v>#VALUE!:noResult:No valid cells found for operation.</v>
      </c>
      <c r="AQ26" s="15" t="str">
        <f>AND(Trans!G344,"AAAAAH9fXyo=")</f>
        <v>#VALUE!:noResult:No valid cells found for operation.</v>
      </c>
      <c r="AR26" s="15" t="str">
        <f>#REF!</f>
        <v>#VALUE!:noResult:No valid cells found for operation.</v>
      </c>
      <c r="AS26" s="15" t="str">
        <f>AND(Trans!H344,"AAAAAH9fXyw=")</f>
        <v>#VALUE!:noResult:No valid cells found for operation.</v>
      </c>
      <c r="AT26" s="15" t="str">
        <f>#REF!</f>
        <v>#VALUE!:noResult:No valid cells found for operation.</v>
      </c>
      <c r="AU26" s="15" t="str">
        <f>#REF!</f>
        <v>#VALUE!:noResult:No valid cells found for operation.</v>
      </c>
      <c r="AV26" s="15" t="str">
        <f>#REF!</f>
        <v>#VALUE!:noResult:No valid cells found for operation.</v>
      </c>
      <c r="AW26" s="15" t="str">
        <f>#REF!</f>
        <v>#VALUE!:noResult:No valid cells found for operation.</v>
      </c>
      <c r="AX26" s="15" t="str">
        <f>#REF!</f>
        <v>#VALUE!:noResult:No valid cells found for operation.</v>
      </c>
      <c r="AY26" s="15" t="str">
        <f>#REF!</f>
        <v>#VALUE!:noResult:No valid cells found for operation.</v>
      </c>
      <c r="AZ26" s="15">
        <f>IF(Trans!R[319],"AAAAAH9fXzM=",0)</f>
        <v>0</v>
      </c>
      <c r="BA26" s="15" t="b">
        <f>AND(Trans!A345,"AAAAAH9fXzQ=")</f>
        <v>1</v>
      </c>
      <c r="BB26" s="15" t="str">
        <f>AND(Trans!B345,"AAAAAH9fXzU=")</f>
        <v>#VALUE!:noResult:No valid cells found for operation.</v>
      </c>
      <c r="BC26" s="15" t="b">
        <f>AND(Trans!C345,"AAAAAH9fXzY=")</f>
        <v>1</v>
      </c>
      <c r="BD26" s="15" t="b">
        <f>AND(Trans!D345,"AAAAAH9fXzc=")</f>
        <v>1</v>
      </c>
      <c r="BE26" s="15" t="str">
        <f>AND(Trans!E345,"AAAAAH9fXzg=")</f>
        <v>#VALUE!:noResult:No valid cells found for operation.</v>
      </c>
      <c r="BF26" s="15" t="str">
        <f>AND(Trans!F345,"AAAAAH9fXzk=")</f>
        <v>#VALUE!:noResult:No valid cells found for operation.</v>
      </c>
      <c r="BG26" s="15" t="str">
        <f>AND(Trans!G345,"AAAAAH9fXzo=")</f>
        <v>#VALUE!:noResult:No valid cells found for operation.</v>
      </c>
      <c r="BH26" s="15" t="str">
        <f>#REF!</f>
        <v>#VALUE!:noResult:No valid cells found for operation.</v>
      </c>
      <c r="BI26" s="15" t="str">
        <f>AND(Trans!H345,"AAAAAH9fXzw=")</f>
        <v>#VALUE!:noResult:No valid cells found for operation.</v>
      </c>
      <c r="BJ26" s="15" t="str">
        <f>#REF!</f>
        <v>#VALUE!:noResult:No valid cells found for operation.</v>
      </c>
      <c r="BK26" s="15" t="str">
        <f>#REF!</f>
        <v>#VALUE!:noResult:No valid cells found for operation.</v>
      </c>
      <c r="BL26" s="15" t="str">
        <f>#REF!</f>
        <v>#VALUE!:noResult:No valid cells found for operation.</v>
      </c>
      <c r="BM26" s="15" t="str">
        <f>#REF!</f>
        <v>#VALUE!:noResult:No valid cells found for operation.</v>
      </c>
      <c r="BN26" s="15" t="str">
        <f>#REF!</f>
        <v>#VALUE!:noResult:No valid cells found for operation.</v>
      </c>
      <c r="BO26" s="15" t="str">
        <f>#REF!</f>
        <v>#VALUE!:noResult:No valid cells found for operation.</v>
      </c>
      <c r="BP26" s="15">
        <f>IF(Trans!R[320],"AAAAAH9fX0M=",0)</f>
        <v>0</v>
      </c>
      <c r="BQ26" s="15" t="b">
        <f>AND(Trans!A346,"AAAAAH9fX0Q=")</f>
        <v>1</v>
      </c>
      <c r="BR26" s="15" t="str">
        <f>AND(Trans!B346,"AAAAAH9fX0U=")</f>
        <v>#VALUE!:noResult:No valid cells found for operation.</v>
      </c>
      <c r="BS26" s="15" t="b">
        <f>AND(Trans!C346,"AAAAAH9fX0Y=")</f>
        <v>1</v>
      </c>
      <c r="BT26" s="15" t="b">
        <f>AND(Trans!D346,"AAAAAH9fX0c=")</f>
        <v>1</v>
      </c>
      <c r="BU26" s="15" t="str">
        <f>AND(Trans!E346,"AAAAAH9fX0g=")</f>
        <v>#VALUE!:noResult:No valid cells found for operation.</v>
      </c>
      <c r="BV26" s="15" t="str">
        <f>AND(Trans!F346,"AAAAAH9fX0k=")</f>
        <v>#VALUE!:noResult:No valid cells found for operation.</v>
      </c>
      <c r="BW26" s="15" t="str">
        <f>AND(Trans!G346,"AAAAAH9fX0o=")</f>
        <v>#VALUE!:noResult:No valid cells found for operation.</v>
      </c>
      <c r="BX26" s="15" t="str">
        <f>#REF!</f>
        <v>#VALUE!:noResult:No valid cells found for operation.</v>
      </c>
      <c r="BY26" s="15" t="str">
        <f>AND(Trans!H346,"AAAAAH9fX0w=")</f>
        <v>#VALUE!:noResult:No valid cells found for operation.</v>
      </c>
      <c r="BZ26" s="15" t="str">
        <f>#REF!</f>
        <v>#VALUE!:noResult:No valid cells found for operation.</v>
      </c>
      <c r="CA26" s="15" t="str">
        <f>#REF!</f>
        <v>#VALUE!:noResult:No valid cells found for operation.</v>
      </c>
      <c r="CB26" s="15" t="str">
        <f>#REF!</f>
        <v>#VALUE!:noResult:No valid cells found for operation.</v>
      </c>
      <c r="CC26" s="15" t="str">
        <f>#REF!</f>
        <v>#VALUE!:noResult:No valid cells found for operation.</v>
      </c>
      <c r="CD26" s="15" t="str">
        <f>#REF!</f>
        <v>#VALUE!:noResult:No valid cells found for operation.</v>
      </c>
      <c r="CE26" s="15" t="str">
        <f>#REF!</f>
        <v>#VALUE!:noResult:No valid cells found for operation.</v>
      </c>
      <c r="CF26" s="15">
        <f>IF(Trans!R[321],"AAAAAH9fX1M=",0)</f>
        <v>0</v>
      </c>
      <c r="CG26" s="15" t="b">
        <f>AND(Trans!A347,"AAAAAH9fX1Q=")</f>
        <v>1</v>
      </c>
      <c r="CH26" s="15" t="str">
        <f>AND(Trans!B347,"AAAAAH9fX1U=")</f>
        <v>#VALUE!:noResult:No valid cells found for operation.</v>
      </c>
      <c r="CI26" s="15" t="b">
        <f>AND(Trans!C347,"AAAAAH9fX1Y=")</f>
        <v>1</v>
      </c>
      <c r="CJ26" s="15" t="b">
        <f>AND(Trans!D347,"AAAAAH9fX1c=")</f>
        <v>1</v>
      </c>
      <c r="CK26" s="15" t="str">
        <f>AND(Trans!E347,"AAAAAH9fX1g=")</f>
        <v>#VALUE!:noResult:No valid cells found for operation.</v>
      </c>
      <c r="CL26" s="15" t="str">
        <f>AND(Trans!F347,"AAAAAH9fX1k=")</f>
        <v>#VALUE!:noResult:No valid cells found for operation.</v>
      </c>
      <c r="CM26" s="15" t="str">
        <f>AND(Trans!G347,"AAAAAH9fX1o=")</f>
        <v>#VALUE!:noResult:No valid cells found for operation.</v>
      </c>
      <c r="CN26" s="15" t="str">
        <f>#REF!</f>
        <v>#VALUE!:noResult:No valid cells found for operation.</v>
      </c>
      <c r="CO26" s="15" t="str">
        <f>AND(Trans!H347,"AAAAAH9fX1w=")</f>
        <v>#VALUE!:noResult:No valid cells found for operation.</v>
      </c>
      <c r="CP26" s="15" t="str">
        <f>#REF!</f>
        <v>#VALUE!:noResult:No valid cells found for operation.</v>
      </c>
      <c r="CQ26" s="15" t="str">
        <f>#REF!</f>
        <v>#VALUE!:noResult:No valid cells found for operation.</v>
      </c>
      <c r="CR26" s="15" t="str">
        <f>#REF!</f>
        <v>#VALUE!:noResult:No valid cells found for operation.</v>
      </c>
      <c r="CS26" s="15" t="str">
        <f>#REF!</f>
        <v>#VALUE!:noResult:No valid cells found for operation.</v>
      </c>
      <c r="CT26" s="15" t="str">
        <f>#REF!</f>
        <v>#VALUE!:noResult:No valid cells found for operation.</v>
      </c>
      <c r="CU26" s="15" t="str">
        <f>#REF!</f>
        <v>#VALUE!:noResult:No valid cells found for operation.</v>
      </c>
      <c r="CV26" s="15">
        <f>IF(Trans!R[322],"AAAAAH9fX2M=",0)</f>
        <v>0</v>
      </c>
      <c r="CW26" s="15" t="b">
        <f>AND(Trans!A348,"AAAAAH9fX2Q=")</f>
        <v>1</v>
      </c>
      <c r="CX26" s="15" t="str">
        <f>AND(Trans!B348,"AAAAAH9fX2U=")</f>
        <v>#VALUE!:noResult:No valid cells found for operation.</v>
      </c>
      <c r="CY26" s="15" t="b">
        <f>AND(Trans!C348,"AAAAAH9fX2Y=")</f>
        <v>1</v>
      </c>
      <c r="CZ26" s="15" t="b">
        <f>AND(Trans!D348,"AAAAAH9fX2c=")</f>
        <v>1</v>
      </c>
      <c r="DA26" s="15" t="str">
        <f>AND(Trans!E348,"AAAAAH9fX2g=")</f>
        <v>#VALUE!:noResult:No valid cells found for operation.</v>
      </c>
      <c r="DB26" s="15" t="str">
        <f>AND(Trans!F348,"AAAAAH9fX2k=")</f>
        <v>#VALUE!:noResult:No valid cells found for operation.</v>
      </c>
      <c r="DC26" s="15" t="str">
        <f>AND(Trans!G348,"AAAAAH9fX2o=")</f>
        <v>#VALUE!:noResult:No valid cells found for operation.</v>
      </c>
      <c r="DD26" s="15" t="str">
        <f>#REF!</f>
        <v>#VALUE!:noResult:No valid cells found for operation.</v>
      </c>
      <c r="DE26" s="15" t="str">
        <f>AND(Trans!H348,"AAAAAH9fX2w=")</f>
        <v>#VALUE!:noResult:No valid cells found for operation.</v>
      </c>
      <c r="DF26" s="15" t="str">
        <f>#REF!</f>
        <v>#VALUE!:noResult:No valid cells found for operation.</v>
      </c>
      <c r="DG26" s="15" t="str">
        <f>#REF!</f>
        <v>#VALUE!:noResult:No valid cells found for operation.</v>
      </c>
      <c r="DH26" s="15" t="str">
        <f>#REF!</f>
        <v>#VALUE!:noResult:No valid cells found for operation.</v>
      </c>
      <c r="DI26" s="15" t="str">
        <f>#REF!</f>
        <v>#VALUE!:noResult:No valid cells found for operation.</v>
      </c>
      <c r="DJ26" s="15" t="str">
        <f>#REF!</f>
        <v>#VALUE!:noResult:No valid cells found for operation.</v>
      </c>
      <c r="DK26" s="15" t="str">
        <f>#REF!</f>
        <v>#VALUE!:noResult:No valid cells found for operation.</v>
      </c>
      <c r="DL26" s="15">
        <f>IF(Trans!R[323],"AAAAAH9fX3M=",0)</f>
        <v>0</v>
      </c>
      <c r="DM26" s="15" t="b">
        <f>AND(Trans!A349,"AAAAAH9fX3Q=")</f>
        <v>1</v>
      </c>
      <c r="DN26" s="15" t="str">
        <f>AND(Trans!B349,"AAAAAH9fX3U=")</f>
        <v>#VALUE!:noResult:No valid cells found for operation.</v>
      </c>
      <c r="DO26" s="15" t="b">
        <f>AND(Trans!C349,"AAAAAH9fX3Y=")</f>
        <v>1</v>
      </c>
      <c r="DP26" s="15" t="b">
        <f>AND(Trans!D349,"AAAAAH9fX3c=")</f>
        <v>1</v>
      </c>
      <c r="DQ26" s="15" t="str">
        <f>AND(Trans!E349,"AAAAAH9fX3g=")</f>
        <v>#VALUE!:noResult:No valid cells found for operation.</v>
      </c>
      <c r="DR26" s="15" t="str">
        <f>AND(Trans!F349,"AAAAAH9fX3k=")</f>
        <v>#VALUE!:noResult:No valid cells found for operation.</v>
      </c>
      <c r="DS26" s="15" t="str">
        <f>AND(Trans!G349,"AAAAAH9fX3o=")</f>
        <v>#VALUE!:noResult:No valid cells found for operation.</v>
      </c>
      <c r="DT26" s="15" t="str">
        <f>#REF!</f>
        <v>#VALUE!:noResult:No valid cells found for operation.</v>
      </c>
      <c r="DU26" s="15" t="str">
        <f>AND(Trans!H349,"AAAAAH9fX3w=")</f>
        <v>#VALUE!:noResult:No valid cells found for operation.</v>
      </c>
      <c r="DV26" s="15" t="str">
        <f>#REF!</f>
        <v>#VALUE!:noResult:No valid cells found for operation.</v>
      </c>
      <c r="DW26" s="15" t="str">
        <f>#REF!</f>
        <v>#VALUE!:noResult:No valid cells found for operation.</v>
      </c>
      <c r="DX26" s="15" t="str">
        <f>#REF!</f>
        <v>#VALUE!:noResult:No valid cells found for operation.</v>
      </c>
      <c r="DY26" s="15" t="str">
        <f>#REF!</f>
        <v>#VALUE!:noResult:No valid cells found for operation.</v>
      </c>
      <c r="DZ26" s="15" t="str">
        <f>#REF!</f>
        <v>#VALUE!:noResult:No valid cells found for operation.</v>
      </c>
      <c r="EA26" s="15" t="str">
        <f>#REF!</f>
        <v>#VALUE!:noResult:No valid cells found for operation.</v>
      </c>
      <c r="EB26" s="15">
        <f>IF(Trans!R[324],"AAAAAH9fX4M=",0)</f>
        <v>0</v>
      </c>
      <c r="EC26" s="15" t="b">
        <f>AND(Trans!A350,"AAAAAH9fX4Q=")</f>
        <v>1</v>
      </c>
      <c r="ED26" s="15" t="str">
        <f>AND(Trans!B350,"AAAAAH9fX4U=")</f>
        <v>#VALUE!:noResult:No valid cells found for operation.</v>
      </c>
      <c r="EE26" s="15" t="b">
        <f>AND(Trans!C350,"AAAAAH9fX4Y=")</f>
        <v>1</v>
      </c>
      <c r="EF26" s="15" t="b">
        <f>AND(Trans!D350,"AAAAAH9fX4c=")</f>
        <v>1</v>
      </c>
      <c r="EG26" s="15" t="str">
        <f>AND(Trans!E350,"AAAAAH9fX4g=")</f>
        <v>#VALUE!:noResult:No valid cells found for operation.</v>
      </c>
      <c r="EH26" s="15" t="str">
        <f>AND(Trans!F350,"AAAAAH9fX4k=")</f>
        <v>#VALUE!:noResult:No valid cells found for operation.</v>
      </c>
      <c r="EI26" s="15" t="str">
        <f>AND(Trans!G350,"AAAAAH9fX4o=")</f>
        <v>#VALUE!:noResult:No valid cells found for operation.</v>
      </c>
      <c r="EJ26" s="15" t="str">
        <f>#REF!</f>
        <v>#VALUE!:noResult:No valid cells found for operation.</v>
      </c>
      <c r="EK26" s="15" t="str">
        <f>AND(Trans!H350,"AAAAAH9fX4w=")</f>
        <v>#VALUE!:noResult:No valid cells found for operation.</v>
      </c>
      <c r="EL26" s="15" t="str">
        <f>#REF!</f>
        <v>#VALUE!:noResult:No valid cells found for operation.</v>
      </c>
      <c r="EM26" s="15" t="str">
        <f>#REF!</f>
        <v>#VALUE!:noResult:No valid cells found for operation.</v>
      </c>
      <c r="EN26" s="15" t="str">
        <f>#REF!</f>
        <v>#VALUE!:noResult:No valid cells found for operation.</v>
      </c>
      <c r="EO26" s="15" t="str">
        <f>#REF!</f>
        <v>#VALUE!:noResult:No valid cells found for operation.</v>
      </c>
      <c r="EP26" s="15" t="str">
        <f>#REF!</f>
        <v>#VALUE!:noResult:No valid cells found for operation.</v>
      </c>
      <c r="EQ26" s="15" t="str">
        <f>#REF!</f>
        <v>#VALUE!:noResult:No valid cells found for operation.</v>
      </c>
      <c r="ER26" s="15">
        <f>IF(Trans!R[325],"AAAAAH9fX5M=",0)</f>
        <v>0</v>
      </c>
      <c r="ES26" s="15" t="b">
        <f>AND(Trans!A351,"AAAAAH9fX5Q=")</f>
        <v>1</v>
      </c>
      <c r="ET26" s="15" t="str">
        <f>AND(Trans!B351,"AAAAAH9fX5U=")</f>
        <v>#VALUE!:noResult:No valid cells found for operation.</v>
      </c>
      <c r="EU26" s="15" t="b">
        <f>AND(Trans!C351,"AAAAAH9fX5Y=")</f>
        <v>1</v>
      </c>
      <c r="EV26" s="15" t="b">
        <f>AND(Trans!D351,"AAAAAH9fX5c=")</f>
        <v>1</v>
      </c>
      <c r="EW26" s="15" t="str">
        <f>AND(Trans!E351,"AAAAAH9fX5g=")</f>
        <v>#VALUE!:noResult:No valid cells found for operation.</v>
      </c>
      <c r="EX26" s="15" t="str">
        <f>AND(Trans!F351,"AAAAAH9fX5k=")</f>
        <v>#VALUE!:noResult:No valid cells found for operation.</v>
      </c>
      <c r="EY26" s="15" t="str">
        <f>AND(Trans!G351,"AAAAAH9fX5o=")</f>
        <v>#VALUE!:noResult:No valid cells found for operation.</v>
      </c>
      <c r="EZ26" s="15" t="str">
        <f>#REF!</f>
        <v>#VALUE!:noResult:No valid cells found for operation.</v>
      </c>
      <c r="FA26" s="15" t="str">
        <f>AND(Trans!H351,"AAAAAH9fX5w=")</f>
        <v>#VALUE!:noResult:No valid cells found for operation.</v>
      </c>
      <c r="FB26" s="15" t="str">
        <f>#REF!</f>
        <v>#VALUE!:noResult:No valid cells found for operation.</v>
      </c>
      <c r="FC26" s="15" t="str">
        <f>#REF!</f>
        <v>#VALUE!:noResult:No valid cells found for operation.</v>
      </c>
      <c r="FD26" s="15" t="str">
        <f>#REF!</f>
        <v>#VALUE!:noResult:No valid cells found for operation.</v>
      </c>
      <c r="FE26" s="15" t="str">
        <f>#REF!</f>
        <v>#VALUE!:noResult:No valid cells found for operation.</v>
      </c>
      <c r="FF26" s="15" t="str">
        <f>#REF!</f>
        <v>#VALUE!:noResult:No valid cells found for operation.</v>
      </c>
      <c r="FG26" s="15" t="str">
        <f>#REF!</f>
        <v>#VALUE!:noResult:No valid cells found for operation.</v>
      </c>
      <c r="FH26" s="15">
        <f>IF(Trans!R[326],"AAAAAH9fX6M=",0)</f>
        <v>0</v>
      </c>
      <c r="FI26" s="15" t="b">
        <f>AND(Trans!A352,"AAAAAH9fX6Q=")</f>
        <v>1</v>
      </c>
      <c r="FJ26" s="15" t="str">
        <f>AND(Trans!B352,"AAAAAH9fX6U=")</f>
        <v>#VALUE!:noResult:No valid cells found for operation.</v>
      </c>
      <c r="FK26" s="15" t="b">
        <f>AND(Trans!C352,"AAAAAH9fX6Y=")</f>
        <v>1</v>
      </c>
      <c r="FL26" s="15" t="b">
        <f>AND(Trans!D352,"AAAAAH9fX6c=")</f>
        <v>1</v>
      </c>
      <c r="FM26" s="15" t="str">
        <f>AND(Trans!E352,"AAAAAH9fX6g=")</f>
        <v>#VALUE!:noResult:No valid cells found for operation.</v>
      </c>
      <c r="FN26" s="15" t="str">
        <f>AND(Trans!F352,"AAAAAH9fX6k=")</f>
        <v>#VALUE!:noResult:No valid cells found for operation.</v>
      </c>
      <c r="FO26" s="15" t="str">
        <f>AND(Trans!G352,"AAAAAH9fX6o=")</f>
        <v>#VALUE!:noResult:No valid cells found for operation.</v>
      </c>
      <c r="FP26" s="15" t="str">
        <f>#REF!</f>
        <v>#VALUE!:noResult:No valid cells found for operation.</v>
      </c>
      <c r="FQ26" s="15" t="str">
        <f>AND(Trans!H352,"AAAAAH9fX6w=")</f>
        <v>#VALUE!:noResult:No valid cells found for operation.</v>
      </c>
      <c r="FR26" s="15" t="str">
        <f>#REF!</f>
        <v>#VALUE!:noResult:No valid cells found for operation.</v>
      </c>
      <c r="FS26" s="15" t="str">
        <f>#REF!</f>
        <v>#VALUE!:noResult:No valid cells found for operation.</v>
      </c>
      <c r="FT26" s="15" t="str">
        <f>#REF!</f>
        <v>#VALUE!:noResult:No valid cells found for operation.</v>
      </c>
      <c r="FU26" s="15" t="str">
        <f>#REF!</f>
        <v>#VALUE!:noResult:No valid cells found for operation.</v>
      </c>
      <c r="FV26" s="15" t="str">
        <f>#REF!</f>
        <v>#VALUE!:noResult:No valid cells found for operation.</v>
      </c>
      <c r="FW26" s="15" t="str">
        <f>#REF!</f>
        <v>#VALUE!:noResult:No valid cells found for operation.</v>
      </c>
      <c r="FX26" s="15">
        <f>IF(Trans!R[327],"AAAAAH9fX7M=",0)</f>
        <v>0</v>
      </c>
      <c r="FY26" s="15" t="b">
        <f>AND(Trans!A353,"AAAAAH9fX7Q=")</f>
        <v>1</v>
      </c>
      <c r="FZ26" s="15" t="str">
        <f>AND(Trans!B353,"AAAAAH9fX7U=")</f>
        <v>#VALUE!:noResult:No valid cells found for operation.</v>
      </c>
      <c r="GA26" s="15" t="b">
        <f>AND(Trans!C353,"AAAAAH9fX7Y=")</f>
        <v>1</v>
      </c>
      <c r="GB26" s="15" t="b">
        <f>AND(Trans!D353,"AAAAAH9fX7c=")</f>
        <v>1</v>
      </c>
      <c r="GC26" s="15" t="str">
        <f>AND(Trans!E353,"AAAAAH9fX7g=")</f>
        <v>#VALUE!:noResult:No valid cells found for operation.</v>
      </c>
      <c r="GD26" s="15" t="str">
        <f>AND(Trans!F353,"AAAAAH9fX7k=")</f>
        <v>#VALUE!:noResult:No valid cells found for operation.</v>
      </c>
      <c r="GE26" s="15" t="str">
        <f>AND(Trans!G353,"AAAAAH9fX7o=")</f>
        <v>#VALUE!:noResult:No valid cells found for operation.</v>
      </c>
      <c r="GF26" s="15" t="str">
        <f>#REF!</f>
        <v>#VALUE!:noResult:No valid cells found for operation.</v>
      </c>
      <c r="GG26" s="15" t="str">
        <f>AND(Trans!H353,"AAAAAH9fX7w=")</f>
        <v>#VALUE!:noResult:No valid cells found for operation.</v>
      </c>
      <c r="GH26" s="15" t="str">
        <f>#REF!</f>
        <v>#VALUE!:noResult:No valid cells found for operation.</v>
      </c>
      <c r="GI26" s="15" t="str">
        <f>#REF!</f>
        <v>#VALUE!:noResult:No valid cells found for operation.</v>
      </c>
      <c r="GJ26" s="15" t="str">
        <f>#REF!</f>
        <v>#VALUE!:noResult:No valid cells found for operation.</v>
      </c>
      <c r="GK26" s="15" t="str">
        <f>#REF!</f>
        <v>#VALUE!:noResult:No valid cells found for operation.</v>
      </c>
      <c r="GL26" s="15" t="str">
        <f>#REF!</f>
        <v>#VALUE!:noResult:No valid cells found for operation.</v>
      </c>
      <c r="GM26" s="15" t="str">
        <f>#REF!</f>
        <v>#VALUE!:noResult:No valid cells found for operation.</v>
      </c>
      <c r="GN26" s="15">
        <f>IF(Trans!R[328],"AAAAAH9fX8M=",0)</f>
        <v>0</v>
      </c>
      <c r="GO26" s="15" t="b">
        <f>AND(Trans!A354,"AAAAAH9fX8Q=")</f>
        <v>1</v>
      </c>
      <c r="GP26" s="15" t="str">
        <f>AND(Trans!B354,"AAAAAH9fX8U=")</f>
        <v>#VALUE!:noResult:No valid cells found for operation.</v>
      </c>
      <c r="GQ26" s="15" t="b">
        <f>AND(Trans!C354,"AAAAAH9fX8Y=")</f>
        <v>1</v>
      </c>
      <c r="GR26" s="15" t="b">
        <f>AND(Trans!D354,"AAAAAH9fX8c=")</f>
        <v>1</v>
      </c>
      <c r="GS26" s="15" t="str">
        <f>AND(Trans!E354,"AAAAAH9fX8g=")</f>
        <v>#VALUE!:noResult:No valid cells found for operation.</v>
      </c>
      <c r="GT26" s="15" t="str">
        <f>AND(Trans!F354,"AAAAAH9fX8k=")</f>
        <v>#VALUE!:noResult:No valid cells found for operation.</v>
      </c>
      <c r="GU26" s="15" t="str">
        <f>AND(Trans!G354,"AAAAAH9fX8o=")</f>
        <v>#VALUE!:noResult:No valid cells found for operation.</v>
      </c>
      <c r="GV26" s="15" t="str">
        <f>#REF!</f>
        <v>#VALUE!:noResult:No valid cells found for operation.</v>
      </c>
      <c r="GW26" s="15" t="str">
        <f>AND(Trans!H354,"AAAAAH9fX8w=")</f>
        <v>#VALUE!:noResult:No valid cells found for operation.</v>
      </c>
      <c r="GX26" s="15" t="str">
        <f>#REF!</f>
        <v>#VALUE!:noResult:No valid cells found for operation.</v>
      </c>
      <c r="GY26" s="15" t="str">
        <f>#REF!</f>
        <v>#VALUE!:noResult:No valid cells found for operation.</v>
      </c>
      <c r="GZ26" s="15" t="str">
        <f>#REF!</f>
        <v>#VALUE!:noResult:No valid cells found for operation.</v>
      </c>
      <c r="HA26" s="15" t="str">
        <f>#REF!</f>
        <v>#VALUE!:noResult:No valid cells found for operation.</v>
      </c>
      <c r="HB26" s="15" t="str">
        <f>#REF!</f>
        <v>#VALUE!:noResult:No valid cells found for operation.</v>
      </c>
      <c r="HC26" s="15" t="str">
        <f>#REF!</f>
        <v>#VALUE!:noResult:No valid cells found for operation.</v>
      </c>
      <c r="HD26" s="15">
        <f>IF(Trans!R[329],"AAAAAH9fX9M=",0)</f>
        <v>0</v>
      </c>
      <c r="HE26" s="15" t="b">
        <f>AND(Trans!A355,"AAAAAH9fX9Q=")</f>
        <v>1</v>
      </c>
      <c r="HF26" s="15" t="str">
        <f>AND(Trans!B355,"AAAAAH9fX9U=")</f>
        <v>#VALUE!:noResult:No valid cells found for operation.</v>
      </c>
      <c r="HG26" s="15" t="b">
        <f>AND(Trans!C355,"AAAAAH9fX9Y=")</f>
        <v>1</v>
      </c>
      <c r="HH26" s="15" t="b">
        <f>AND(Trans!D355,"AAAAAH9fX9c=")</f>
        <v>1</v>
      </c>
      <c r="HI26" s="15" t="str">
        <f>AND(Trans!E355,"AAAAAH9fX9g=")</f>
        <v>#VALUE!:noResult:No valid cells found for operation.</v>
      </c>
      <c r="HJ26" s="15" t="str">
        <f>AND(Trans!F355,"AAAAAH9fX9k=")</f>
        <v>#VALUE!:noResult:No valid cells found for operation.</v>
      </c>
      <c r="HK26" s="15" t="str">
        <f>AND(Trans!G355,"AAAAAH9fX9o=")</f>
        <v>#VALUE!:noResult:No valid cells found for operation.</v>
      </c>
      <c r="HL26" s="15" t="str">
        <f>#REF!</f>
        <v>#VALUE!:noResult:No valid cells found for operation.</v>
      </c>
      <c r="HM26" s="15" t="str">
        <f>AND(Trans!H355,"AAAAAH9fX9w=")</f>
        <v>#VALUE!:noResult:No valid cells found for operation.</v>
      </c>
      <c r="HN26" s="15" t="str">
        <f>#REF!</f>
        <v>#VALUE!:noResult:No valid cells found for operation.</v>
      </c>
      <c r="HO26" s="15" t="str">
        <f>#REF!</f>
        <v>#VALUE!:noResult:No valid cells found for operation.</v>
      </c>
      <c r="HP26" s="15" t="str">
        <f>#REF!</f>
        <v>#VALUE!:noResult:No valid cells found for operation.</v>
      </c>
      <c r="HQ26" s="15" t="str">
        <f>#REF!</f>
        <v>#VALUE!:noResult:No valid cells found for operation.</v>
      </c>
      <c r="HR26" s="15" t="str">
        <f>#REF!</f>
        <v>#VALUE!:noResult:No valid cells found for operation.</v>
      </c>
      <c r="HS26" s="15" t="str">
        <f>#REF!</f>
        <v>#VALUE!:noResult:No valid cells found for operation.</v>
      </c>
      <c r="HT26" s="15">
        <f>IF(Trans!R[330],"AAAAAH9fX+M=",0)</f>
        <v>0</v>
      </c>
      <c r="HU26" s="15" t="b">
        <f>AND(Trans!A356,"AAAAAH9fX+Q=")</f>
        <v>1</v>
      </c>
      <c r="HV26" s="15" t="str">
        <f>AND(Trans!B356,"AAAAAH9fX+U=")</f>
        <v>#VALUE!:noResult:No valid cells found for operation.</v>
      </c>
      <c r="HW26" s="15" t="b">
        <f>AND(Trans!C356,"AAAAAH9fX+Y=")</f>
        <v>1</v>
      </c>
      <c r="HX26" s="15" t="b">
        <f>AND(Trans!D356,"AAAAAH9fX+c=")</f>
        <v>1</v>
      </c>
      <c r="HY26" s="15" t="str">
        <f>AND(Trans!E356,"AAAAAH9fX+g=")</f>
        <v>#VALUE!:noResult:No valid cells found for operation.</v>
      </c>
      <c r="HZ26" s="15" t="str">
        <f>AND(Trans!F356,"AAAAAH9fX+k=")</f>
        <v>#VALUE!:noResult:No valid cells found for operation.</v>
      </c>
      <c r="IA26" s="15" t="str">
        <f>AND(Trans!G356,"AAAAAH9fX+o=")</f>
        <v>#VALUE!:noResult:No valid cells found for operation.</v>
      </c>
      <c r="IB26" s="15" t="str">
        <f>#REF!</f>
        <v>#VALUE!:noResult:No valid cells found for operation.</v>
      </c>
      <c r="IC26" s="15" t="str">
        <f>AND(Trans!H356,"AAAAAH9fX+w=")</f>
        <v>#VALUE!:noResult:No valid cells found for operation.</v>
      </c>
      <c r="ID26" s="15" t="str">
        <f>#REF!</f>
        <v>#VALUE!:noResult:No valid cells found for operation.</v>
      </c>
      <c r="IE26" s="15" t="str">
        <f>#REF!</f>
        <v>#VALUE!:noResult:No valid cells found for operation.</v>
      </c>
      <c r="IF26" s="15" t="str">
        <f>#REF!</f>
        <v>#VALUE!:noResult:No valid cells found for operation.</v>
      </c>
      <c r="IG26" s="15" t="str">
        <f>#REF!</f>
        <v>#VALUE!:noResult:No valid cells found for operation.</v>
      </c>
      <c r="IH26" s="15" t="str">
        <f>#REF!</f>
        <v>#VALUE!:noResult:No valid cells found for operation.</v>
      </c>
      <c r="II26" s="15" t="str">
        <f>#REF!</f>
        <v>#VALUE!:noResult:No valid cells found for operation.</v>
      </c>
      <c r="IJ26" s="15">
        <f>IF(Trans!R[331],"AAAAAH9fX/M=",0)</f>
        <v>0</v>
      </c>
      <c r="IK26" s="15" t="b">
        <f>AND(Trans!A357,"AAAAAH9fX/Q=")</f>
        <v>1</v>
      </c>
      <c r="IL26" s="15" t="str">
        <f>AND(Trans!B357,"AAAAAH9fX/U=")</f>
        <v>#VALUE!:noResult:No valid cells found for operation.</v>
      </c>
      <c r="IM26" s="15" t="b">
        <f>AND(Trans!C357,"AAAAAH9fX/Y=")</f>
        <v>1</v>
      </c>
      <c r="IN26" s="15" t="b">
        <f>AND(Trans!D357,"AAAAAH9fX/c=")</f>
        <v>1</v>
      </c>
      <c r="IO26" s="15" t="str">
        <f>AND(Trans!E357,"AAAAAH9fX/g=")</f>
        <v>#VALUE!:noResult:No valid cells found for operation.</v>
      </c>
      <c r="IP26" s="15" t="str">
        <f>AND(Trans!F357,"AAAAAH9fX/k=")</f>
        <v>#VALUE!:noResult:No valid cells found for operation.</v>
      </c>
      <c r="IQ26" s="15" t="str">
        <f>AND(Trans!G357,"AAAAAH9fX/o=")</f>
        <v>#VALUE!:noResult:No valid cells found for operation.</v>
      </c>
      <c r="IR26" s="15" t="str">
        <f>#REF!</f>
        <v>#VALUE!:noResult:No valid cells found for operation.</v>
      </c>
      <c r="IS26" s="15" t="str">
        <f>AND(Trans!H357,"AAAAAH9fX/w=")</f>
        <v>#VALUE!:noResult:No valid cells found for operation.</v>
      </c>
      <c r="IT26" s="15" t="str">
        <f>#REF!</f>
        <v>#VALUE!:noResult:No valid cells found for operation.</v>
      </c>
      <c r="IU26" s="15" t="str">
        <f>#REF!</f>
        <v>#VALUE!:noResult:No valid cells found for operation.</v>
      </c>
      <c r="IV26" s="15" t="str">
        <f>#REF!</f>
        <v>#VALUE!:noResult:No valid cells found for operation.</v>
      </c>
    </row>
    <row r="27">
      <c r="A27" s="15" t="str">
        <f>#REF!</f>
        <v>#VALUE!:noResult:No valid cells found for operation.</v>
      </c>
      <c r="B27" s="15" t="str">
        <f>#REF!</f>
        <v>#VALUE!:noResult:No valid cells found for operation.</v>
      </c>
      <c r="C27" s="15" t="str">
        <f>#REF!</f>
        <v>#VALUE!:noResult:No valid cells found for operation.</v>
      </c>
      <c r="D27" s="15" t="str">
        <f>IF(Trans!R[331],"AAAAAGP/vQM=",0)</f>
        <v>AAAAAGP/vQM=</v>
      </c>
      <c r="E27" s="15" t="b">
        <f>AND(Trans!A358,"AAAAAGP/vQQ=")</f>
        <v>1</v>
      </c>
      <c r="F27" s="15" t="str">
        <f>AND(Trans!B358,"AAAAAGP/vQU=")</f>
        <v>#VALUE!:noResult:No valid cells found for operation.</v>
      </c>
      <c r="G27" s="15" t="b">
        <f>AND(Trans!C358,"AAAAAGP/vQY=")</f>
        <v>1</v>
      </c>
      <c r="H27" s="15" t="b">
        <f>AND(Trans!D358,"AAAAAGP/vQc=")</f>
        <v>1</v>
      </c>
      <c r="I27" s="15" t="str">
        <f>AND(Trans!E358,"AAAAAGP/vQg=")</f>
        <v>#VALUE!:noResult:No valid cells found for operation.</v>
      </c>
      <c r="J27" s="15" t="str">
        <f>AND(Trans!F358,"AAAAAGP/vQk=")</f>
        <v>#VALUE!:noResult:No valid cells found for operation.</v>
      </c>
      <c r="K27" s="15" t="str">
        <f>AND(Trans!G358,"AAAAAGP/vQo=")</f>
        <v>#VALUE!:noResult:No valid cells found for operation.</v>
      </c>
      <c r="L27" s="15" t="str">
        <f>#REF!</f>
        <v>#VALUE!:noResult:No valid cells found for operation.</v>
      </c>
      <c r="M27" s="15" t="str">
        <f>AND(Trans!H358,"AAAAAGP/vQw=")</f>
        <v>#VALUE!:noResult:No valid cells found for operation.</v>
      </c>
      <c r="N27" s="15" t="str">
        <f>#REF!</f>
        <v>#VALUE!:noResult:No valid cells found for operation.</v>
      </c>
      <c r="O27" s="15" t="str">
        <f>#REF!</f>
        <v>#VALUE!:noResult:No valid cells found for operation.</v>
      </c>
      <c r="P27" s="15" t="str">
        <f>#REF!</f>
        <v>#VALUE!:noResult:No valid cells found for operation.</v>
      </c>
      <c r="Q27" s="15" t="str">
        <f>#REF!</f>
        <v>#VALUE!:noResult:No valid cells found for operation.</v>
      </c>
      <c r="R27" s="15" t="str">
        <f>#REF!</f>
        <v>#VALUE!:noResult:No valid cells found for operation.</v>
      </c>
      <c r="S27" s="15" t="str">
        <f>#REF!</f>
        <v>#VALUE!:noResult:No valid cells found for operation.</v>
      </c>
      <c r="T27" s="15">
        <f>IF(Trans!R[332],"AAAAAGP/vRM=",0)</f>
        <v>0</v>
      </c>
      <c r="U27" s="15" t="b">
        <f>AND(Trans!A359,"AAAAAGP/vRQ=")</f>
        <v>1</v>
      </c>
      <c r="V27" s="15" t="str">
        <f>AND(Trans!B359,"AAAAAGP/vRU=")</f>
        <v>#VALUE!:noResult:No valid cells found for operation.</v>
      </c>
      <c r="W27" s="15" t="b">
        <f>AND(Trans!C359,"AAAAAGP/vRY=")</f>
        <v>1</v>
      </c>
      <c r="X27" s="15" t="b">
        <f>AND(Trans!D359,"AAAAAGP/vRc=")</f>
        <v>1</v>
      </c>
      <c r="Y27" s="15" t="str">
        <f>AND(Trans!E359,"AAAAAGP/vRg=")</f>
        <v>#VALUE!:noResult:No valid cells found for operation.</v>
      </c>
      <c r="Z27" s="15" t="str">
        <f>AND(Trans!F359,"AAAAAGP/vRk=")</f>
        <v>#VALUE!:noResult:No valid cells found for operation.</v>
      </c>
      <c r="AA27" s="15" t="str">
        <f>AND(Trans!G359,"AAAAAGP/vRo=")</f>
        <v>#VALUE!:noResult:No valid cells found for operation.</v>
      </c>
      <c r="AB27" s="15" t="str">
        <f>#REF!</f>
        <v>#VALUE!:noResult:No valid cells found for operation.</v>
      </c>
      <c r="AC27" s="15" t="str">
        <f>AND(Trans!H359,"AAAAAGP/vRw=")</f>
        <v>#VALUE!:noResult:No valid cells found for operation.</v>
      </c>
      <c r="AD27" s="15" t="str">
        <f>#REF!</f>
        <v>#VALUE!:noResult:No valid cells found for operation.</v>
      </c>
      <c r="AE27" s="15" t="str">
        <f>#REF!</f>
        <v>#VALUE!:noResult:No valid cells found for operation.</v>
      </c>
      <c r="AF27" s="15" t="str">
        <f>#REF!</f>
        <v>#VALUE!:noResult:No valid cells found for operation.</v>
      </c>
      <c r="AG27" s="15" t="str">
        <f>#REF!</f>
        <v>#VALUE!:noResult:No valid cells found for operation.</v>
      </c>
      <c r="AH27" s="15" t="str">
        <f>#REF!</f>
        <v>#VALUE!:noResult:No valid cells found for operation.</v>
      </c>
      <c r="AI27" s="15" t="str">
        <f>#REF!</f>
        <v>#VALUE!:noResult:No valid cells found for operation.</v>
      </c>
      <c r="AJ27" s="15">
        <f>IF(Trans!R[333],"AAAAAGP/vSM=",0)</f>
        <v>0</v>
      </c>
      <c r="AK27" s="15" t="b">
        <f>AND(Trans!A360,"AAAAAGP/vSQ=")</f>
        <v>1</v>
      </c>
      <c r="AL27" s="15" t="str">
        <f>AND(Trans!B360,"AAAAAGP/vSU=")</f>
        <v>#VALUE!:noResult:No valid cells found for operation.</v>
      </c>
      <c r="AM27" s="15" t="b">
        <f>AND(Trans!C360,"AAAAAGP/vSY=")</f>
        <v>1</v>
      </c>
      <c r="AN27" s="15" t="b">
        <f>AND(Trans!D360,"AAAAAGP/vSc=")</f>
        <v>1</v>
      </c>
      <c r="AO27" s="15" t="str">
        <f>AND(Trans!E360,"AAAAAGP/vSg=")</f>
        <v>#VALUE!:noResult:No valid cells found for operation.</v>
      </c>
      <c r="AP27" s="15" t="str">
        <f>AND(Trans!F360,"AAAAAGP/vSk=")</f>
        <v>#VALUE!:noResult:No valid cells found for operation.</v>
      </c>
      <c r="AQ27" s="15" t="str">
        <f>AND(Trans!G360,"AAAAAGP/vSo=")</f>
        <v>#VALUE!:noResult:No valid cells found for operation.</v>
      </c>
      <c r="AR27" s="15" t="str">
        <f>#REF!</f>
        <v>#VALUE!:noResult:No valid cells found for operation.</v>
      </c>
      <c r="AS27" s="15" t="str">
        <f>AND(Trans!H360,"AAAAAGP/vSw=")</f>
        <v>#VALUE!:noResult:No valid cells found for operation.</v>
      </c>
      <c r="AT27" s="15" t="str">
        <f>#REF!</f>
        <v>#VALUE!:noResult:No valid cells found for operation.</v>
      </c>
      <c r="AU27" s="15" t="str">
        <f>#REF!</f>
        <v>#VALUE!:noResult:No valid cells found for operation.</v>
      </c>
      <c r="AV27" s="15" t="str">
        <f>#REF!</f>
        <v>#VALUE!:noResult:No valid cells found for operation.</v>
      </c>
      <c r="AW27" s="15" t="str">
        <f>#REF!</f>
        <v>#VALUE!:noResult:No valid cells found for operation.</v>
      </c>
      <c r="AX27" s="15" t="str">
        <f>#REF!</f>
        <v>#VALUE!:noResult:No valid cells found for operation.</v>
      </c>
      <c r="AY27" s="15" t="str">
        <f>#REF!</f>
        <v>#VALUE!:noResult:No valid cells found for operation.</v>
      </c>
      <c r="AZ27" s="15">
        <f>IF(Trans!R[334],"AAAAAGP/vTM=",0)</f>
        <v>0</v>
      </c>
      <c r="BA27" s="15" t="b">
        <f>AND(Trans!A361,"AAAAAGP/vTQ=")</f>
        <v>1</v>
      </c>
      <c r="BB27" s="15" t="str">
        <f>AND(Trans!B361,"AAAAAGP/vTU=")</f>
        <v>#VALUE!:noResult:No valid cells found for operation.</v>
      </c>
      <c r="BC27" s="15" t="b">
        <f>AND(Trans!C361,"AAAAAGP/vTY=")</f>
        <v>1</v>
      </c>
      <c r="BD27" s="15" t="b">
        <f>AND(Trans!D361,"AAAAAGP/vTc=")</f>
        <v>1</v>
      </c>
      <c r="BE27" s="15" t="str">
        <f>AND(Trans!E361,"AAAAAGP/vTg=")</f>
        <v>#VALUE!:noResult:No valid cells found for operation.</v>
      </c>
      <c r="BF27" s="15" t="str">
        <f>AND(Trans!F361,"AAAAAGP/vTk=")</f>
        <v>#VALUE!:noResult:No valid cells found for operation.</v>
      </c>
      <c r="BG27" s="15" t="str">
        <f>AND(Trans!G361,"AAAAAGP/vTo=")</f>
        <v>#VALUE!:noResult:No valid cells found for operation.</v>
      </c>
      <c r="BH27" s="15" t="str">
        <f>#REF!</f>
        <v>#VALUE!:noResult:No valid cells found for operation.</v>
      </c>
      <c r="BI27" s="15" t="str">
        <f>AND(Trans!H361,"AAAAAGP/vTw=")</f>
        <v>#VALUE!:noResult:No valid cells found for operation.</v>
      </c>
      <c r="BJ27" s="15" t="str">
        <f>#REF!</f>
        <v>#VALUE!:noResult:No valid cells found for operation.</v>
      </c>
      <c r="BK27" s="15" t="str">
        <f>#REF!</f>
        <v>#VALUE!:noResult:No valid cells found for operation.</v>
      </c>
      <c r="BL27" s="15" t="str">
        <f>#REF!</f>
        <v>#VALUE!:noResult:No valid cells found for operation.</v>
      </c>
      <c r="BM27" s="15" t="str">
        <f>#REF!</f>
        <v>#VALUE!:noResult:No valid cells found for operation.</v>
      </c>
      <c r="BN27" s="15" t="str">
        <f>#REF!</f>
        <v>#VALUE!:noResult:No valid cells found for operation.</v>
      </c>
      <c r="BO27" s="15" t="str">
        <f>#REF!</f>
        <v>#VALUE!:noResult:No valid cells found for operation.</v>
      </c>
      <c r="BP27" s="15">
        <f>IF(Trans!R[335],"AAAAAGP/vUM=",0)</f>
        <v>0</v>
      </c>
      <c r="BQ27" s="15" t="b">
        <f>AND(Trans!A362,"AAAAAGP/vUQ=")</f>
        <v>1</v>
      </c>
      <c r="BR27" s="15" t="str">
        <f>AND(Trans!B362,"AAAAAGP/vUU=")</f>
        <v>#VALUE!:noResult:No valid cells found for operation.</v>
      </c>
      <c r="BS27" s="15" t="b">
        <f>AND(Trans!C362,"AAAAAGP/vUY=")</f>
        <v>1</v>
      </c>
      <c r="BT27" s="15" t="b">
        <f>AND(Trans!D362,"AAAAAGP/vUc=")</f>
        <v>1</v>
      </c>
      <c r="BU27" s="15" t="str">
        <f>AND(Trans!E362,"AAAAAGP/vUg=")</f>
        <v>#VALUE!:noResult:No valid cells found for operation.</v>
      </c>
      <c r="BV27" s="15" t="str">
        <f>AND(Trans!F362,"AAAAAGP/vUk=")</f>
        <v>#VALUE!:noResult:No valid cells found for operation.</v>
      </c>
      <c r="BW27" s="15" t="str">
        <f>AND(Trans!G362,"AAAAAGP/vUo=")</f>
        <v>#VALUE!:noResult:No valid cells found for operation.</v>
      </c>
      <c r="BX27" s="15" t="str">
        <f>#REF!</f>
        <v>#VALUE!:noResult:No valid cells found for operation.</v>
      </c>
      <c r="BY27" s="15" t="str">
        <f>AND(Trans!H362,"AAAAAGP/vUw=")</f>
        <v>#VALUE!:noResult:No valid cells found for operation.</v>
      </c>
      <c r="BZ27" s="15" t="str">
        <f>#REF!</f>
        <v>#VALUE!:noResult:No valid cells found for operation.</v>
      </c>
      <c r="CA27" s="15" t="str">
        <f>#REF!</f>
        <v>#VALUE!:noResult:No valid cells found for operation.</v>
      </c>
      <c r="CB27" s="15" t="str">
        <f>#REF!</f>
        <v>#VALUE!:noResult:No valid cells found for operation.</v>
      </c>
      <c r="CC27" s="15" t="str">
        <f>#REF!</f>
        <v>#VALUE!:noResult:No valid cells found for operation.</v>
      </c>
      <c r="CD27" s="15" t="str">
        <f>#REF!</f>
        <v>#VALUE!:noResult:No valid cells found for operation.</v>
      </c>
      <c r="CE27" s="15" t="str">
        <f>#REF!</f>
        <v>#VALUE!:noResult:No valid cells found for operation.</v>
      </c>
      <c r="CF27" s="15">
        <f>IF(Trans!R[336],"AAAAAGP/vVM=",0)</f>
        <v>0</v>
      </c>
      <c r="CG27" s="15" t="b">
        <f>AND(Trans!A363,"AAAAAGP/vVQ=")</f>
        <v>1</v>
      </c>
      <c r="CH27" s="15" t="str">
        <f>AND(Trans!B363,"AAAAAGP/vVU=")</f>
        <v>#VALUE!:noResult:No valid cells found for operation.</v>
      </c>
      <c r="CI27" s="15" t="b">
        <f>AND(Trans!C363,"AAAAAGP/vVY=")</f>
        <v>1</v>
      </c>
      <c r="CJ27" s="15" t="b">
        <f>AND(Trans!D363,"AAAAAGP/vVc=")</f>
        <v>1</v>
      </c>
      <c r="CK27" s="15" t="str">
        <f>AND(Trans!E363,"AAAAAGP/vVg=")</f>
        <v>#VALUE!:noResult:No valid cells found for operation.</v>
      </c>
      <c r="CL27" s="15" t="str">
        <f>AND(Trans!F363,"AAAAAGP/vVk=")</f>
        <v>#VALUE!:noResult:No valid cells found for operation.</v>
      </c>
      <c r="CM27" s="15" t="str">
        <f>AND(Trans!G363,"AAAAAGP/vVo=")</f>
        <v>#VALUE!:noResult:No valid cells found for operation.</v>
      </c>
      <c r="CN27" s="15" t="str">
        <f>#REF!</f>
        <v>#VALUE!:noResult:No valid cells found for operation.</v>
      </c>
      <c r="CO27" s="15" t="str">
        <f>AND(Trans!H363,"AAAAAGP/vVw=")</f>
        <v>#VALUE!:noResult:No valid cells found for operation.</v>
      </c>
      <c r="CP27" s="15" t="str">
        <f>#REF!</f>
        <v>#VALUE!:noResult:No valid cells found for operation.</v>
      </c>
      <c r="CQ27" s="15" t="str">
        <f>#REF!</f>
        <v>#VALUE!:noResult:No valid cells found for operation.</v>
      </c>
      <c r="CR27" s="15" t="str">
        <f>#REF!</f>
        <v>#VALUE!:noResult:No valid cells found for operation.</v>
      </c>
      <c r="CS27" s="15" t="str">
        <f>#REF!</f>
        <v>#VALUE!:noResult:No valid cells found for operation.</v>
      </c>
      <c r="CT27" s="15" t="str">
        <f>#REF!</f>
        <v>#VALUE!:noResult:No valid cells found for operation.</v>
      </c>
      <c r="CU27" s="15" t="str">
        <f>#REF!</f>
        <v>#VALUE!:noResult:No valid cells found for operation.</v>
      </c>
      <c r="CV27" s="15">
        <f>IF(Trans!R[337],"AAAAAGP/vWM=",0)</f>
        <v>0</v>
      </c>
      <c r="CW27" s="15" t="b">
        <f>AND(Trans!A364,"AAAAAGP/vWQ=")</f>
        <v>1</v>
      </c>
      <c r="CX27" s="15" t="str">
        <f>AND(Trans!B364,"AAAAAGP/vWU=")</f>
        <v>#VALUE!:noResult:No valid cells found for operation.</v>
      </c>
      <c r="CY27" s="15" t="b">
        <f>AND(Trans!C364,"AAAAAGP/vWY=")</f>
        <v>1</v>
      </c>
      <c r="CZ27" s="15" t="b">
        <f>AND(Trans!D364,"AAAAAGP/vWc=")</f>
        <v>1</v>
      </c>
      <c r="DA27" s="15" t="str">
        <f>AND(Trans!E364,"AAAAAGP/vWg=")</f>
        <v>#VALUE!:noResult:No valid cells found for operation.</v>
      </c>
      <c r="DB27" s="15" t="str">
        <f>AND(Trans!F364,"AAAAAGP/vWk=")</f>
        <v>#VALUE!:noResult:No valid cells found for operation.</v>
      </c>
      <c r="DC27" s="15" t="str">
        <f>AND(Trans!G364,"AAAAAGP/vWo=")</f>
        <v>#VALUE!:noResult:No valid cells found for operation.</v>
      </c>
      <c r="DD27" s="15" t="str">
        <f>#REF!</f>
        <v>#VALUE!:noResult:No valid cells found for operation.</v>
      </c>
      <c r="DE27" s="15" t="str">
        <f>AND(Trans!H364,"AAAAAGP/vWw=")</f>
        <v>#VALUE!:noResult:No valid cells found for operation.</v>
      </c>
      <c r="DF27" s="15" t="str">
        <f>#REF!</f>
        <v>#VALUE!:noResult:No valid cells found for operation.</v>
      </c>
      <c r="DG27" s="15" t="str">
        <f>#REF!</f>
        <v>#VALUE!:noResult:No valid cells found for operation.</v>
      </c>
      <c r="DH27" s="15" t="str">
        <f>#REF!</f>
        <v>#VALUE!:noResult:No valid cells found for operation.</v>
      </c>
      <c r="DI27" s="15" t="str">
        <f>#REF!</f>
        <v>#VALUE!:noResult:No valid cells found for operation.</v>
      </c>
      <c r="DJ27" s="15" t="str">
        <f>#REF!</f>
        <v>#VALUE!:noResult:No valid cells found for operation.</v>
      </c>
      <c r="DK27" s="15" t="str">
        <f>#REF!</f>
        <v>#VALUE!:noResult:No valid cells found for operation.</v>
      </c>
      <c r="DL27" s="15">
        <f>IF(Trans!R[338],"AAAAAGP/vXM=",0)</f>
        <v>0</v>
      </c>
      <c r="DM27" s="15" t="b">
        <f>AND(Trans!A365,"AAAAAGP/vXQ=")</f>
        <v>1</v>
      </c>
      <c r="DN27" s="15" t="str">
        <f>AND(Trans!B365,"AAAAAGP/vXU=")</f>
        <v>#VALUE!:noResult:No valid cells found for operation.</v>
      </c>
      <c r="DO27" s="15" t="b">
        <f>AND(Trans!C365,"AAAAAGP/vXY=")</f>
        <v>1</v>
      </c>
      <c r="DP27" s="15" t="b">
        <f>AND(Trans!D365,"AAAAAGP/vXc=")</f>
        <v>1</v>
      </c>
      <c r="DQ27" s="15" t="str">
        <f>AND(Trans!E365,"AAAAAGP/vXg=")</f>
        <v>#VALUE!:noResult:No valid cells found for operation.</v>
      </c>
      <c r="DR27" s="15" t="str">
        <f>AND(Trans!F365,"AAAAAGP/vXk=")</f>
        <v>#VALUE!:noResult:No valid cells found for operation.</v>
      </c>
      <c r="DS27" s="15" t="str">
        <f>AND(Trans!G365,"AAAAAGP/vXo=")</f>
        <v>#VALUE!:noResult:No valid cells found for operation.</v>
      </c>
      <c r="DT27" s="15" t="str">
        <f>#REF!</f>
        <v>#VALUE!:noResult:No valid cells found for operation.</v>
      </c>
      <c r="DU27" s="15" t="str">
        <f>AND(Trans!H365,"AAAAAGP/vXw=")</f>
        <v>#VALUE!:noResult:No valid cells found for operation.</v>
      </c>
      <c r="DV27" s="15" t="str">
        <f>#REF!</f>
        <v>#VALUE!:noResult:No valid cells found for operation.</v>
      </c>
      <c r="DW27" s="15" t="str">
        <f>#REF!</f>
        <v>#VALUE!:noResult:No valid cells found for operation.</v>
      </c>
      <c r="DX27" s="15" t="str">
        <f>#REF!</f>
        <v>#VALUE!:noResult:No valid cells found for operation.</v>
      </c>
      <c r="DY27" s="15" t="str">
        <f>#REF!</f>
        <v>#VALUE!:noResult:No valid cells found for operation.</v>
      </c>
      <c r="DZ27" s="15" t="str">
        <f>#REF!</f>
        <v>#VALUE!:noResult:No valid cells found for operation.</v>
      </c>
      <c r="EA27" s="15" t="str">
        <f>#REF!</f>
        <v>#VALUE!:noResult:No valid cells found for operation.</v>
      </c>
      <c r="EB27" s="15">
        <f>IF(Trans!R[339],"AAAAAGP/vYM=",0)</f>
        <v>0</v>
      </c>
      <c r="EC27" s="15" t="b">
        <f>AND(Trans!A366,"AAAAAGP/vYQ=")</f>
        <v>1</v>
      </c>
      <c r="ED27" s="15" t="str">
        <f>AND(Trans!B366,"AAAAAGP/vYU=")</f>
        <v>#VALUE!:noResult:No valid cells found for operation.</v>
      </c>
      <c r="EE27" s="15" t="b">
        <f>AND(Trans!C366,"AAAAAGP/vYY=")</f>
        <v>1</v>
      </c>
      <c r="EF27" s="15" t="b">
        <f>AND(Trans!D366,"AAAAAGP/vYc=")</f>
        <v>1</v>
      </c>
      <c r="EG27" s="15" t="str">
        <f>AND(Trans!E366,"AAAAAGP/vYg=")</f>
        <v>#VALUE!:noResult:No valid cells found for operation.</v>
      </c>
      <c r="EH27" s="15" t="str">
        <f>AND(Trans!F366,"AAAAAGP/vYk=")</f>
        <v>#VALUE!:noResult:No valid cells found for operation.</v>
      </c>
      <c r="EI27" s="15" t="str">
        <f>AND(Trans!G366,"AAAAAGP/vYo=")</f>
        <v>#VALUE!:noResult:No valid cells found for operation.</v>
      </c>
      <c r="EJ27" s="15" t="str">
        <f>#REF!</f>
        <v>#VALUE!:noResult:No valid cells found for operation.</v>
      </c>
      <c r="EK27" s="15" t="str">
        <f>AND(Trans!H366,"AAAAAGP/vYw=")</f>
        <v>#VALUE!:noResult:No valid cells found for operation.</v>
      </c>
      <c r="EL27" s="15" t="str">
        <f>#REF!</f>
        <v>#VALUE!:noResult:No valid cells found for operation.</v>
      </c>
      <c r="EM27" s="15" t="str">
        <f>#REF!</f>
        <v>#VALUE!:noResult:No valid cells found for operation.</v>
      </c>
      <c r="EN27" s="15" t="str">
        <f>#REF!</f>
        <v>#VALUE!:noResult:No valid cells found for operation.</v>
      </c>
      <c r="EO27" s="15" t="str">
        <f>#REF!</f>
        <v>#VALUE!:noResult:No valid cells found for operation.</v>
      </c>
      <c r="EP27" s="15" t="str">
        <f>#REF!</f>
        <v>#VALUE!:noResult:No valid cells found for operation.</v>
      </c>
      <c r="EQ27" s="15" t="str">
        <f>#REF!</f>
        <v>#VALUE!:noResult:No valid cells found for operation.</v>
      </c>
      <c r="ER27" s="15">
        <f>IF(Trans!R[340],"AAAAAGP/vZM=",0)</f>
        <v>0</v>
      </c>
      <c r="ES27" s="15" t="b">
        <f>AND(Trans!A367,"AAAAAGP/vZQ=")</f>
        <v>1</v>
      </c>
      <c r="ET27" s="15" t="str">
        <f>AND(Trans!B367,"AAAAAGP/vZU=")</f>
        <v>#VALUE!:noResult:No valid cells found for operation.</v>
      </c>
      <c r="EU27" s="15" t="b">
        <f>AND(Trans!C367,"AAAAAGP/vZY=")</f>
        <v>1</v>
      </c>
      <c r="EV27" s="15" t="b">
        <f>AND(Trans!D367,"AAAAAGP/vZc=")</f>
        <v>1</v>
      </c>
      <c r="EW27" s="15" t="str">
        <f>AND(Trans!E367,"AAAAAGP/vZg=")</f>
        <v>#VALUE!:noResult:No valid cells found for operation.</v>
      </c>
      <c r="EX27" s="15" t="str">
        <f>AND(Trans!F367,"AAAAAGP/vZk=")</f>
        <v>#VALUE!:noResult:No valid cells found for operation.</v>
      </c>
      <c r="EY27" s="15" t="str">
        <f>AND(Trans!G367,"AAAAAGP/vZo=")</f>
        <v>#VALUE!:noResult:No valid cells found for operation.</v>
      </c>
      <c r="EZ27" s="15" t="str">
        <f>#REF!</f>
        <v>#VALUE!:noResult:No valid cells found for operation.</v>
      </c>
      <c r="FA27" s="15" t="str">
        <f>AND(Trans!H367,"AAAAAGP/vZw=")</f>
        <v>#VALUE!:noResult:No valid cells found for operation.</v>
      </c>
      <c r="FB27" s="15" t="str">
        <f>#REF!</f>
        <v>#VALUE!:noResult:No valid cells found for operation.</v>
      </c>
      <c r="FC27" s="15" t="str">
        <f>#REF!</f>
        <v>#VALUE!:noResult:No valid cells found for operation.</v>
      </c>
      <c r="FD27" s="15" t="str">
        <f>#REF!</f>
        <v>#VALUE!:noResult:No valid cells found for operation.</v>
      </c>
      <c r="FE27" s="15" t="str">
        <f>#REF!</f>
        <v>#VALUE!:noResult:No valid cells found for operation.</v>
      </c>
      <c r="FF27" s="15" t="str">
        <f>#REF!</f>
        <v>#VALUE!:noResult:No valid cells found for operation.</v>
      </c>
      <c r="FG27" s="15" t="str">
        <f>#REF!</f>
        <v>#VALUE!:noResult:No valid cells found for operation.</v>
      </c>
      <c r="FH27" s="15">
        <f>IF(Trans!R[341],"AAAAAGP/vaM=",0)</f>
        <v>0</v>
      </c>
      <c r="FI27" s="15" t="b">
        <f>AND(Trans!A368,"AAAAAGP/vaQ=")</f>
        <v>1</v>
      </c>
      <c r="FJ27" s="15" t="str">
        <f>AND(Trans!B368,"AAAAAGP/vaU=")</f>
        <v>#VALUE!:noResult:No valid cells found for operation.</v>
      </c>
      <c r="FK27" s="15" t="b">
        <f>AND(Trans!C368,"AAAAAGP/vaY=")</f>
        <v>1</v>
      </c>
      <c r="FL27" s="15" t="b">
        <f>AND(Trans!D368,"AAAAAGP/vac=")</f>
        <v>1</v>
      </c>
      <c r="FM27" s="15" t="str">
        <f>AND(Trans!E368,"AAAAAGP/vag=")</f>
        <v>#VALUE!:noResult:No valid cells found for operation.</v>
      </c>
      <c r="FN27" s="15" t="str">
        <f>AND(Trans!F368,"AAAAAGP/vak=")</f>
        <v>#VALUE!:noResult:No valid cells found for operation.</v>
      </c>
      <c r="FO27" s="15" t="str">
        <f>AND(Trans!G368,"AAAAAGP/vao=")</f>
        <v>#VALUE!:noResult:No valid cells found for operation.</v>
      </c>
      <c r="FP27" s="15" t="str">
        <f>#REF!</f>
        <v>#VALUE!:noResult:No valid cells found for operation.</v>
      </c>
      <c r="FQ27" s="15" t="str">
        <f>AND(Trans!H368,"AAAAAGP/vaw=")</f>
        <v>#VALUE!:noResult:No valid cells found for operation.</v>
      </c>
      <c r="FR27" s="15" t="str">
        <f>#REF!</f>
        <v>#VALUE!:noResult:No valid cells found for operation.</v>
      </c>
      <c r="FS27" s="15" t="str">
        <f>#REF!</f>
        <v>#VALUE!:noResult:No valid cells found for operation.</v>
      </c>
      <c r="FT27" s="15" t="str">
        <f>#REF!</f>
        <v>#VALUE!:noResult:No valid cells found for operation.</v>
      </c>
      <c r="FU27" s="15" t="str">
        <f>#REF!</f>
        <v>#VALUE!:noResult:No valid cells found for operation.</v>
      </c>
      <c r="FV27" s="15" t="str">
        <f>#REF!</f>
        <v>#VALUE!:noResult:No valid cells found for operation.</v>
      </c>
      <c r="FW27" s="15" t="str">
        <f>#REF!</f>
        <v>#VALUE!:noResult:No valid cells found for operation.</v>
      </c>
      <c r="FX27" s="15">
        <f>IF(Trans!R[342],"AAAAAGP/vbM=",0)</f>
        <v>0</v>
      </c>
      <c r="FY27" s="15" t="b">
        <f>AND(Trans!A369,"AAAAAGP/vbQ=")</f>
        <v>1</v>
      </c>
      <c r="FZ27" s="15" t="str">
        <f>AND(Trans!B369,"AAAAAGP/vbU=")</f>
        <v>#VALUE!:noResult:No valid cells found for operation.</v>
      </c>
      <c r="GA27" s="15" t="b">
        <f>AND(Trans!C369,"AAAAAGP/vbY=")</f>
        <v>1</v>
      </c>
      <c r="GB27" s="15" t="b">
        <f>AND(Trans!D369,"AAAAAGP/vbc=")</f>
        <v>1</v>
      </c>
      <c r="GC27" s="15" t="str">
        <f>AND(Trans!E369,"AAAAAGP/vbg=")</f>
        <v>#VALUE!:noResult:No valid cells found for operation.</v>
      </c>
      <c r="GD27" s="15" t="str">
        <f>AND(Trans!F369,"AAAAAGP/vbk=")</f>
        <v>#VALUE!:noResult:No valid cells found for operation.</v>
      </c>
      <c r="GE27" s="15" t="str">
        <f>AND(Trans!G369,"AAAAAGP/vbo=")</f>
        <v>#VALUE!:noResult:No valid cells found for operation.</v>
      </c>
      <c r="GF27" s="15" t="str">
        <f>#REF!</f>
        <v>#VALUE!:noResult:No valid cells found for operation.</v>
      </c>
      <c r="GG27" s="15" t="str">
        <f>AND(Trans!H369,"AAAAAGP/vbw=")</f>
        <v>#VALUE!:noResult:No valid cells found for operation.</v>
      </c>
      <c r="GH27" s="15" t="str">
        <f>#REF!</f>
        <v>#VALUE!:noResult:No valid cells found for operation.</v>
      </c>
      <c r="GI27" s="15" t="str">
        <f>#REF!</f>
        <v>#VALUE!:noResult:No valid cells found for operation.</v>
      </c>
      <c r="GJ27" s="15" t="str">
        <f>#REF!</f>
        <v>#VALUE!:noResult:No valid cells found for operation.</v>
      </c>
      <c r="GK27" s="15" t="str">
        <f>#REF!</f>
        <v>#VALUE!:noResult:No valid cells found for operation.</v>
      </c>
      <c r="GL27" s="15" t="str">
        <f>#REF!</f>
        <v>#VALUE!:noResult:No valid cells found for operation.</v>
      </c>
      <c r="GM27" s="15" t="str">
        <f>#REF!</f>
        <v>#VALUE!:noResult:No valid cells found for operation.</v>
      </c>
      <c r="GN27" s="15">
        <f>IF(Trans!R[343],"AAAAAGP/vcM=",0)</f>
        <v>0</v>
      </c>
      <c r="GO27" s="15" t="b">
        <f>AND(Trans!A370,"AAAAAGP/vcQ=")</f>
        <v>1</v>
      </c>
      <c r="GP27" s="15" t="str">
        <f>AND(Trans!B370,"AAAAAGP/vcU=")</f>
        <v>#VALUE!:noResult:No valid cells found for operation.</v>
      </c>
      <c r="GQ27" s="15" t="b">
        <f>AND(Trans!C370,"AAAAAGP/vcY=")</f>
        <v>1</v>
      </c>
      <c r="GR27" s="15" t="b">
        <f>AND(Trans!D370,"AAAAAGP/vcc=")</f>
        <v>1</v>
      </c>
      <c r="GS27" s="15" t="str">
        <f>AND(Trans!E370,"AAAAAGP/vcg=")</f>
        <v>#VALUE!:noResult:No valid cells found for operation.</v>
      </c>
      <c r="GT27" s="15" t="str">
        <f>AND(Trans!F370,"AAAAAGP/vck=")</f>
        <v>#VALUE!:noResult:No valid cells found for operation.</v>
      </c>
      <c r="GU27" s="15" t="str">
        <f>AND(Trans!G370,"AAAAAGP/vco=")</f>
        <v>#VALUE!:noResult:No valid cells found for operation.</v>
      </c>
      <c r="GV27" s="15" t="str">
        <f>#REF!</f>
        <v>#VALUE!:noResult:No valid cells found for operation.</v>
      </c>
      <c r="GW27" s="15" t="str">
        <f>AND(Trans!H370,"AAAAAGP/vcw=")</f>
        <v>#VALUE!:noResult:No valid cells found for operation.</v>
      </c>
      <c r="GX27" s="15" t="str">
        <f>#REF!</f>
        <v>#VALUE!:noResult:No valid cells found for operation.</v>
      </c>
      <c r="GY27" s="15" t="str">
        <f>#REF!</f>
        <v>#VALUE!:noResult:No valid cells found for operation.</v>
      </c>
      <c r="GZ27" s="15" t="str">
        <f>#REF!</f>
        <v>#VALUE!:noResult:No valid cells found for operation.</v>
      </c>
      <c r="HA27" s="15" t="str">
        <f>#REF!</f>
        <v>#VALUE!:noResult:No valid cells found for operation.</v>
      </c>
      <c r="HB27" s="15" t="str">
        <f>#REF!</f>
        <v>#VALUE!:noResult:No valid cells found for operation.</v>
      </c>
      <c r="HC27" s="15" t="str">
        <f>#REF!</f>
        <v>#VALUE!:noResult:No valid cells found for operation.</v>
      </c>
      <c r="HD27" s="15">
        <f>IF(Trans!R[344],"AAAAAGP/vdM=",0)</f>
        <v>0</v>
      </c>
      <c r="HE27" s="15" t="b">
        <f>AND(Trans!A371,"AAAAAGP/vdQ=")</f>
        <v>1</v>
      </c>
      <c r="HF27" s="15" t="str">
        <f>AND(Trans!B371,"AAAAAGP/vdU=")</f>
        <v>#VALUE!:noResult:No valid cells found for operation.</v>
      </c>
      <c r="HG27" s="15" t="b">
        <f>AND(Trans!C371,"AAAAAGP/vdY=")</f>
        <v>1</v>
      </c>
      <c r="HH27" s="15" t="b">
        <f>AND(Trans!D371,"AAAAAGP/vdc=")</f>
        <v>1</v>
      </c>
      <c r="HI27" s="15" t="str">
        <f>AND(Trans!E371,"AAAAAGP/vdg=")</f>
        <v>#VALUE!:noResult:No valid cells found for operation.</v>
      </c>
      <c r="HJ27" s="15" t="str">
        <f>AND(Trans!F371,"AAAAAGP/vdk=")</f>
        <v>#VALUE!:noResult:No valid cells found for operation.</v>
      </c>
      <c r="HK27" s="15" t="str">
        <f>AND(Trans!G371,"AAAAAGP/vdo=")</f>
        <v>#VALUE!:noResult:No valid cells found for operation.</v>
      </c>
      <c r="HL27" s="15" t="str">
        <f>#REF!</f>
        <v>#VALUE!:noResult:No valid cells found for operation.</v>
      </c>
      <c r="HM27" s="15" t="str">
        <f>AND(Trans!H371,"AAAAAGP/vdw=")</f>
        <v>#VALUE!:noResult:No valid cells found for operation.</v>
      </c>
      <c r="HN27" s="15" t="str">
        <f>#REF!</f>
        <v>#VALUE!:noResult:No valid cells found for operation.</v>
      </c>
      <c r="HO27" s="15" t="str">
        <f>#REF!</f>
        <v>#VALUE!:noResult:No valid cells found for operation.</v>
      </c>
      <c r="HP27" s="15" t="str">
        <f>#REF!</f>
        <v>#VALUE!:noResult:No valid cells found for operation.</v>
      </c>
      <c r="HQ27" s="15" t="str">
        <f>#REF!</f>
        <v>#VALUE!:noResult:No valid cells found for operation.</v>
      </c>
      <c r="HR27" s="15" t="str">
        <f>#REF!</f>
        <v>#VALUE!:noResult:No valid cells found for operation.</v>
      </c>
      <c r="HS27" s="15" t="str">
        <f>#REF!</f>
        <v>#VALUE!:noResult:No valid cells found for operation.</v>
      </c>
      <c r="HT27" s="15">
        <f>IF(Trans!R[345],"AAAAAGP/veM=",0)</f>
        <v>0</v>
      </c>
      <c r="HU27" s="15" t="b">
        <f>AND(Trans!A372,"AAAAAGP/veQ=")</f>
        <v>1</v>
      </c>
      <c r="HV27" s="15" t="str">
        <f>AND(Trans!B372,"AAAAAGP/veU=")</f>
        <v>#VALUE!:noResult:No valid cells found for operation.</v>
      </c>
      <c r="HW27" s="15" t="b">
        <f>AND(Trans!C372,"AAAAAGP/veY=")</f>
        <v>1</v>
      </c>
      <c r="HX27" s="15" t="b">
        <f>AND(Trans!D372,"AAAAAGP/vec=")</f>
        <v>1</v>
      </c>
      <c r="HY27" s="15" t="str">
        <f>AND(Trans!E372,"AAAAAGP/veg=")</f>
        <v>#VALUE!:noResult:No valid cells found for operation.</v>
      </c>
      <c r="HZ27" s="15" t="str">
        <f>AND(Trans!F372,"AAAAAGP/vek=")</f>
        <v>#VALUE!:noResult:No valid cells found for operation.</v>
      </c>
      <c r="IA27" s="15" t="str">
        <f>AND(Trans!G372,"AAAAAGP/veo=")</f>
        <v>#VALUE!:noResult:No valid cells found for operation.</v>
      </c>
      <c r="IB27" s="15" t="str">
        <f>#REF!</f>
        <v>#VALUE!:noResult:No valid cells found for operation.</v>
      </c>
      <c r="IC27" s="15" t="str">
        <f>AND(Trans!H372,"AAAAAGP/vew=")</f>
        <v>#VALUE!:noResult:No valid cells found for operation.</v>
      </c>
      <c r="ID27" s="15" t="str">
        <f>#REF!</f>
        <v>#VALUE!:noResult:No valid cells found for operation.</v>
      </c>
      <c r="IE27" s="15" t="str">
        <f>#REF!</f>
        <v>#VALUE!:noResult:No valid cells found for operation.</v>
      </c>
      <c r="IF27" s="15" t="str">
        <f>#REF!</f>
        <v>#VALUE!:noResult:No valid cells found for operation.</v>
      </c>
      <c r="IG27" s="15" t="str">
        <f>#REF!</f>
        <v>#VALUE!:noResult:No valid cells found for operation.</v>
      </c>
      <c r="IH27" s="15" t="str">
        <f>#REF!</f>
        <v>#VALUE!:noResult:No valid cells found for operation.</v>
      </c>
      <c r="II27" s="15" t="str">
        <f>#REF!</f>
        <v>#VALUE!:noResult:No valid cells found for operation.</v>
      </c>
      <c r="IJ27" s="15">
        <f>IF(Trans!R[346],"AAAAAGP/vfM=",0)</f>
        <v>0</v>
      </c>
      <c r="IK27" s="15" t="b">
        <f>AND(Trans!A373,"AAAAAGP/vfQ=")</f>
        <v>1</v>
      </c>
      <c r="IL27" s="15" t="str">
        <f>AND(Trans!B373,"AAAAAGP/vfU=")</f>
        <v>#VALUE!:noResult:No valid cells found for operation.</v>
      </c>
      <c r="IM27" s="15" t="b">
        <f>AND(Trans!C373,"AAAAAGP/vfY=")</f>
        <v>1</v>
      </c>
      <c r="IN27" s="15" t="b">
        <f>AND(Trans!D373,"AAAAAGP/vfc=")</f>
        <v>1</v>
      </c>
      <c r="IO27" s="15" t="str">
        <f>AND(Trans!E373,"AAAAAGP/vfg=")</f>
        <v>#VALUE!:noResult:No valid cells found for operation.</v>
      </c>
      <c r="IP27" s="15" t="str">
        <f>AND(Trans!F373,"AAAAAGP/vfk=")</f>
        <v>#VALUE!:noResult:No valid cells found for operation.</v>
      </c>
      <c r="IQ27" s="15" t="str">
        <f>AND(Trans!G373,"AAAAAGP/vfo=")</f>
        <v>#VALUE!:noResult:No valid cells found for operation.</v>
      </c>
      <c r="IR27" s="15" t="str">
        <f>#REF!</f>
        <v>#VALUE!:noResult:No valid cells found for operation.</v>
      </c>
      <c r="IS27" s="15" t="str">
        <f>AND(Trans!H373,"AAAAAGP/vfw=")</f>
        <v>#VALUE!:noResult:No valid cells found for operation.</v>
      </c>
      <c r="IT27" s="15" t="str">
        <f>#REF!</f>
        <v>#VALUE!:noResult:No valid cells found for operation.</v>
      </c>
      <c r="IU27" s="15" t="str">
        <f>#REF!</f>
        <v>#VALUE!:noResult:No valid cells found for operation.</v>
      </c>
      <c r="IV27" s="15" t="str">
        <f>#REF!</f>
        <v>#VALUE!:noResult:No valid cells found for operation.</v>
      </c>
    </row>
    <row r="28">
      <c r="A28" s="15" t="str">
        <f>#REF!</f>
        <v>#VALUE!:noResult:No valid cells found for operation.</v>
      </c>
      <c r="B28" s="15" t="str">
        <f>#REF!</f>
        <v>#VALUE!:noResult:No valid cells found for operation.</v>
      </c>
      <c r="C28" s="15" t="str">
        <f>#REF!</f>
        <v>#VALUE!:noResult:No valid cells found for operation.</v>
      </c>
      <c r="D28" s="15" t="str">
        <f>IF(Trans!R[346],"AAAAAFu/6wM=",0)</f>
        <v>AAAAAFu/6wM=</v>
      </c>
      <c r="E28" s="15" t="b">
        <f>AND(Trans!A374,"AAAAAFu/6wQ=")</f>
        <v>1</v>
      </c>
      <c r="F28" s="15" t="str">
        <f>AND(Trans!B374,"AAAAAFu/6wU=")</f>
        <v>#VALUE!:noResult:No valid cells found for operation.</v>
      </c>
      <c r="G28" s="15" t="b">
        <f>AND(Trans!C374,"AAAAAFu/6wY=")</f>
        <v>1</v>
      </c>
      <c r="H28" s="15" t="b">
        <f>AND(Trans!D374,"AAAAAFu/6wc=")</f>
        <v>1</v>
      </c>
      <c r="I28" s="15" t="str">
        <f>AND(Trans!E374,"AAAAAFu/6wg=")</f>
        <v>#VALUE!:noResult:No valid cells found for operation.</v>
      </c>
      <c r="J28" s="15" t="str">
        <f>AND(Trans!F374,"AAAAAFu/6wk=")</f>
        <v>#VALUE!:noResult:No valid cells found for operation.</v>
      </c>
      <c r="K28" s="15" t="str">
        <f>AND(Trans!G374,"AAAAAFu/6wo=")</f>
        <v>#VALUE!:noResult:No valid cells found for operation.</v>
      </c>
      <c r="L28" s="15" t="str">
        <f>#REF!</f>
        <v>#VALUE!:noResult:No valid cells found for operation.</v>
      </c>
      <c r="M28" s="15" t="str">
        <f>AND(Trans!H374,"AAAAAFu/6ww=")</f>
        <v>#VALUE!:noResult:No valid cells found for operation.</v>
      </c>
      <c r="N28" s="15" t="str">
        <f>#REF!</f>
        <v>#VALUE!:noResult:No valid cells found for operation.</v>
      </c>
      <c r="O28" s="15" t="str">
        <f>#REF!</f>
        <v>#VALUE!:noResult:No valid cells found for operation.</v>
      </c>
      <c r="P28" s="15" t="str">
        <f>#REF!</f>
        <v>#VALUE!:noResult:No valid cells found for operation.</v>
      </c>
      <c r="Q28" s="15" t="str">
        <f>#REF!</f>
        <v>#VALUE!:noResult:No valid cells found for operation.</v>
      </c>
      <c r="R28" s="15" t="str">
        <f>#REF!</f>
        <v>#VALUE!:noResult:No valid cells found for operation.</v>
      </c>
      <c r="S28" s="15" t="str">
        <f>#REF!</f>
        <v>#VALUE!:noResult:No valid cells found for operation.</v>
      </c>
      <c r="T28" s="15">
        <f>IF(Trans!R[347],"AAAAAFu/6xM=",0)</f>
        <v>0</v>
      </c>
      <c r="U28" s="15" t="b">
        <f>AND(Trans!A375,"AAAAAFu/6xQ=")</f>
        <v>1</v>
      </c>
      <c r="V28" s="15" t="str">
        <f>AND(Trans!B375,"AAAAAFu/6xU=")</f>
        <v>#VALUE!:noResult:No valid cells found for operation.</v>
      </c>
      <c r="W28" s="15" t="b">
        <f>AND(Trans!C375,"AAAAAFu/6xY=")</f>
        <v>1</v>
      </c>
      <c r="X28" s="15" t="b">
        <f>AND(Trans!D375,"AAAAAFu/6xc=")</f>
        <v>1</v>
      </c>
      <c r="Y28" s="15" t="str">
        <f>AND(Trans!E375,"AAAAAFu/6xg=")</f>
        <v>#VALUE!:noResult:No valid cells found for operation.</v>
      </c>
      <c r="Z28" s="15" t="str">
        <f>AND(Trans!F375,"AAAAAFu/6xk=")</f>
        <v>#VALUE!:noResult:No valid cells found for operation.</v>
      </c>
      <c r="AA28" s="15" t="str">
        <f>AND(Trans!G375,"AAAAAFu/6xo=")</f>
        <v>#VALUE!:noResult:No valid cells found for operation.</v>
      </c>
      <c r="AB28" s="15" t="str">
        <f>#REF!</f>
        <v>#VALUE!:noResult:No valid cells found for operation.</v>
      </c>
      <c r="AC28" s="15" t="str">
        <f>AND(Trans!H375,"AAAAAFu/6xw=")</f>
        <v>#VALUE!:noResult:No valid cells found for operation.</v>
      </c>
      <c r="AD28" s="15" t="str">
        <f>#REF!</f>
        <v>#VALUE!:noResult:No valid cells found for operation.</v>
      </c>
      <c r="AE28" s="15" t="str">
        <f>#REF!</f>
        <v>#VALUE!:noResult:No valid cells found for operation.</v>
      </c>
      <c r="AF28" s="15" t="str">
        <f>#REF!</f>
        <v>#VALUE!:noResult:No valid cells found for operation.</v>
      </c>
      <c r="AG28" s="15" t="str">
        <f>#REF!</f>
        <v>#VALUE!:noResult:No valid cells found for operation.</v>
      </c>
      <c r="AH28" s="15" t="str">
        <f>#REF!</f>
        <v>#VALUE!:noResult:No valid cells found for operation.</v>
      </c>
      <c r="AI28" s="15" t="str">
        <f>#REF!</f>
        <v>#VALUE!:noResult:No valid cells found for operation.</v>
      </c>
      <c r="AJ28" s="15">
        <f>IF(Trans!R[348],"AAAAAFu/6yM=",0)</f>
        <v>0</v>
      </c>
      <c r="AK28" s="15" t="b">
        <f>AND(Trans!A376,"AAAAAFu/6yQ=")</f>
        <v>1</v>
      </c>
      <c r="AL28" s="15" t="str">
        <f>AND(Trans!B376,"AAAAAFu/6yU=")</f>
        <v>#VALUE!:noResult:No valid cells found for operation.</v>
      </c>
      <c r="AM28" s="15" t="b">
        <f>AND(Trans!C376,"AAAAAFu/6yY=")</f>
        <v>1</v>
      </c>
      <c r="AN28" s="15" t="b">
        <f>AND(Trans!D376,"AAAAAFu/6yc=")</f>
        <v>1</v>
      </c>
      <c r="AO28" s="15" t="str">
        <f>AND(Trans!E376,"AAAAAFu/6yg=")</f>
        <v>#VALUE!:noResult:No valid cells found for operation.</v>
      </c>
      <c r="AP28" s="15" t="str">
        <f>AND(Trans!F376,"AAAAAFu/6yk=")</f>
        <v>#VALUE!:noResult:No valid cells found for operation.</v>
      </c>
      <c r="AQ28" s="15" t="str">
        <f>AND(Trans!G376,"AAAAAFu/6yo=")</f>
        <v>#VALUE!:noResult:No valid cells found for operation.</v>
      </c>
      <c r="AR28" s="15" t="str">
        <f>#REF!</f>
        <v>#VALUE!:noResult:No valid cells found for operation.</v>
      </c>
      <c r="AS28" s="15" t="str">
        <f>AND(Trans!H376,"AAAAAFu/6yw=")</f>
        <v>#VALUE!:noResult:No valid cells found for operation.</v>
      </c>
      <c r="AT28" s="15" t="str">
        <f>#REF!</f>
        <v>#VALUE!:noResult:No valid cells found for operation.</v>
      </c>
      <c r="AU28" s="15" t="str">
        <f>#REF!</f>
        <v>#VALUE!:noResult:No valid cells found for operation.</v>
      </c>
      <c r="AV28" s="15" t="str">
        <f>#REF!</f>
        <v>#VALUE!:noResult:No valid cells found for operation.</v>
      </c>
      <c r="AW28" s="15" t="str">
        <f>#REF!</f>
        <v>#VALUE!:noResult:No valid cells found for operation.</v>
      </c>
      <c r="AX28" s="15" t="str">
        <f>#REF!</f>
        <v>#VALUE!:noResult:No valid cells found for operation.</v>
      </c>
      <c r="AY28" s="15" t="str">
        <f>#REF!</f>
        <v>#VALUE!:noResult:No valid cells found for operation.</v>
      </c>
      <c r="AZ28" s="15">
        <f>IF(Trans!R[349],"AAAAAFu/6zM=",0)</f>
        <v>0</v>
      </c>
      <c r="BA28" s="15" t="b">
        <f>AND(Trans!A377,"AAAAAFu/6zQ=")</f>
        <v>1</v>
      </c>
      <c r="BB28" s="15" t="str">
        <f>AND(Trans!B377,"AAAAAFu/6zU=")</f>
        <v>#VALUE!:noResult:No valid cells found for operation.</v>
      </c>
      <c r="BC28" s="15" t="b">
        <f>AND(Trans!C377,"AAAAAFu/6zY=")</f>
        <v>1</v>
      </c>
      <c r="BD28" s="15" t="b">
        <f>AND(Trans!D377,"AAAAAFu/6zc=")</f>
        <v>1</v>
      </c>
      <c r="BE28" s="15" t="str">
        <f>AND(Trans!E377,"AAAAAFu/6zg=")</f>
        <v>#VALUE!:noResult:No valid cells found for operation.</v>
      </c>
      <c r="BF28" s="15" t="str">
        <f>AND(Trans!F377,"AAAAAFu/6zk=")</f>
        <v>#VALUE!:noResult:No valid cells found for operation.</v>
      </c>
      <c r="BG28" s="15" t="str">
        <f>AND(Trans!G377,"AAAAAFu/6zo=")</f>
        <v>#VALUE!:noResult:No valid cells found for operation.</v>
      </c>
      <c r="BH28" s="15" t="str">
        <f>#REF!</f>
        <v>#VALUE!:noResult:No valid cells found for operation.</v>
      </c>
      <c r="BI28" s="15" t="str">
        <f>AND(Trans!H377,"AAAAAFu/6zw=")</f>
        <v>#VALUE!:noResult:No valid cells found for operation.</v>
      </c>
      <c r="BJ28" s="15" t="str">
        <f>#REF!</f>
        <v>#VALUE!:noResult:No valid cells found for operation.</v>
      </c>
      <c r="BK28" s="15" t="str">
        <f>#REF!</f>
        <v>#VALUE!:noResult:No valid cells found for operation.</v>
      </c>
      <c r="BL28" s="15" t="str">
        <f>#REF!</f>
        <v>#VALUE!:noResult:No valid cells found for operation.</v>
      </c>
      <c r="BM28" s="15" t="str">
        <f>#REF!</f>
        <v>#VALUE!:noResult:No valid cells found for operation.</v>
      </c>
      <c r="BN28" s="15" t="str">
        <f>#REF!</f>
        <v>#VALUE!:noResult:No valid cells found for operation.</v>
      </c>
      <c r="BO28" s="15" t="str">
        <f>#REF!</f>
        <v>#VALUE!:noResult:No valid cells found for operation.</v>
      </c>
      <c r="BP28" s="15">
        <f>IF(Trans!R[350],"AAAAAFu/60M=",0)</f>
        <v>0</v>
      </c>
      <c r="BQ28" s="15" t="b">
        <f>AND(Trans!A378,"AAAAAFu/60Q=")</f>
        <v>1</v>
      </c>
      <c r="BR28" s="15" t="str">
        <f>AND(Trans!B378,"AAAAAFu/60U=")</f>
        <v>#VALUE!:noResult:No valid cells found for operation.</v>
      </c>
      <c r="BS28" s="15" t="b">
        <f>AND(Trans!C378,"AAAAAFu/60Y=")</f>
        <v>1</v>
      </c>
      <c r="BT28" s="15" t="b">
        <f>AND(Trans!D378,"AAAAAFu/60c=")</f>
        <v>1</v>
      </c>
      <c r="BU28" s="15" t="str">
        <f>AND(Trans!E378,"AAAAAFu/60g=")</f>
        <v>#VALUE!:noResult:No valid cells found for operation.</v>
      </c>
      <c r="BV28" s="15" t="str">
        <f>AND(Trans!F378,"AAAAAFu/60k=")</f>
        <v>#VALUE!:noResult:No valid cells found for operation.</v>
      </c>
      <c r="BW28" s="15" t="str">
        <f>AND(Trans!G378,"AAAAAFu/60o=")</f>
        <v>#VALUE!:noResult:No valid cells found for operation.</v>
      </c>
      <c r="BX28" s="15" t="str">
        <f>#REF!</f>
        <v>#VALUE!:noResult:No valid cells found for operation.</v>
      </c>
      <c r="BY28" s="15" t="str">
        <f>AND(Trans!H378,"AAAAAFu/60w=")</f>
        <v>#VALUE!:noResult:No valid cells found for operation.</v>
      </c>
      <c r="BZ28" s="15" t="str">
        <f>#REF!</f>
        <v>#VALUE!:noResult:No valid cells found for operation.</v>
      </c>
      <c r="CA28" s="15" t="str">
        <f>#REF!</f>
        <v>#VALUE!:noResult:No valid cells found for operation.</v>
      </c>
      <c r="CB28" s="15" t="str">
        <f>#REF!</f>
        <v>#VALUE!:noResult:No valid cells found for operation.</v>
      </c>
      <c r="CC28" s="15" t="str">
        <f>#REF!</f>
        <v>#VALUE!:noResult:No valid cells found for operation.</v>
      </c>
      <c r="CD28" s="15" t="str">
        <f>#REF!</f>
        <v>#VALUE!:noResult:No valid cells found for operation.</v>
      </c>
      <c r="CE28" s="15" t="str">
        <f>#REF!</f>
        <v>#VALUE!:noResult:No valid cells found for operation.</v>
      </c>
      <c r="CF28" s="15">
        <f>IF(Trans!R[351],"AAAAAFu/61M=",0)</f>
        <v>0</v>
      </c>
      <c r="CG28" s="15" t="b">
        <f>AND(Trans!A379,"AAAAAFu/61Q=")</f>
        <v>1</v>
      </c>
      <c r="CH28" s="15" t="str">
        <f>AND(Trans!B379,"AAAAAFu/61U=")</f>
        <v>#VALUE!:noResult:No valid cells found for operation.</v>
      </c>
      <c r="CI28" s="15" t="b">
        <f>AND(Trans!C379,"AAAAAFu/61Y=")</f>
        <v>1</v>
      </c>
      <c r="CJ28" s="15" t="b">
        <f>AND(Trans!D379,"AAAAAFu/61c=")</f>
        <v>1</v>
      </c>
      <c r="CK28" s="15" t="str">
        <f>AND(Trans!E379,"AAAAAFu/61g=")</f>
        <v>#VALUE!:noResult:No valid cells found for operation.</v>
      </c>
      <c r="CL28" s="15" t="str">
        <f>AND(Trans!F379,"AAAAAFu/61k=")</f>
        <v>#VALUE!:noResult:No valid cells found for operation.</v>
      </c>
      <c r="CM28" s="15" t="str">
        <f>AND(Trans!G379,"AAAAAFu/61o=")</f>
        <v>#VALUE!:noResult:No valid cells found for operation.</v>
      </c>
      <c r="CN28" s="15" t="str">
        <f>#REF!</f>
        <v>#VALUE!:noResult:No valid cells found for operation.</v>
      </c>
      <c r="CO28" s="15" t="str">
        <f>AND(Trans!H379,"AAAAAFu/61w=")</f>
        <v>#VALUE!:noResult:No valid cells found for operation.</v>
      </c>
      <c r="CP28" s="15" t="str">
        <f>#REF!</f>
        <v>#VALUE!:noResult:No valid cells found for operation.</v>
      </c>
      <c r="CQ28" s="15" t="str">
        <f>#REF!</f>
        <v>#VALUE!:noResult:No valid cells found for operation.</v>
      </c>
      <c r="CR28" s="15" t="str">
        <f>#REF!</f>
        <v>#VALUE!:noResult:No valid cells found for operation.</v>
      </c>
      <c r="CS28" s="15" t="str">
        <f>#REF!</f>
        <v>#VALUE!:noResult:No valid cells found for operation.</v>
      </c>
      <c r="CT28" s="15" t="str">
        <f>#REF!</f>
        <v>#VALUE!:noResult:No valid cells found for operation.</v>
      </c>
      <c r="CU28" s="15" t="str">
        <f>#REF!</f>
        <v>#VALUE!:noResult:No valid cells found for operation.</v>
      </c>
      <c r="CV28" s="15">
        <f>IF(Trans!R[352],"AAAAAFu/62M=",0)</f>
        <v>0</v>
      </c>
      <c r="CW28" s="15" t="b">
        <f>AND(Trans!A380,"AAAAAFu/62Q=")</f>
        <v>1</v>
      </c>
      <c r="CX28" s="15" t="str">
        <f>AND(Trans!B380,"AAAAAFu/62U=")</f>
        <v>#VALUE!:noResult:No valid cells found for operation.</v>
      </c>
      <c r="CY28" s="15" t="b">
        <f>AND(Trans!C380,"AAAAAFu/62Y=")</f>
        <v>1</v>
      </c>
      <c r="CZ28" s="15" t="b">
        <f>AND(Trans!D380,"AAAAAFu/62c=")</f>
        <v>1</v>
      </c>
      <c r="DA28" s="15" t="str">
        <f>AND(Trans!E380,"AAAAAFu/62g=")</f>
        <v>#VALUE!:noResult:No valid cells found for operation.</v>
      </c>
      <c r="DB28" s="15" t="str">
        <f>AND(Trans!F380,"AAAAAFu/62k=")</f>
        <v>#VALUE!:noResult:No valid cells found for operation.</v>
      </c>
      <c r="DC28" s="15" t="str">
        <f>AND(Trans!G380,"AAAAAFu/62o=")</f>
        <v>#VALUE!:noResult:No valid cells found for operation.</v>
      </c>
      <c r="DD28" s="15" t="str">
        <f>#REF!</f>
        <v>#VALUE!:noResult:No valid cells found for operation.</v>
      </c>
      <c r="DE28" s="15" t="str">
        <f>AND(Trans!H380,"AAAAAFu/62w=")</f>
        <v>#VALUE!:noResult:No valid cells found for operation.</v>
      </c>
      <c r="DF28" s="15" t="str">
        <f>#REF!</f>
        <v>#VALUE!:noResult:No valid cells found for operation.</v>
      </c>
      <c r="DG28" s="15" t="str">
        <f>#REF!</f>
        <v>#VALUE!:noResult:No valid cells found for operation.</v>
      </c>
      <c r="DH28" s="15" t="str">
        <f>#REF!</f>
        <v>#VALUE!:noResult:No valid cells found for operation.</v>
      </c>
      <c r="DI28" s="15" t="str">
        <f>#REF!</f>
        <v>#VALUE!:noResult:No valid cells found for operation.</v>
      </c>
      <c r="DJ28" s="15" t="str">
        <f>#REF!</f>
        <v>#VALUE!:noResult:No valid cells found for operation.</v>
      </c>
      <c r="DK28" s="15" t="str">
        <f>#REF!</f>
        <v>#VALUE!:noResult:No valid cells found for operation.</v>
      </c>
      <c r="DL28" s="15">
        <f>IF(Trans!R[353],"AAAAAFu/63M=",0)</f>
        <v>0</v>
      </c>
      <c r="DM28" s="15" t="b">
        <f>AND(Trans!A381,"AAAAAFu/63Q=")</f>
        <v>1</v>
      </c>
      <c r="DN28" s="15" t="str">
        <f>AND(Trans!B381,"AAAAAFu/63U=")</f>
        <v>#VALUE!:noResult:No valid cells found for operation.</v>
      </c>
      <c r="DO28" s="15" t="b">
        <f>AND(Trans!C381,"AAAAAFu/63Y=")</f>
        <v>1</v>
      </c>
      <c r="DP28" s="15" t="b">
        <f>AND(Trans!D381,"AAAAAFu/63c=")</f>
        <v>1</v>
      </c>
      <c r="DQ28" s="15" t="str">
        <f>AND(Trans!E381,"AAAAAFu/63g=")</f>
        <v>#VALUE!:noResult:No valid cells found for operation.</v>
      </c>
      <c r="DR28" s="15" t="str">
        <f>AND(Trans!F381,"AAAAAFu/63k=")</f>
        <v>#VALUE!:noResult:No valid cells found for operation.</v>
      </c>
      <c r="DS28" s="15" t="str">
        <f>AND(Trans!G381,"AAAAAFu/63o=")</f>
        <v>#VALUE!:noResult:No valid cells found for operation.</v>
      </c>
      <c r="DT28" s="15" t="str">
        <f>#REF!</f>
        <v>#VALUE!:noResult:No valid cells found for operation.</v>
      </c>
      <c r="DU28" s="15" t="str">
        <f>AND(Trans!H381,"AAAAAFu/63w=")</f>
        <v>#VALUE!:noResult:No valid cells found for operation.</v>
      </c>
      <c r="DV28" s="15" t="str">
        <f>#REF!</f>
        <v>#VALUE!:noResult:No valid cells found for operation.</v>
      </c>
      <c r="DW28" s="15" t="str">
        <f>#REF!</f>
        <v>#VALUE!:noResult:No valid cells found for operation.</v>
      </c>
      <c r="DX28" s="15" t="str">
        <f>#REF!</f>
        <v>#VALUE!:noResult:No valid cells found for operation.</v>
      </c>
      <c r="DY28" s="15" t="str">
        <f>#REF!</f>
        <v>#VALUE!:noResult:No valid cells found for operation.</v>
      </c>
      <c r="DZ28" s="15" t="str">
        <f>#REF!</f>
        <v>#VALUE!:noResult:No valid cells found for operation.</v>
      </c>
      <c r="EA28" s="15" t="str">
        <f>#REF!</f>
        <v>#VALUE!:noResult:No valid cells found for operation.</v>
      </c>
      <c r="EB28" s="15">
        <f>IF(Trans!R[354],"AAAAAFu/64M=",0)</f>
        <v>0</v>
      </c>
      <c r="EC28" s="15" t="b">
        <f>AND(Trans!A382,"AAAAAFu/64Q=")</f>
        <v>1</v>
      </c>
      <c r="ED28" s="15" t="str">
        <f>AND(Trans!B382,"AAAAAFu/64U=")</f>
        <v>#VALUE!:noResult:No valid cells found for operation.</v>
      </c>
      <c r="EE28" s="15" t="b">
        <f>AND(Trans!C382,"AAAAAFu/64Y=")</f>
        <v>1</v>
      </c>
      <c r="EF28" s="15" t="b">
        <f>AND(Trans!D382,"AAAAAFu/64c=")</f>
        <v>1</v>
      </c>
      <c r="EG28" s="15" t="str">
        <f>AND(Trans!E382,"AAAAAFu/64g=")</f>
        <v>#VALUE!:noResult:No valid cells found for operation.</v>
      </c>
      <c r="EH28" s="15" t="str">
        <f>AND(Trans!F382,"AAAAAFu/64k=")</f>
        <v>#VALUE!:noResult:No valid cells found for operation.</v>
      </c>
      <c r="EI28" s="15" t="str">
        <f>AND(Trans!G382,"AAAAAFu/64o=")</f>
        <v>#VALUE!:noResult:No valid cells found for operation.</v>
      </c>
      <c r="EJ28" s="15" t="str">
        <f>#REF!</f>
        <v>#VALUE!:noResult:No valid cells found for operation.</v>
      </c>
      <c r="EK28" s="15" t="str">
        <f>AND(Trans!H382,"AAAAAFu/64w=")</f>
        <v>#VALUE!:noResult:No valid cells found for operation.</v>
      </c>
      <c r="EL28" s="15" t="str">
        <f>#REF!</f>
        <v>#VALUE!:noResult:No valid cells found for operation.</v>
      </c>
      <c r="EM28" s="15" t="str">
        <f>#REF!</f>
        <v>#VALUE!:noResult:No valid cells found for operation.</v>
      </c>
      <c r="EN28" s="15" t="str">
        <f>#REF!</f>
        <v>#VALUE!:noResult:No valid cells found for operation.</v>
      </c>
      <c r="EO28" s="15" t="str">
        <f>#REF!</f>
        <v>#VALUE!:noResult:No valid cells found for operation.</v>
      </c>
      <c r="EP28" s="15" t="str">
        <f>#REF!</f>
        <v>#VALUE!:noResult:No valid cells found for operation.</v>
      </c>
      <c r="EQ28" s="15" t="str">
        <f>#REF!</f>
        <v>#VALUE!:noResult:No valid cells found for operation.</v>
      </c>
      <c r="ER28" s="15">
        <f>IF(Trans!R[355],"AAAAAFu/65M=",0)</f>
        <v>0</v>
      </c>
      <c r="ES28" s="15" t="b">
        <f>AND(Trans!A383,"AAAAAFu/65Q=")</f>
        <v>1</v>
      </c>
      <c r="ET28" s="15" t="str">
        <f>AND(Trans!B383,"AAAAAFu/65U=")</f>
        <v>#VALUE!:noResult:No valid cells found for operation.</v>
      </c>
      <c r="EU28" s="15" t="b">
        <f>AND(Trans!C383,"AAAAAFu/65Y=")</f>
        <v>1</v>
      </c>
      <c r="EV28" s="15" t="b">
        <f>AND(Trans!D383,"AAAAAFu/65c=")</f>
        <v>1</v>
      </c>
      <c r="EW28" s="15" t="str">
        <f>AND(Trans!E383,"AAAAAFu/65g=")</f>
        <v>#VALUE!:noResult:No valid cells found for operation.</v>
      </c>
      <c r="EX28" s="15" t="str">
        <f>AND(Trans!F383,"AAAAAFu/65k=")</f>
        <v>#VALUE!:noResult:No valid cells found for operation.</v>
      </c>
      <c r="EY28" s="15" t="str">
        <f>AND(Trans!G383,"AAAAAFu/65o=")</f>
        <v>#VALUE!:noResult:No valid cells found for operation.</v>
      </c>
      <c r="EZ28" s="15" t="str">
        <f>#REF!</f>
        <v>#VALUE!:noResult:No valid cells found for operation.</v>
      </c>
      <c r="FA28" s="15" t="str">
        <f>AND(Trans!H383,"AAAAAFu/65w=")</f>
        <v>#VALUE!:noResult:No valid cells found for operation.</v>
      </c>
      <c r="FB28" s="15" t="str">
        <f>#REF!</f>
        <v>#VALUE!:noResult:No valid cells found for operation.</v>
      </c>
      <c r="FC28" s="15" t="str">
        <f>#REF!</f>
        <v>#VALUE!:noResult:No valid cells found for operation.</v>
      </c>
      <c r="FD28" s="15" t="str">
        <f>#REF!</f>
        <v>#VALUE!:noResult:No valid cells found for operation.</v>
      </c>
      <c r="FE28" s="15" t="str">
        <f>#REF!</f>
        <v>#VALUE!:noResult:No valid cells found for operation.</v>
      </c>
      <c r="FF28" s="15" t="str">
        <f>#REF!</f>
        <v>#VALUE!:noResult:No valid cells found for operation.</v>
      </c>
      <c r="FG28" s="15" t="str">
        <f>#REF!</f>
        <v>#VALUE!:noResult:No valid cells found for operation.</v>
      </c>
      <c r="FH28" s="15">
        <f>IF(Trans!R[356],"AAAAAFu/66M=",0)</f>
        <v>0</v>
      </c>
      <c r="FI28" s="15" t="b">
        <f>AND(Trans!A384,"AAAAAFu/66Q=")</f>
        <v>1</v>
      </c>
      <c r="FJ28" s="15" t="str">
        <f>AND(Trans!B384,"AAAAAFu/66U=")</f>
        <v>#VALUE!:noResult:No valid cells found for operation.</v>
      </c>
      <c r="FK28" s="15" t="b">
        <f>AND(Trans!C384,"AAAAAFu/66Y=")</f>
        <v>1</v>
      </c>
      <c r="FL28" s="15" t="b">
        <f>AND(Trans!D384,"AAAAAFu/66c=")</f>
        <v>1</v>
      </c>
      <c r="FM28" s="15" t="str">
        <f>AND(Trans!E384,"AAAAAFu/66g=")</f>
        <v>#VALUE!:noResult:No valid cells found for operation.</v>
      </c>
      <c r="FN28" s="15" t="str">
        <f>AND(Trans!F384,"AAAAAFu/66k=")</f>
        <v>#VALUE!:noResult:No valid cells found for operation.</v>
      </c>
      <c r="FO28" s="15" t="str">
        <f>AND(Trans!G384,"AAAAAFu/66o=")</f>
        <v>#VALUE!:noResult:No valid cells found for operation.</v>
      </c>
      <c r="FP28" s="15" t="str">
        <f>#REF!</f>
        <v>#VALUE!:noResult:No valid cells found for operation.</v>
      </c>
      <c r="FQ28" s="15" t="str">
        <f>AND(Trans!H384,"AAAAAFu/66w=")</f>
        <v>#VALUE!:noResult:No valid cells found for operation.</v>
      </c>
      <c r="FR28" s="15" t="str">
        <f>#REF!</f>
        <v>#VALUE!:noResult:No valid cells found for operation.</v>
      </c>
      <c r="FS28" s="15" t="str">
        <f>#REF!</f>
        <v>#VALUE!:noResult:No valid cells found for operation.</v>
      </c>
      <c r="FT28" s="15" t="str">
        <f>#REF!</f>
        <v>#VALUE!:noResult:No valid cells found for operation.</v>
      </c>
      <c r="FU28" s="15" t="str">
        <f>#REF!</f>
        <v>#VALUE!:noResult:No valid cells found for operation.</v>
      </c>
      <c r="FV28" s="15" t="str">
        <f>#REF!</f>
        <v>#VALUE!:noResult:No valid cells found for operation.</v>
      </c>
      <c r="FW28" s="15" t="str">
        <f>#REF!</f>
        <v>#VALUE!:noResult:No valid cells found for operation.</v>
      </c>
      <c r="FX28" s="15">
        <f>IF(Trans!R[357],"AAAAAFu/67M=",0)</f>
        <v>0</v>
      </c>
      <c r="FY28" s="15" t="b">
        <f>AND(Trans!A385,"AAAAAFu/67Q=")</f>
        <v>1</v>
      </c>
      <c r="FZ28" s="15" t="str">
        <f>AND(Trans!B385,"AAAAAFu/67U=")</f>
        <v>#VALUE!:noResult:No valid cells found for operation.</v>
      </c>
      <c r="GA28" s="15" t="b">
        <f>AND(Trans!C385,"AAAAAFu/67Y=")</f>
        <v>1</v>
      </c>
      <c r="GB28" s="15" t="b">
        <f>AND(Trans!D385,"AAAAAFu/67c=")</f>
        <v>1</v>
      </c>
      <c r="GC28" s="15" t="str">
        <f>AND(Trans!E385,"AAAAAFu/67g=")</f>
        <v>#VALUE!:noResult:No valid cells found for operation.</v>
      </c>
      <c r="GD28" s="15" t="str">
        <f>AND(Trans!F385,"AAAAAFu/67k=")</f>
        <v>#VALUE!:noResult:No valid cells found for operation.</v>
      </c>
      <c r="GE28" s="15" t="str">
        <f>AND(Trans!G385,"AAAAAFu/67o=")</f>
        <v>#VALUE!:noResult:No valid cells found for operation.</v>
      </c>
      <c r="GF28" s="15" t="str">
        <f>#REF!</f>
        <v>#VALUE!:noResult:No valid cells found for operation.</v>
      </c>
      <c r="GG28" s="15" t="str">
        <f>AND(Trans!H385,"AAAAAFu/67w=")</f>
        <v>#VALUE!:noResult:No valid cells found for operation.</v>
      </c>
      <c r="GH28" s="15" t="str">
        <f>#REF!</f>
        <v>#VALUE!:noResult:No valid cells found for operation.</v>
      </c>
      <c r="GI28" s="15" t="str">
        <f>#REF!</f>
        <v>#VALUE!:noResult:No valid cells found for operation.</v>
      </c>
      <c r="GJ28" s="15" t="str">
        <f>#REF!</f>
        <v>#VALUE!:noResult:No valid cells found for operation.</v>
      </c>
      <c r="GK28" s="15" t="str">
        <f>#REF!</f>
        <v>#VALUE!:noResult:No valid cells found for operation.</v>
      </c>
      <c r="GL28" s="15" t="str">
        <f>#REF!</f>
        <v>#VALUE!:noResult:No valid cells found for operation.</v>
      </c>
      <c r="GM28" s="15" t="str">
        <f>#REF!</f>
        <v>#VALUE!:noResult:No valid cells found for operation.</v>
      </c>
      <c r="GN28" s="15">
        <f>IF(Trans!R[358],"AAAAAFu/68M=",0)</f>
        <v>0</v>
      </c>
      <c r="GO28" s="15" t="b">
        <f>AND(Trans!A386,"AAAAAFu/68Q=")</f>
        <v>1</v>
      </c>
      <c r="GP28" s="15" t="str">
        <f>AND(Trans!B386,"AAAAAFu/68U=")</f>
        <v>#VALUE!:noResult:No valid cells found for operation.</v>
      </c>
      <c r="GQ28" s="15" t="b">
        <f>AND(Trans!C386,"AAAAAFu/68Y=")</f>
        <v>1</v>
      </c>
      <c r="GR28" s="15" t="b">
        <f>AND(Trans!D386,"AAAAAFu/68c=")</f>
        <v>1</v>
      </c>
      <c r="GS28" s="15" t="str">
        <f>AND(Trans!E386,"AAAAAFu/68g=")</f>
        <v>#VALUE!:noResult:No valid cells found for operation.</v>
      </c>
      <c r="GT28" s="15" t="str">
        <f>AND(Trans!F386,"AAAAAFu/68k=")</f>
        <v>#VALUE!:noResult:No valid cells found for operation.</v>
      </c>
      <c r="GU28" s="15" t="str">
        <f>AND(Trans!G386,"AAAAAFu/68o=")</f>
        <v>#VALUE!:noResult:No valid cells found for operation.</v>
      </c>
      <c r="GV28" s="15" t="str">
        <f>#REF!</f>
        <v>#VALUE!:noResult:No valid cells found for operation.</v>
      </c>
      <c r="GW28" s="15" t="str">
        <f>AND(Trans!H386,"AAAAAFu/68w=")</f>
        <v>#VALUE!:noResult:No valid cells found for operation.</v>
      </c>
      <c r="GX28" s="15" t="str">
        <f>#REF!</f>
        <v>#VALUE!:noResult:No valid cells found for operation.</v>
      </c>
      <c r="GY28" s="15" t="str">
        <f>#REF!</f>
        <v>#VALUE!:noResult:No valid cells found for operation.</v>
      </c>
      <c r="GZ28" s="15" t="str">
        <f>#REF!</f>
        <v>#VALUE!:noResult:No valid cells found for operation.</v>
      </c>
      <c r="HA28" s="15" t="str">
        <f>#REF!</f>
        <v>#VALUE!:noResult:No valid cells found for operation.</v>
      </c>
      <c r="HB28" s="15" t="str">
        <f>#REF!</f>
        <v>#VALUE!:noResult:No valid cells found for operation.</v>
      </c>
      <c r="HC28" s="15" t="str">
        <f>#REF!</f>
        <v>#VALUE!:noResult:No valid cells found for operation.</v>
      </c>
      <c r="HD28" s="15">
        <f>IF(Trans!R[359],"AAAAAFu/69M=",0)</f>
        <v>0</v>
      </c>
      <c r="HE28" s="15" t="b">
        <f>AND(Trans!A387,"AAAAAFu/69Q=")</f>
        <v>1</v>
      </c>
      <c r="HF28" s="15" t="str">
        <f>AND(Trans!B387,"AAAAAFu/69U=")</f>
        <v>#VALUE!:noResult:No valid cells found for operation.</v>
      </c>
      <c r="HG28" s="15" t="b">
        <f>AND(Trans!C387,"AAAAAFu/69Y=")</f>
        <v>1</v>
      </c>
      <c r="HH28" s="15" t="b">
        <f>AND(Trans!D387,"AAAAAFu/69c=")</f>
        <v>1</v>
      </c>
      <c r="HI28" s="15" t="str">
        <f>AND(Trans!E387,"AAAAAFu/69g=")</f>
        <v>#VALUE!:noResult:No valid cells found for operation.</v>
      </c>
      <c r="HJ28" s="15" t="str">
        <f>AND(Trans!F387,"AAAAAFu/69k=")</f>
        <v>#VALUE!:noResult:No valid cells found for operation.</v>
      </c>
      <c r="HK28" s="15" t="str">
        <f>AND(Trans!G387,"AAAAAFu/69o=")</f>
        <v>#VALUE!:noResult:No valid cells found for operation.</v>
      </c>
      <c r="HL28" s="15" t="str">
        <f>#REF!</f>
        <v>#VALUE!:noResult:No valid cells found for operation.</v>
      </c>
      <c r="HM28" s="15" t="str">
        <f>AND(Trans!H387,"AAAAAFu/69w=")</f>
        <v>#VALUE!:noResult:No valid cells found for operation.</v>
      </c>
      <c r="HN28" s="15" t="str">
        <f>#REF!</f>
        <v>#VALUE!:noResult:No valid cells found for operation.</v>
      </c>
      <c r="HO28" s="15" t="str">
        <f>#REF!</f>
        <v>#VALUE!:noResult:No valid cells found for operation.</v>
      </c>
      <c r="HP28" s="15" t="str">
        <f>#REF!</f>
        <v>#VALUE!:noResult:No valid cells found for operation.</v>
      </c>
      <c r="HQ28" s="15" t="str">
        <f>#REF!</f>
        <v>#VALUE!:noResult:No valid cells found for operation.</v>
      </c>
      <c r="HR28" s="15" t="str">
        <f>#REF!</f>
        <v>#VALUE!:noResult:No valid cells found for operation.</v>
      </c>
      <c r="HS28" s="15" t="str">
        <f>#REF!</f>
        <v>#VALUE!:noResult:No valid cells found for operation.</v>
      </c>
      <c r="HT28" s="15">
        <f>IF(Trans!R[360],"AAAAAFu/6+M=",0)</f>
        <v>0</v>
      </c>
      <c r="HU28" s="15" t="b">
        <f>AND(Trans!A388,"AAAAAFu/6+Q=")</f>
        <v>1</v>
      </c>
      <c r="HV28" s="15" t="str">
        <f>AND(Trans!B388,"AAAAAFu/6+U=")</f>
        <v>#VALUE!:noResult:No valid cells found for operation.</v>
      </c>
      <c r="HW28" s="15" t="b">
        <f>AND(Trans!C388,"AAAAAFu/6+Y=")</f>
        <v>1</v>
      </c>
      <c r="HX28" s="15" t="b">
        <f>AND(Trans!D388,"AAAAAFu/6+c=")</f>
        <v>1</v>
      </c>
      <c r="HY28" s="15" t="str">
        <f>AND(Trans!E388,"AAAAAFu/6+g=")</f>
        <v>#VALUE!:noResult:No valid cells found for operation.</v>
      </c>
      <c r="HZ28" s="15" t="str">
        <f>AND(Trans!F388,"AAAAAFu/6+k=")</f>
        <v>#VALUE!:noResult:No valid cells found for operation.</v>
      </c>
      <c r="IA28" s="15" t="str">
        <f>AND(Trans!G388,"AAAAAFu/6+o=")</f>
        <v>#VALUE!:noResult:No valid cells found for operation.</v>
      </c>
      <c r="IB28" s="15" t="str">
        <f>#REF!</f>
        <v>#VALUE!:noResult:No valid cells found for operation.</v>
      </c>
      <c r="IC28" s="15" t="str">
        <f>AND(Trans!H388,"AAAAAFu/6+w=")</f>
        <v>#VALUE!:noResult:No valid cells found for operation.</v>
      </c>
      <c r="ID28" s="15" t="str">
        <f>#REF!</f>
        <v>#VALUE!:noResult:No valid cells found for operation.</v>
      </c>
      <c r="IE28" s="15" t="str">
        <f>#REF!</f>
        <v>#VALUE!:noResult:No valid cells found for operation.</v>
      </c>
      <c r="IF28" s="15" t="str">
        <f>#REF!</f>
        <v>#VALUE!:noResult:No valid cells found for operation.</v>
      </c>
      <c r="IG28" s="15" t="str">
        <f>#REF!</f>
        <v>#VALUE!:noResult:No valid cells found for operation.</v>
      </c>
      <c r="IH28" s="15" t="str">
        <f>#REF!</f>
        <v>#VALUE!:noResult:No valid cells found for operation.</v>
      </c>
      <c r="II28" s="15" t="str">
        <f>#REF!</f>
        <v>#VALUE!:noResult:No valid cells found for operation.</v>
      </c>
      <c r="IJ28" s="15">
        <f>IF(Trans!R[361],"AAAAAFu/6/M=",0)</f>
        <v>0</v>
      </c>
      <c r="IK28" s="15" t="b">
        <f>AND(Trans!A389,"AAAAAFu/6/Q=")</f>
        <v>1</v>
      </c>
      <c r="IL28" s="15" t="str">
        <f>AND(Trans!B389,"AAAAAFu/6/U=")</f>
        <v>#VALUE!:noResult:No valid cells found for operation.</v>
      </c>
      <c r="IM28" s="15" t="b">
        <f>AND(Trans!C389,"AAAAAFu/6/Y=")</f>
        <v>1</v>
      </c>
      <c r="IN28" s="15" t="b">
        <f>AND(Trans!D389,"AAAAAFu/6/c=")</f>
        <v>1</v>
      </c>
      <c r="IO28" s="15" t="str">
        <f>AND(Trans!E389,"AAAAAFu/6/g=")</f>
        <v>#VALUE!:noResult:No valid cells found for operation.</v>
      </c>
      <c r="IP28" s="15" t="str">
        <f>AND(Trans!F389,"AAAAAFu/6/k=")</f>
        <v>#VALUE!:noResult:No valid cells found for operation.</v>
      </c>
      <c r="IQ28" s="15" t="str">
        <f>AND(Trans!G389,"AAAAAFu/6/o=")</f>
        <v>#VALUE!:noResult:No valid cells found for operation.</v>
      </c>
      <c r="IR28" s="15" t="str">
        <f>#REF!</f>
        <v>#VALUE!:noResult:No valid cells found for operation.</v>
      </c>
      <c r="IS28" s="15" t="str">
        <f>AND(Trans!H389,"AAAAAFu/6/w=")</f>
        <v>#VALUE!:noResult:No valid cells found for operation.</v>
      </c>
      <c r="IT28" s="15" t="str">
        <f>#REF!</f>
        <v>#VALUE!:noResult:No valid cells found for operation.</v>
      </c>
      <c r="IU28" s="15" t="str">
        <f>#REF!</f>
        <v>#VALUE!:noResult:No valid cells found for operation.</v>
      </c>
      <c r="IV28" s="15" t="str">
        <f>#REF!</f>
        <v>#VALUE!:noResult:No valid cells found for operation.</v>
      </c>
    </row>
    <row r="29">
      <c r="A29" s="15" t="str">
        <f>#REF!</f>
        <v>#VALUE!:noResult:No valid cells found for operation.</v>
      </c>
      <c r="B29" s="15" t="str">
        <f>#REF!</f>
        <v>#VALUE!:noResult:No valid cells found for operation.</v>
      </c>
      <c r="C29" s="15" t="str">
        <f>#REF!</f>
        <v>#VALUE!:noResult:No valid cells found for operation.</v>
      </c>
      <c r="D29" s="15" t="str">
        <f>IF(Trans!R[361],"AAAAAHf/twM=",0)</f>
        <v>AAAAAHf/twM=</v>
      </c>
      <c r="E29" s="15" t="b">
        <f>AND(Trans!A390,"AAAAAHf/twQ=")</f>
        <v>1</v>
      </c>
      <c r="F29" s="15" t="str">
        <f>AND(Trans!B390,"AAAAAHf/twU=")</f>
        <v>#VALUE!:noResult:No valid cells found for operation.</v>
      </c>
      <c r="G29" s="15" t="b">
        <f>AND(Trans!C390,"AAAAAHf/twY=")</f>
        <v>1</v>
      </c>
      <c r="H29" s="15" t="b">
        <f>AND(Trans!D390,"AAAAAHf/twc=")</f>
        <v>1</v>
      </c>
      <c r="I29" s="15" t="str">
        <f>AND(Trans!E390,"AAAAAHf/twg=")</f>
        <v>#VALUE!:noResult:No valid cells found for operation.</v>
      </c>
      <c r="J29" s="15" t="str">
        <f>AND(Trans!F390,"AAAAAHf/twk=")</f>
        <v>#VALUE!:noResult:No valid cells found for operation.</v>
      </c>
      <c r="K29" s="15" t="str">
        <f>AND(Trans!G390,"AAAAAHf/two=")</f>
        <v>#VALUE!:noResult:No valid cells found for operation.</v>
      </c>
      <c r="L29" s="15" t="str">
        <f>#REF!</f>
        <v>#VALUE!:noResult:No valid cells found for operation.</v>
      </c>
      <c r="M29" s="15" t="str">
        <f>AND(Trans!H390,"AAAAAHf/tww=")</f>
        <v>#VALUE!:noResult:No valid cells found for operation.</v>
      </c>
      <c r="N29" s="15" t="str">
        <f>#REF!</f>
        <v>#VALUE!:noResult:No valid cells found for operation.</v>
      </c>
      <c r="O29" s="15" t="str">
        <f>#REF!</f>
        <v>#VALUE!:noResult:No valid cells found for operation.</v>
      </c>
      <c r="P29" s="15" t="str">
        <f>#REF!</f>
        <v>#VALUE!:noResult:No valid cells found for operation.</v>
      </c>
      <c r="Q29" s="15" t="str">
        <f>#REF!</f>
        <v>#VALUE!:noResult:No valid cells found for operation.</v>
      </c>
      <c r="R29" s="15" t="str">
        <f>#REF!</f>
        <v>#VALUE!:noResult:No valid cells found for operation.</v>
      </c>
      <c r="S29" s="15" t="str">
        <f>#REF!</f>
        <v>#VALUE!:noResult:No valid cells found for operation.</v>
      </c>
      <c r="T29" s="15">
        <f>IF(Trans!R[362],"AAAAAHf/txM=",0)</f>
        <v>0</v>
      </c>
      <c r="U29" s="15" t="b">
        <f>AND(Trans!A391,"AAAAAHf/txQ=")</f>
        <v>1</v>
      </c>
      <c r="V29" s="15" t="str">
        <f>AND(Trans!B391,"AAAAAHf/txU=")</f>
        <v>#VALUE!:noResult:No valid cells found for operation.</v>
      </c>
      <c r="W29" s="15" t="b">
        <f>AND(Trans!C391,"AAAAAHf/txY=")</f>
        <v>1</v>
      </c>
      <c r="X29" s="15" t="b">
        <f>AND(Trans!D391,"AAAAAHf/txc=")</f>
        <v>1</v>
      </c>
      <c r="Y29" s="15" t="str">
        <f>AND(Trans!E391,"AAAAAHf/txg=")</f>
        <v>#VALUE!:noResult:No valid cells found for operation.</v>
      </c>
      <c r="Z29" s="15" t="str">
        <f>AND(Trans!F391,"AAAAAHf/txk=")</f>
        <v>#VALUE!:noResult:No valid cells found for operation.</v>
      </c>
      <c r="AA29" s="15" t="str">
        <f>AND(Trans!G391,"AAAAAHf/txo=")</f>
        <v>#VALUE!:noResult:No valid cells found for operation.</v>
      </c>
      <c r="AB29" s="15" t="str">
        <f>#REF!</f>
        <v>#VALUE!:noResult:No valid cells found for operation.</v>
      </c>
      <c r="AC29" s="15" t="str">
        <f>AND(Trans!H391,"AAAAAHf/txw=")</f>
        <v>#VALUE!:noResult:No valid cells found for operation.</v>
      </c>
      <c r="AD29" s="15" t="str">
        <f>#REF!</f>
        <v>#VALUE!:noResult:No valid cells found for operation.</v>
      </c>
      <c r="AE29" s="15" t="str">
        <f>#REF!</f>
        <v>#VALUE!:noResult:No valid cells found for operation.</v>
      </c>
      <c r="AF29" s="15" t="str">
        <f>#REF!</f>
        <v>#VALUE!:noResult:No valid cells found for operation.</v>
      </c>
      <c r="AG29" s="15" t="str">
        <f>#REF!</f>
        <v>#VALUE!:noResult:No valid cells found for operation.</v>
      </c>
      <c r="AH29" s="15" t="str">
        <f>#REF!</f>
        <v>#VALUE!:noResult:No valid cells found for operation.</v>
      </c>
      <c r="AI29" s="15" t="str">
        <f>#REF!</f>
        <v>#VALUE!:noResult:No valid cells found for operation.</v>
      </c>
      <c r="AJ29" s="15">
        <f>IF(Trans!R[363],"AAAAAHf/tyM=",0)</f>
        <v>0</v>
      </c>
      <c r="AK29" s="15" t="b">
        <f>AND(Trans!A392,"AAAAAHf/tyQ=")</f>
        <v>1</v>
      </c>
      <c r="AL29" s="15" t="str">
        <f>AND(Trans!B392,"AAAAAHf/tyU=")</f>
        <v>#VALUE!:noResult:No valid cells found for operation.</v>
      </c>
      <c r="AM29" s="15" t="b">
        <f>AND(Trans!C392,"AAAAAHf/tyY=")</f>
        <v>1</v>
      </c>
      <c r="AN29" s="15" t="b">
        <f>AND(Trans!D392,"AAAAAHf/tyc=")</f>
        <v>1</v>
      </c>
      <c r="AO29" s="15" t="str">
        <f>AND(Trans!E392,"AAAAAHf/tyg=")</f>
        <v>#VALUE!:noResult:No valid cells found for operation.</v>
      </c>
      <c r="AP29" s="15" t="str">
        <f>AND(Trans!F392,"AAAAAHf/tyk=")</f>
        <v>#VALUE!:noResult:No valid cells found for operation.</v>
      </c>
      <c r="AQ29" s="15" t="str">
        <f>AND(Trans!G392,"AAAAAHf/tyo=")</f>
        <v>#VALUE!:noResult:No valid cells found for operation.</v>
      </c>
      <c r="AR29" s="15" t="str">
        <f>#REF!</f>
        <v>#VALUE!:noResult:No valid cells found for operation.</v>
      </c>
      <c r="AS29" s="15" t="str">
        <f>AND(Trans!H392,"AAAAAHf/tyw=")</f>
        <v>#VALUE!:noResult:No valid cells found for operation.</v>
      </c>
      <c r="AT29" s="15" t="str">
        <f>#REF!</f>
        <v>#VALUE!:noResult:No valid cells found for operation.</v>
      </c>
      <c r="AU29" s="15" t="str">
        <f>#REF!</f>
        <v>#VALUE!:noResult:No valid cells found for operation.</v>
      </c>
      <c r="AV29" s="15" t="str">
        <f>#REF!</f>
        <v>#VALUE!:noResult:No valid cells found for operation.</v>
      </c>
      <c r="AW29" s="15" t="str">
        <f>#REF!</f>
        <v>#VALUE!:noResult:No valid cells found for operation.</v>
      </c>
      <c r="AX29" s="15" t="str">
        <f>#REF!</f>
        <v>#VALUE!:noResult:No valid cells found for operation.</v>
      </c>
      <c r="AY29" s="15" t="str">
        <f>#REF!</f>
        <v>#VALUE!:noResult:No valid cells found for operation.</v>
      </c>
      <c r="AZ29" s="15">
        <f>IF(Trans!R[364],"AAAAAHf/tzM=",0)</f>
        <v>0</v>
      </c>
      <c r="BA29" s="15" t="b">
        <f>AND(Trans!A393,"AAAAAHf/tzQ=")</f>
        <v>1</v>
      </c>
      <c r="BB29" s="15" t="str">
        <f>AND(Trans!B393,"AAAAAHf/tzU=")</f>
        <v>#VALUE!:noResult:No valid cells found for operation.</v>
      </c>
      <c r="BC29" s="15" t="b">
        <f>AND(Trans!C393,"AAAAAHf/tzY=")</f>
        <v>1</v>
      </c>
      <c r="BD29" s="15" t="b">
        <f>AND(Trans!D393,"AAAAAHf/tzc=")</f>
        <v>1</v>
      </c>
      <c r="BE29" s="15" t="str">
        <f>AND(Trans!E393,"AAAAAHf/tzg=")</f>
        <v>#VALUE!:noResult:No valid cells found for operation.</v>
      </c>
      <c r="BF29" s="15" t="str">
        <f>AND(Trans!F393,"AAAAAHf/tzk=")</f>
        <v>#VALUE!:noResult:No valid cells found for operation.</v>
      </c>
      <c r="BG29" s="15" t="str">
        <f>AND(Trans!G393,"AAAAAHf/tzo=")</f>
        <v>#VALUE!:noResult:No valid cells found for operation.</v>
      </c>
      <c r="BH29" s="15" t="str">
        <f>#REF!</f>
        <v>#VALUE!:noResult:No valid cells found for operation.</v>
      </c>
      <c r="BI29" s="15" t="str">
        <f>AND(Trans!H393,"AAAAAHf/tzw=")</f>
        <v>#VALUE!:noResult:No valid cells found for operation.</v>
      </c>
      <c r="BJ29" s="15" t="str">
        <f>#REF!</f>
        <v>#VALUE!:noResult:No valid cells found for operation.</v>
      </c>
      <c r="BK29" s="15" t="str">
        <f>#REF!</f>
        <v>#VALUE!:noResult:No valid cells found for operation.</v>
      </c>
      <c r="BL29" s="15" t="str">
        <f>#REF!</f>
        <v>#VALUE!:noResult:No valid cells found for operation.</v>
      </c>
      <c r="BM29" s="15" t="str">
        <f>#REF!</f>
        <v>#VALUE!:noResult:No valid cells found for operation.</v>
      </c>
      <c r="BN29" s="15" t="str">
        <f>#REF!</f>
        <v>#VALUE!:noResult:No valid cells found for operation.</v>
      </c>
      <c r="BO29" s="15" t="str">
        <f>#REF!</f>
        <v>#VALUE!:noResult:No valid cells found for operation.</v>
      </c>
      <c r="BP29" s="15">
        <f>IF(Trans!R[365],"AAAAAHf/t0M=",0)</f>
        <v>0</v>
      </c>
      <c r="BQ29" s="15" t="b">
        <f>AND(Trans!A394,"AAAAAHf/t0Q=")</f>
        <v>1</v>
      </c>
      <c r="BR29" s="15" t="str">
        <f>AND(Trans!B394,"AAAAAHf/t0U=")</f>
        <v>#VALUE!:noResult:No valid cells found for operation.</v>
      </c>
      <c r="BS29" s="15" t="b">
        <f>AND(Trans!C394,"AAAAAHf/t0Y=")</f>
        <v>1</v>
      </c>
      <c r="BT29" s="15" t="b">
        <f>AND(Trans!D394,"AAAAAHf/t0c=")</f>
        <v>1</v>
      </c>
      <c r="BU29" s="15" t="str">
        <f>AND(Trans!E394,"AAAAAHf/t0g=")</f>
        <v>#VALUE!:noResult:No valid cells found for operation.</v>
      </c>
      <c r="BV29" s="15" t="str">
        <f>AND(Trans!F394,"AAAAAHf/t0k=")</f>
        <v>#VALUE!:noResult:No valid cells found for operation.</v>
      </c>
      <c r="BW29" s="15" t="str">
        <f>AND(Trans!G394,"AAAAAHf/t0o=")</f>
        <v>#VALUE!:noResult:No valid cells found for operation.</v>
      </c>
      <c r="BX29" s="15" t="str">
        <f>#REF!</f>
        <v>#VALUE!:noResult:No valid cells found for operation.</v>
      </c>
      <c r="BY29" s="15" t="str">
        <f>AND(Trans!H394,"AAAAAHf/t0w=")</f>
        <v>#VALUE!:noResult:No valid cells found for operation.</v>
      </c>
      <c r="BZ29" s="15" t="str">
        <f>#REF!</f>
        <v>#VALUE!:noResult:No valid cells found for operation.</v>
      </c>
      <c r="CA29" s="15" t="str">
        <f>#REF!</f>
        <v>#VALUE!:noResult:No valid cells found for operation.</v>
      </c>
      <c r="CB29" s="15" t="str">
        <f>#REF!</f>
        <v>#VALUE!:noResult:No valid cells found for operation.</v>
      </c>
      <c r="CC29" s="15" t="str">
        <f>#REF!</f>
        <v>#VALUE!:noResult:No valid cells found for operation.</v>
      </c>
      <c r="CD29" s="15" t="str">
        <f>#REF!</f>
        <v>#VALUE!:noResult:No valid cells found for operation.</v>
      </c>
      <c r="CE29" s="15" t="str">
        <f>#REF!</f>
        <v>#VALUE!:noResult:No valid cells found for operation.</v>
      </c>
      <c r="CF29" s="15">
        <f>IF(Trans!R[366],"AAAAAHf/t1M=",0)</f>
        <v>0</v>
      </c>
      <c r="CG29" s="15" t="b">
        <f>AND(Trans!A395,"AAAAAHf/t1Q=")</f>
        <v>1</v>
      </c>
      <c r="CH29" s="15" t="str">
        <f>AND(Trans!B395,"AAAAAHf/t1U=")</f>
        <v>#VALUE!:noResult:No valid cells found for operation.</v>
      </c>
      <c r="CI29" s="15" t="b">
        <f>AND(Trans!C395,"AAAAAHf/t1Y=")</f>
        <v>1</v>
      </c>
      <c r="CJ29" s="15" t="b">
        <f>AND(Trans!D395,"AAAAAHf/t1c=")</f>
        <v>1</v>
      </c>
      <c r="CK29" s="15" t="str">
        <f>AND(Trans!E395,"AAAAAHf/t1g=")</f>
        <v>#VALUE!:noResult:No valid cells found for operation.</v>
      </c>
      <c r="CL29" s="15" t="str">
        <f>AND(Trans!F395,"AAAAAHf/t1k=")</f>
        <v>#VALUE!:noResult:No valid cells found for operation.</v>
      </c>
      <c r="CM29" s="15" t="str">
        <f>AND(Trans!G395,"AAAAAHf/t1o=")</f>
        <v>#VALUE!:noResult:No valid cells found for operation.</v>
      </c>
      <c r="CN29" s="15" t="str">
        <f>#REF!</f>
        <v>#VALUE!:noResult:No valid cells found for operation.</v>
      </c>
      <c r="CO29" s="15" t="str">
        <f>AND(Trans!H395,"AAAAAHf/t1w=")</f>
        <v>#VALUE!:noResult:No valid cells found for operation.</v>
      </c>
      <c r="CP29" s="15" t="str">
        <f>#REF!</f>
        <v>#VALUE!:noResult:No valid cells found for operation.</v>
      </c>
      <c r="CQ29" s="15" t="str">
        <f>#REF!</f>
        <v>#VALUE!:noResult:No valid cells found for operation.</v>
      </c>
      <c r="CR29" s="15" t="str">
        <f>#REF!</f>
        <v>#VALUE!:noResult:No valid cells found for operation.</v>
      </c>
      <c r="CS29" s="15" t="str">
        <f>#REF!</f>
        <v>#VALUE!:noResult:No valid cells found for operation.</v>
      </c>
      <c r="CT29" s="15" t="str">
        <f>#REF!</f>
        <v>#VALUE!:noResult:No valid cells found for operation.</v>
      </c>
      <c r="CU29" s="15" t="str">
        <f>#REF!</f>
        <v>#VALUE!:noResult:No valid cells found for operation.</v>
      </c>
      <c r="CV29" s="15">
        <f>IF(Trans!R[367],"AAAAAHf/t2M=",0)</f>
        <v>0</v>
      </c>
      <c r="CW29" s="15" t="b">
        <f>AND(Trans!A396,"AAAAAHf/t2Q=")</f>
        <v>1</v>
      </c>
      <c r="CX29" s="15" t="str">
        <f>AND(Trans!B396,"AAAAAHf/t2U=")</f>
        <v>#VALUE!:noResult:No valid cells found for operation.</v>
      </c>
      <c r="CY29" s="15" t="b">
        <f>AND(Trans!C396,"AAAAAHf/t2Y=")</f>
        <v>1</v>
      </c>
      <c r="CZ29" s="15" t="b">
        <f>AND(Trans!D396,"AAAAAHf/t2c=")</f>
        <v>1</v>
      </c>
      <c r="DA29" s="15" t="str">
        <f>AND(Trans!E396,"AAAAAHf/t2g=")</f>
        <v>#VALUE!:noResult:No valid cells found for operation.</v>
      </c>
      <c r="DB29" s="15" t="str">
        <f>AND(Trans!F396,"AAAAAHf/t2k=")</f>
        <v>#VALUE!:noResult:No valid cells found for operation.</v>
      </c>
      <c r="DC29" s="15" t="str">
        <f>AND(Trans!G396,"AAAAAHf/t2o=")</f>
        <v>#VALUE!:noResult:No valid cells found for operation.</v>
      </c>
      <c r="DD29" s="15" t="str">
        <f>#REF!</f>
        <v>#VALUE!:noResult:No valid cells found for operation.</v>
      </c>
      <c r="DE29" s="15" t="str">
        <f>AND(Trans!H396,"AAAAAHf/t2w=")</f>
        <v>#VALUE!:noResult:No valid cells found for operation.</v>
      </c>
      <c r="DF29" s="15" t="str">
        <f>#REF!</f>
        <v>#VALUE!:noResult:No valid cells found for operation.</v>
      </c>
      <c r="DG29" s="15" t="str">
        <f>#REF!</f>
        <v>#VALUE!:noResult:No valid cells found for operation.</v>
      </c>
      <c r="DH29" s="15" t="str">
        <f>#REF!</f>
        <v>#VALUE!:noResult:No valid cells found for operation.</v>
      </c>
      <c r="DI29" s="15" t="str">
        <f>#REF!</f>
        <v>#VALUE!:noResult:No valid cells found for operation.</v>
      </c>
      <c r="DJ29" s="15" t="str">
        <f>#REF!</f>
        <v>#VALUE!:noResult:No valid cells found for operation.</v>
      </c>
      <c r="DK29" s="15" t="str">
        <f>#REF!</f>
        <v>#VALUE!:noResult:No valid cells found for operation.</v>
      </c>
      <c r="DL29" s="15">
        <f>IF(Trans!R[368],"AAAAAHf/t3M=",0)</f>
        <v>0</v>
      </c>
      <c r="DM29" s="15" t="b">
        <f>AND(Trans!A397,"AAAAAHf/t3Q=")</f>
        <v>1</v>
      </c>
      <c r="DN29" s="15" t="str">
        <f>AND(Trans!B397,"AAAAAHf/t3U=")</f>
        <v>#VALUE!:noResult:No valid cells found for operation.</v>
      </c>
      <c r="DO29" s="15" t="b">
        <f>AND(Trans!C397,"AAAAAHf/t3Y=")</f>
        <v>1</v>
      </c>
      <c r="DP29" s="15" t="b">
        <f>AND(Trans!D397,"AAAAAHf/t3c=")</f>
        <v>1</v>
      </c>
      <c r="DQ29" s="15" t="str">
        <f>AND(Trans!E397,"AAAAAHf/t3g=")</f>
        <v>#VALUE!:noResult:No valid cells found for operation.</v>
      </c>
      <c r="DR29" s="15" t="str">
        <f>AND(Trans!F397,"AAAAAHf/t3k=")</f>
        <v>#VALUE!:noResult:No valid cells found for operation.</v>
      </c>
      <c r="DS29" s="15" t="str">
        <f>AND(Trans!G397,"AAAAAHf/t3o=")</f>
        <v>#VALUE!:noResult:No valid cells found for operation.</v>
      </c>
      <c r="DT29" s="15" t="str">
        <f>#REF!</f>
        <v>#VALUE!:noResult:No valid cells found for operation.</v>
      </c>
      <c r="DU29" s="15" t="str">
        <f>AND(Trans!H397,"AAAAAHf/t3w=")</f>
        <v>#VALUE!:noResult:No valid cells found for operation.</v>
      </c>
      <c r="DV29" s="15" t="str">
        <f>#REF!</f>
        <v>#VALUE!:noResult:No valid cells found for operation.</v>
      </c>
      <c r="DW29" s="15" t="str">
        <f>#REF!</f>
        <v>#VALUE!:noResult:No valid cells found for operation.</v>
      </c>
      <c r="DX29" s="15" t="str">
        <f>#REF!</f>
        <v>#VALUE!:noResult:No valid cells found for operation.</v>
      </c>
      <c r="DY29" s="15" t="str">
        <f>#REF!</f>
        <v>#VALUE!:noResult:No valid cells found for operation.</v>
      </c>
      <c r="DZ29" s="15" t="str">
        <f>#REF!</f>
        <v>#VALUE!:noResult:No valid cells found for operation.</v>
      </c>
      <c r="EA29" s="15" t="str">
        <f>#REF!</f>
        <v>#VALUE!:noResult:No valid cells found for operation.</v>
      </c>
      <c r="EB29" s="15">
        <f>IF(Trans!R[369],"AAAAAHf/t4M=",0)</f>
        <v>0</v>
      </c>
      <c r="EC29" s="15" t="b">
        <f>AND(Trans!A398,"AAAAAHf/t4Q=")</f>
        <v>1</v>
      </c>
      <c r="ED29" s="15" t="str">
        <f>AND(Trans!B398,"AAAAAHf/t4U=")</f>
        <v>#VALUE!:noResult:No valid cells found for operation.</v>
      </c>
      <c r="EE29" s="15" t="b">
        <f>AND(Trans!C398,"AAAAAHf/t4Y=")</f>
        <v>1</v>
      </c>
      <c r="EF29" s="15" t="b">
        <f>AND(Trans!D398,"AAAAAHf/t4c=")</f>
        <v>1</v>
      </c>
      <c r="EG29" s="15" t="str">
        <f>AND(Trans!E398,"AAAAAHf/t4g=")</f>
        <v>#VALUE!:noResult:No valid cells found for operation.</v>
      </c>
      <c r="EH29" s="15" t="str">
        <f>AND(Trans!F398,"AAAAAHf/t4k=")</f>
        <v>#VALUE!:noResult:No valid cells found for operation.</v>
      </c>
      <c r="EI29" s="15" t="str">
        <f>AND(Trans!G398,"AAAAAHf/t4o=")</f>
        <v>#VALUE!:noResult:No valid cells found for operation.</v>
      </c>
      <c r="EJ29" s="15" t="str">
        <f>#REF!</f>
        <v>#VALUE!:noResult:No valid cells found for operation.</v>
      </c>
      <c r="EK29" s="15" t="str">
        <f>AND(Trans!H398,"AAAAAHf/t4w=")</f>
        <v>#VALUE!:noResult:No valid cells found for operation.</v>
      </c>
      <c r="EL29" s="15" t="str">
        <f>#REF!</f>
        <v>#VALUE!:noResult:No valid cells found for operation.</v>
      </c>
      <c r="EM29" s="15" t="str">
        <f>#REF!</f>
        <v>#VALUE!:noResult:No valid cells found for operation.</v>
      </c>
      <c r="EN29" s="15" t="str">
        <f>#REF!</f>
        <v>#VALUE!:noResult:No valid cells found for operation.</v>
      </c>
      <c r="EO29" s="15" t="str">
        <f>#REF!</f>
        <v>#VALUE!:noResult:No valid cells found for operation.</v>
      </c>
      <c r="EP29" s="15" t="str">
        <f>#REF!</f>
        <v>#VALUE!:noResult:No valid cells found for operation.</v>
      </c>
      <c r="EQ29" s="15" t="str">
        <f>#REF!</f>
        <v>#VALUE!:noResult:No valid cells found for operation.</v>
      </c>
      <c r="ER29" s="15">
        <f>IF(Trans!R[370],"AAAAAHf/t5M=",0)</f>
        <v>0</v>
      </c>
      <c r="ES29" s="15" t="b">
        <f>AND(Trans!A399,"AAAAAHf/t5Q=")</f>
        <v>1</v>
      </c>
      <c r="ET29" s="15" t="str">
        <f>AND(Trans!B399,"AAAAAHf/t5U=")</f>
        <v>#VALUE!:noResult:No valid cells found for operation.</v>
      </c>
      <c r="EU29" s="15" t="b">
        <f>AND(Trans!C399,"AAAAAHf/t5Y=")</f>
        <v>1</v>
      </c>
      <c r="EV29" s="15" t="b">
        <f>AND(Trans!D399,"AAAAAHf/t5c=")</f>
        <v>1</v>
      </c>
      <c r="EW29" s="15" t="str">
        <f>AND(Trans!E399,"AAAAAHf/t5g=")</f>
        <v>#VALUE!:noResult:No valid cells found for operation.</v>
      </c>
      <c r="EX29" s="15" t="str">
        <f>AND(Trans!F399,"AAAAAHf/t5k=")</f>
        <v>#VALUE!:noResult:No valid cells found for operation.</v>
      </c>
      <c r="EY29" s="15" t="str">
        <f>AND(Trans!G399,"AAAAAHf/t5o=")</f>
        <v>#VALUE!:noResult:No valid cells found for operation.</v>
      </c>
      <c r="EZ29" s="15" t="str">
        <f>#REF!</f>
        <v>#VALUE!:noResult:No valid cells found for operation.</v>
      </c>
      <c r="FA29" s="15" t="str">
        <f>AND(Trans!H399,"AAAAAHf/t5w=")</f>
        <v>#VALUE!:noResult:No valid cells found for operation.</v>
      </c>
      <c r="FB29" s="15" t="str">
        <f>#REF!</f>
        <v>#VALUE!:noResult:No valid cells found for operation.</v>
      </c>
      <c r="FC29" s="15" t="str">
        <f>#REF!</f>
        <v>#VALUE!:noResult:No valid cells found for operation.</v>
      </c>
      <c r="FD29" s="15" t="str">
        <f>#REF!</f>
        <v>#VALUE!:noResult:No valid cells found for operation.</v>
      </c>
      <c r="FE29" s="15" t="str">
        <f>#REF!</f>
        <v>#VALUE!:noResult:No valid cells found for operation.</v>
      </c>
      <c r="FF29" s="15" t="str">
        <f>#REF!</f>
        <v>#VALUE!:noResult:No valid cells found for operation.</v>
      </c>
      <c r="FG29" s="15" t="str">
        <f>#REF!</f>
        <v>#VALUE!:noResult:No valid cells found for operation.</v>
      </c>
      <c r="FH29" s="15">
        <f>IF(Trans!R[371],"AAAAAHf/t6M=",0)</f>
        <v>0</v>
      </c>
      <c r="FI29" s="15" t="b">
        <f>AND(Trans!A400,"AAAAAHf/t6Q=")</f>
        <v>1</v>
      </c>
      <c r="FJ29" s="15" t="str">
        <f>AND(Trans!B400,"AAAAAHf/t6U=")</f>
        <v>#VALUE!:noResult:No valid cells found for operation.</v>
      </c>
      <c r="FK29" s="15" t="b">
        <f>AND(Trans!C400,"AAAAAHf/t6Y=")</f>
        <v>1</v>
      </c>
      <c r="FL29" s="15" t="b">
        <f>AND(Trans!D400,"AAAAAHf/t6c=")</f>
        <v>1</v>
      </c>
      <c r="FM29" s="15" t="str">
        <f>AND(Trans!E400,"AAAAAHf/t6g=")</f>
        <v>#VALUE!:noResult:No valid cells found for operation.</v>
      </c>
      <c r="FN29" s="15" t="str">
        <f>AND(Trans!F400,"AAAAAHf/t6k=")</f>
        <v>#VALUE!:noResult:No valid cells found for operation.</v>
      </c>
      <c r="FO29" s="15" t="str">
        <f>AND(Trans!G400,"AAAAAHf/t6o=")</f>
        <v>#VALUE!:noResult:No valid cells found for operation.</v>
      </c>
      <c r="FP29" s="15" t="str">
        <f>#REF!</f>
        <v>#VALUE!:noResult:No valid cells found for operation.</v>
      </c>
      <c r="FQ29" s="15" t="str">
        <f>AND(Trans!H400,"AAAAAHf/t6w=")</f>
        <v>#VALUE!:noResult:No valid cells found for operation.</v>
      </c>
      <c r="FR29" s="15" t="str">
        <f>#REF!</f>
        <v>#VALUE!:noResult:No valid cells found for operation.</v>
      </c>
      <c r="FS29" s="15" t="str">
        <f>#REF!</f>
        <v>#VALUE!:noResult:No valid cells found for operation.</v>
      </c>
      <c r="FT29" s="15" t="str">
        <f>#REF!</f>
        <v>#VALUE!:noResult:No valid cells found for operation.</v>
      </c>
      <c r="FU29" s="15" t="str">
        <f>#REF!</f>
        <v>#VALUE!:noResult:No valid cells found for operation.</v>
      </c>
      <c r="FV29" s="15" t="str">
        <f>#REF!</f>
        <v>#VALUE!:noResult:No valid cells found for operation.</v>
      </c>
      <c r="FW29" s="15" t="str">
        <f>#REF!</f>
        <v>#VALUE!:noResult:No valid cells found for operation.</v>
      </c>
      <c r="FX29" s="15">
        <f>IF(Trans!R[372],"AAAAAHf/t7M=",0)</f>
        <v>0</v>
      </c>
      <c r="FY29" s="15" t="b">
        <f>AND(Trans!A401,"AAAAAHf/t7Q=")</f>
        <v>1</v>
      </c>
      <c r="FZ29" s="15" t="str">
        <f>AND(Trans!B401,"AAAAAHf/t7U=")</f>
        <v>#VALUE!:noResult:No valid cells found for operation.</v>
      </c>
      <c r="GA29" s="15" t="b">
        <f>AND(Trans!C401,"AAAAAHf/t7Y=")</f>
        <v>1</v>
      </c>
      <c r="GB29" s="15" t="b">
        <f>AND(Trans!D401,"AAAAAHf/t7c=")</f>
        <v>1</v>
      </c>
      <c r="GC29" s="15" t="str">
        <f>AND(Trans!E401,"AAAAAHf/t7g=")</f>
        <v>#VALUE!:noResult:No valid cells found for operation.</v>
      </c>
      <c r="GD29" s="15" t="str">
        <f>AND(Trans!F401,"AAAAAHf/t7k=")</f>
        <v>#VALUE!:noResult:No valid cells found for operation.</v>
      </c>
      <c r="GE29" s="15" t="str">
        <f>AND(Trans!G401,"AAAAAHf/t7o=")</f>
        <v>#VALUE!:noResult:No valid cells found for operation.</v>
      </c>
      <c r="GF29" s="15" t="str">
        <f>#REF!</f>
        <v>#VALUE!:noResult:No valid cells found for operation.</v>
      </c>
      <c r="GG29" s="15" t="str">
        <f>AND(Trans!H401,"AAAAAHf/t7w=")</f>
        <v>#VALUE!:noResult:No valid cells found for operation.</v>
      </c>
      <c r="GH29" s="15" t="str">
        <f>#REF!</f>
        <v>#VALUE!:noResult:No valid cells found for operation.</v>
      </c>
      <c r="GI29" s="15" t="str">
        <f>#REF!</f>
        <v>#VALUE!:noResult:No valid cells found for operation.</v>
      </c>
      <c r="GJ29" s="15" t="str">
        <f>#REF!</f>
        <v>#VALUE!:noResult:No valid cells found for operation.</v>
      </c>
      <c r="GK29" s="15" t="str">
        <f>#REF!</f>
        <v>#VALUE!:noResult:No valid cells found for operation.</v>
      </c>
      <c r="GL29" s="15" t="str">
        <f>#REF!</f>
        <v>#VALUE!:noResult:No valid cells found for operation.</v>
      </c>
      <c r="GM29" s="15" t="str">
        <f>#REF!</f>
        <v>#VALUE!:noResult:No valid cells found for operation.</v>
      </c>
      <c r="GN29" s="15">
        <f>IF(Trans!R[373],"AAAAAHf/t8M=",0)</f>
        <v>0</v>
      </c>
      <c r="GO29" s="15" t="b">
        <f>AND(Trans!A402,"AAAAAHf/t8Q=")</f>
        <v>1</v>
      </c>
      <c r="GP29" s="15" t="str">
        <f>AND(Trans!B402,"AAAAAHf/t8U=")</f>
        <v>#VALUE!:noResult:No valid cells found for operation.</v>
      </c>
      <c r="GQ29" s="15" t="b">
        <f>AND(Trans!C402,"AAAAAHf/t8Y=")</f>
        <v>1</v>
      </c>
      <c r="GR29" s="15" t="b">
        <f>AND(Trans!D402,"AAAAAHf/t8c=")</f>
        <v>1</v>
      </c>
      <c r="GS29" s="15" t="str">
        <f>AND(Trans!E402,"AAAAAHf/t8g=")</f>
        <v>#VALUE!:noResult:No valid cells found for operation.</v>
      </c>
      <c r="GT29" s="15" t="str">
        <f>AND(Trans!F402,"AAAAAHf/t8k=")</f>
        <v>#VALUE!:noResult:No valid cells found for operation.</v>
      </c>
      <c r="GU29" s="15" t="str">
        <f>AND(Trans!G402,"AAAAAHf/t8o=")</f>
        <v>#VALUE!:noResult:No valid cells found for operation.</v>
      </c>
      <c r="GV29" s="15" t="str">
        <f>#REF!</f>
        <v>#VALUE!:noResult:No valid cells found for operation.</v>
      </c>
      <c r="GW29" s="15" t="str">
        <f>AND(Trans!H402,"AAAAAHf/t8w=")</f>
        <v>#VALUE!:noResult:No valid cells found for operation.</v>
      </c>
      <c r="GX29" s="15" t="str">
        <f>#REF!</f>
        <v>#VALUE!:noResult:No valid cells found for operation.</v>
      </c>
      <c r="GY29" s="15" t="str">
        <f>#REF!</f>
        <v>#VALUE!:noResult:No valid cells found for operation.</v>
      </c>
      <c r="GZ29" s="15" t="str">
        <f>#REF!</f>
        <v>#VALUE!:noResult:No valid cells found for operation.</v>
      </c>
      <c r="HA29" s="15" t="str">
        <f>#REF!</f>
        <v>#VALUE!:noResult:No valid cells found for operation.</v>
      </c>
      <c r="HB29" s="15" t="str">
        <f>#REF!</f>
        <v>#VALUE!:noResult:No valid cells found for operation.</v>
      </c>
      <c r="HC29" s="15" t="str">
        <f>#REF!</f>
        <v>#VALUE!:noResult:No valid cells found for operation.</v>
      </c>
      <c r="HD29" s="15">
        <f>IF(Trans!R[374],"AAAAAHf/t9M=",0)</f>
        <v>0</v>
      </c>
      <c r="HE29" s="15" t="b">
        <f>AND(Trans!A403,"AAAAAHf/t9Q=")</f>
        <v>1</v>
      </c>
      <c r="HF29" s="15" t="str">
        <f>AND(Trans!B403,"AAAAAHf/t9U=")</f>
        <v>#VALUE!:noResult:No valid cells found for operation.</v>
      </c>
      <c r="HG29" s="15" t="b">
        <f>AND(Trans!C403,"AAAAAHf/t9Y=")</f>
        <v>1</v>
      </c>
      <c r="HH29" s="15" t="b">
        <f>AND(Trans!D403,"AAAAAHf/t9c=")</f>
        <v>1</v>
      </c>
      <c r="HI29" s="15" t="str">
        <f>AND(Trans!E403,"AAAAAHf/t9g=")</f>
        <v>#VALUE!:noResult:No valid cells found for operation.</v>
      </c>
      <c r="HJ29" s="15" t="str">
        <f>AND(Trans!F403,"AAAAAHf/t9k=")</f>
        <v>#VALUE!:noResult:No valid cells found for operation.</v>
      </c>
      <c r="HK29" s="15" t="str">
        <f>AND(Trans!G403,"AAAAAHf/t9o=")</f>
        <v>#VALUE!:noResult:No valid cells found for operation.</v>
      </c>
      <c r="HL29" s="15" t="str">
        <f>#REF!</f>
        <v>#VALUE!:noResult:No valid cells found for operation.</v>
      </c>
      <c r="HM29" s="15" t="str">
        <f>AND(Trans!H403,"AAAAAHf/t9w=")</f>
        <v>#VALUE!:noResult:No valid cells found for operation.</v>
      </c>
      <c r="HN29" s="15" t="str">
        <f>#REF!</f>
        <v>#VALUE!:noResult:No valid cells found for operation.</v>
      </c>
      <c r="HO29" s="15" t="str">
        <f>#REF!</f>
        <v>#VALUE!:noResult:No valid cells found for operation.</v>
      </c>
      <c r="HP29" s="15" t="str">
        <f>#REF!</f>
        <v>#VALUE!:noResult:No valid cells found for operation.</v>
      </c>
      <c r="HQ29" s="15" t="str">
        <f>#REF!</f>
        <v>#VALUE!:noResult:No valid cells found for operation.</v>
      </c>
      <c r="HR29" s="15" t="str">
        <f>#REF!</f>
        <v>#VALUE!:noResult:No valid cells found for operation.</v>
      </c>
      <c r="HS29" s="15" t="str">
        <f>#REF!</f>
        <v>#VALUE!:noResult:No valid cells found for operation.</v>
      </c>
      <c r="HT29" s="15">
        <f>IF(Trans!R[375],"AAAAAHf/t+M=",0)</f>
        <v>0</v>
      </c>
      <c r="HU29" s="15" t="b">
        <f>AND(Trans!A404,"AAAAAHf/t+Q=")</f>
        <v>1</v>
      </c>
      <c r="HV29" s="15" t="str">
        <f>AND(Trans!B404,"AAAAAHf/t+U=")</f>
        <v>#VALUE!:noResult:No valid cells found for operation.</v>
      </c>
      <c r="HW29" s="15" t="b">
        <f>AND(Trans!C404,"AAAAAHf/t+Y=")</f>
        <v>1</v>
      </c>
      <c r="HX29" s="15" t="b">
        <f>AND(Trans!D404,"AAAAAHf/t+c=")</f>
        <v>1</v>
      </c>
      <c r="HY29" s="15" t="str">
        <f>AND(Trans!E404,"AAAAAHf/t+g=")</f>
        <v>#VALUE!:noResult:No valid cells found for operation.</v>
      </c>
      <c r="HZ29" s="15" t="str">
        <f>AND(Trans!F404,"AAAAAHf/t+k=")</f>
        <v>#VALUE!:noResult:No valid cells found for operation.</v>
      </c>
      <c r="IA29" s="15" t="str">
        <f>AND(Trans!G404,"AAAAAHf/t+o=")</f>
        <v>#VALUE!:noResult:No valid cells found for operation.</v>
      </c>
      <c r="IB29" s="15" t="str">
        <f>#REF!</f>
        <v>#VALUE!:noResult:No valid cells found for operation.</v>
      </c>
      <c r="IC29" s="15" t="str">
        <f>AND(Trans!H404,"AAAAAHf/t+w=")</f>
        <v>#VALUE!:noResult:No valid cells found for operation.</v>
      </c>
      <c r="ID29" s="15" t="str">
        <f>#REF!</f>
        <v>#VALUE!:noResult:No valid cells found for operation.</v>
      </c>
      <c r="IE29" s="15" t="str">
        <f>#REF!</f>
        <v>#VALUE!:noResult:No valid cells found for operation.</v>
      </c>
      <c r="IF29" s="15" t="str">
        <f>#REF!</f>
        <v>#VALUE!:noResult:No valid cells found for operation.</v>
      </c>
      <c r="IG29" s="15" t="str">
        <f>#REF!</f>
        <v>#VALUE!:noResult:No valid cells found for operation.</v>
      </c>
      <c r="IH29" s="15" t="str">
        <f>#REF!</f>
        <v>#VALUE!:noResult:No valid cells found for operation.</v>
      </c>
      <c r="II29" s="15" t="str">
        <f>#REF!</f>
        <v>#VALUE!:noResult:No valid cells found for operation.</v>
      </c>
      <c r="IJ29" s="15">
        <f>IF(Trans!R[376],"AAAAAHf/t/M=",0)</f>
        <v>0</v>
      </c>
      <c r="IK29" s="15" t="b">
        <f>AND(Trans!A405,"AAAAAHf/t/Q=")</f>
        <v>1</v>
      </c>
      <c r="IL29" s="15" t="str">
        <f>AND(Trans!B405,"AAAAAHf/t/U=")</f>
        <v>#VALUE!:noResult:No valid cells found for operation.</v>
      </c>
      <c r="IM29" s="15" t="b">
        <f>AND(Trans!C405,"AAAAAHf/t/Y=")</f>
        <v>1</v>
      </c>
      <c r="IN29" s="15" t="b">
        <f>AND(Trans!D405,"AAAAAHf/t/c=")</f>
        <v>1</v>
      </c>
      <c r="IO29" s="15" t="str">
        <f>AND(Trans!E405,"AAAAAHf/t/g=")</f>
        <v>#VALUE!:noResult:No valid cells found for operation.</v>
      </c>
      <c r="IP29" s="15" t="str">
        <f>AND(Trans!F405,"AAAAAHf/t/k=")</f>
        <v>#VALUE!:noResult:No valid cells found for operation.</v>
      </c>
      <c r="IQ29" s="15" t="str">
        <f>AND(Trans!G405,"AAAAAHf/t/o=")</f>
        <v>#VALUE!:noResult:No valid cells found for operation.</v>
      </c>
      <c r="IR29" s="15" t="str">
        <f>#REF!</f>
        <v>#VALUE!:noResult:No valid cells found for operation.</v>
      </c>
      <c r="IS29" s="15" t="str">
        <f>AND(Trans!H405,"AAAAAHf/t/w=")</f>
        <v>#VALUE!:noResult:No valid cells found for operation.</v>
      </c>
      <c r="IT29" s="15" t="str">
        <f>#REF!</f>
        <v>#VALUE!:noResult:No valid cells found for operation.</v>
      </c>
      <c r="IU29" s="15" t="str">
        <f>#REF!</f>
        <v>#VALUE!:noResult:No valid cells found for operation.</v>
      </c>
      <c r="IV29" s="15" t="str">
        <f>#REF!</f>
        <v>#VALUE!:noResult:No valid cells found for operation.</v>
      </c>
    </row>
    <row r="30">
      <c r="A30" s="15" t="str">
        <f>#REF!</f>
        <v>#VALUE!:noResult:No valid cells found for operation.</v>
      </c>
      <c r="B30" s="15" t="str">
        <f>#REF!</f>
        <v>#VALUE!:noResult:No valid cells found for operation.</v>
      </c>
      <c r="C30" s="15" t="str">
        <f>#REF!</f>
        <v>#VALUE!:noResult:No valid cells found for operation.</v>
      </c>
      <c r="D30" s="15" t="str">
        <f>IF(Trans!R[376],"AAAAAD//bwM=",0)</f>
        <v>AAAAAD//bwM=</v>
      </c>
      <c r="E30" s="15" t="b">
        <f>AND(Trans!A406,"AAAAAD//bwQ=")</f>
        <v>1</v>
      </c>
      <c r="F30" s="15" t="str">
        <f>AND(Trans!B406,"AAAAAD//bwU=")</f>
        <v>#VALUE!:noResult:No valid cells found for operation.</v>
      </c>
      <c r="G30" s="15" t="b">
        <f>AND(Trans!C406,"AAAAAD//bwY=")</f>
        <v>1</v>
      </c>
      <c r="H30" s="15" t="b">
        <f>AND(Trans!D406,"AAAAAD//bwc=")</f>
        <v>1</v>
      </c>
      <c r="I30" s="15" t="str">
        <f>AND(Trans!E406,"AAAAAD//bwg=")</f>
        <v>#VALUE!:noResult:No valid cells found for operation.</v>
      </c>
      <c r="J30" s="15" t="str">
        <f>AND(Trans!F406,"AAAAAD//bwk=")</f>
        <v>#VALUE!:noResult:No valid cells found for operation.</v>
      </c>
      <c r="K30" s="15" t="str">
        <f>AND(Trans!G406,"AAAAAD//bwo=")</f>
        <v>#VALUE!:noResult:No valid cells found for operation.</v>
      </c>
      <c r="L30" s="15" t="str">
        <f>#REF!</f>
        <v>#VALUE!:noResult:No valid cells found for operation.</v>
      </c>
      <c r="M30" s="15" t="str">
        <f>AND(Trans!H406,"AAAAAD//bww=")</f>
        <v>#VALUE!:noResult:No valid cells found for operation.</v>
      </c>
      <c r="N30" s="15" t="str">
        <f>#REF!</f>
        <v>#VALUE!:noResult:No valid cells found for operation.</v>
      </c>
      <c r="O30" s="15" t="str">
        <f>#REF!</f>
        <v>#VALUE!:noResult:No valid cells found for operation.</v>
      </c>
      <c r="P30" s="15" t="str">
        <f>#REF!</f>
        <v>#VALUE!:noResult:No valid cells found for operation.</v>
      </c>
      <c r="Q30" s="15" t="str">
        <f>#REF!</f>
        <v>#VALUE!:noResult:No valid cells found for operation.</v>
      </c>
      <c r="R30" s="15" t="str">
        <f>#REF!</f>
        <v>#VALUE!:noResult:No valid cells found for operation.</v>
      </c>
      <c r="S30" s="15" t="str">
        <f>#REF!</f>
        <v>#VALUE!:noResult:No valid cells found for operation.</v>
      </c>
      <c r="T30" s="15">
        <f>IF(Trans!R[377],"AAAAAD//bxM=",0)</f>
        <v>0</v>
      </c>
      <c r="U30" s="15" t="b">
        <f>AND(Trans!A407,"AAAAAD//bxQ=")</f>
        <v>1</v>
      </c>
      <c r="V30" s="15" t="str">
        <f>AND(Trans!B407,"AAAAAD//bxU=")</f>
        <v>#VALUE!:noResult:No valid cells found for operation.</v>
      </c>
      <c r="W30" s="15" t="b">
        <f>AND(Trans!C407,"AAAAAD//bxY=")</f>
        <v>1</v>
      </c>
      <c r="X30" s="15" t="b">
        <f>AND(Trans!D407,"AAAAAD//bxc=")</f>
        <v>1</v>
      </c>
      <c r="Y30" s="15" t="str">
        <f>AND(Trans!E407,"AAAAAD//bxg=")</f>
        <v>#VALUE!:noResult:No valid cells found for operation.</v>
      </c>
      <c r="Z30" s="15" t="str">
        <f>AND(Trans!F407,"AAAAAD//bxk=")</f>
        <v>#VALUE!:noResult:No valid cells found for operation.</v>
      </c>
      <c r="AA30" s="15" t="str">
        <f>AND(Trans!G407,"AAAAAD//bxo=")</f>
        <v>#VALUE!:noResult:No valid cells found for operation.</v>
      </c>
      <c r="AB30" s="15" t="str">
        <f>#REF!</f>
        <v>#VALUE!:noResult:No valid cells found for operation.</v>
      </c>
      <c r="AC30" s="15" t="str">
        <f>AND(Trans!H407,"AAAAAD//bxw=")</f>
        <v>#VALUE!:noResult:No valid cells found for operation.</v>
      </c>
      <c r="AD30" s="15" t="str">
        <f>#REF!</f>
        <v>#VALUE!:noResult:No valid cells found for operation.</v>
      </c>
      <c r="AE30" s="15" t="str">
        <f>#REF!</f>
        <v>#VALUE!:noResult:No valid cells found for operation.</v>
      </c>
      <c r="AF30" s="15" t="str">
        <f>#REF!</f>
        <v>#VALUE!:noResult:No valid cells found for operation.</v>
      </c>
      <c r="AG30" s="15" t="str">
        <f>#REF!</f>
        <v>#VALUE!:noResult:No valid cells found for operation.</v>
      </c>
      <c r="AH30" s="15" t="str">
        <f>#REF!</f>
        <v>#VALUE!:noResult:No valid cells found for operation.</v>
      </c>
      <c r="AI30" s="15" t="str">
        <f>#REF!</f>
        <v>#VALUE!:noResult:No valid cells found for operation.</v>
      </c>
      <c r="AJ30" s="15">
        <f>IF(Trans!R[378],"AAAAAD//byM=",0)</f>
        <v>0</v>
      </c>
      <c r="AK30" s="15" t="b">
        <f>AND(Trans!A408,"AAAAAD//byQ=")</f>
        <v>1</v>
      </c>
      <c r="AL30" s="15" t="str">
        <f>AND(Trans!B408,"AAAAAD//byU=")</f>
        <v>#VALUE!:noResult:No valid cells found for operation.</v>
      </c>
      <c r="AM30" s="15" t="b">
        <f>AND(Trans!C408,"AAAAAD//byY=")</f>
        <v>1</v>
      </c>
      <c r="AN30" s="15" t="b">
        <f>AND(Trans!D408,"AAAAAD//byc=")</f>
        <v>1</v>
      </c>
      <c r="AO30" s="15" t="str">
        <f>AND(Trans!E408,"AAAAAD//byg=")</f>
        <v>#VALUE!:noResult:No valid cells found for operation.</v>
      </c>
      <c r="AP30" s="15" t="str">
        <f>AND(Trans!F408,"AAAAAD//byk=")</f>
        <v>#VALUE!:noResult:No valid cells found for operation.</v>
      </c>
      <c r="AQ30" s="15" t="str">
        <f>AND(Trans!G408,"AAAAAD//byo=")</f>
        <v>#VALUE!:noResult:No valid cells found for operation.</v>
      </c>
      <c r="AR30" s="15" t="str">
        <f>#REF!</f>
        <v>#VALUE!:noResult:No valid cells found for operation.</v>
      </c>
      <c r="AS30" s="15" t="str">
        <f>AND(Trans!H408,"AAAAAD//byw=")</f>
        <v>#VALUE!:noResult:No valid cells found for operation.</v>
      </c>
      <c r="AT30" s="15" t="str">
        <f>#REF!</f>
        <v>#VALUE!:noResult:No valid cells found for operation.</v>
      </c>
      <c r="AU30" s="15" t="str">
        <f>#REF!</f>
        <v>#VALUE!:noResult:No valid cells found for operation.</v>
      </c>
      <c r="AV30" s="15" t="str">
        <f>#REF!</f>
        <v>#VALUE!:noResult:No valid cells found for operation.</v>
      </c>
      <c r="AW30" s="15" t="str">
        <f>#REF!</f>
        <v>#VALUE!:noResult:No valid cells found for operation.</v>
      </c>
      <c r="AX30" s="15" t="str">
        <f>#REF!</f>
        <v>#VALUE!:noResult:No valid cells found for operation.</v>
      </c>
      <c r="AY30" s="15" t="str">
        <f>#REF!</f>
        <v>#VALUE!:noResult:No valid cells found for operation.</v>
      </c>
      <c r="AZ30" s="15">
        <f>IF(Trans!R[379],"AAAAAD//bzM=",0)</f>
        <v>0</v>
      </c>
      <c r="BA30" s="15" t="b">
        <f>AND(Trans!A409,"AAAAAD//bzQ=")</f>
        <v>1</v>
      </c>
      <c r="BB30" s="15" t="str">
        <f>AND(Trans!B409,"AAAAAD//bzU=")</f>
        <v>#VALUE!:noResult:No valid cells found for operation.</v>
      </c>
      <c r="BC30" s="15" t="b">
        <f>AND(Trans!C409,"AAAAAD//bzY=")</f>
        <v>1</v>
      </c>
      <c r="BD30" s="15" t="b">
        <f>AND(Trans!D409,"AAAAAD//bzc=")</f>
        <v>1</v>
      </c>
      <c r="BE30" s="15" t="str">
        <f>AND(Trans!E409,"AAAAAD//bzg=")</f>
        <v>#VALUE!:noResult:No valid cells found for operation.</v>
      </c>
      <c r="BF30" s="15" t="str">
        <f>AND(Trans!F409,"AAAAAD//bzk=")</f>
        <v>#VALUE!:noResult:No valid cells found for operation.</v>
      </c>
      <c r="BG30" s="15" t="str">
        <f>AND(Trans!G409,"AAAAAD//bzo=")</f>
        <v>#VALUE!:noResult:No valid cells found for operation.</v>
      </c>
      <c r="BH30" s="15" t="str">
        <f>#REF!</f>
        <v>#VALUE!:noResult:No valid cells found for operation.</v>
      </c>
      <c r="BI30" s="15" t="str">
        <f>AND(Trans!H409,"AAAAAD//bzw=")</f>
        <v>#VALUE!:noResult:No valid cells found for operation.</v>
      </c>
      <c r="BJ30" s="15" t="str">
        <f>#REF!</f>
        <v>#VALUE!:noResult:No valid cells found for operation.</v>
      </c>
      <c r="BK30" s="15" t="str">
        <f>#REF!</f>
        <v>#VALUE!:noResult:No valid cells found for operation.</v>
      </c>
      <c r="BL30" s="15" t="str">
        <f>#REF!</f>
        <v>#VALUE!:noResult:No valid cells found for operation.</v>
      </c>
      <c r="BM30" s="15" t="str">
        <f>#REF!</f>
        <v>#VALUE!:noResult:No valid cells found for operation.</v>
      </c>
      <c r="BN30" s="15" t="str">
        <f>#REF!</f>
        <v>#VALUE!:noResult:No valid cells found for operation.</v>
      </c>
      <c r="BO30" s="15" t="str">
        <f>#REF!</f>
        <v>#VALUE!:noResult:No valid cells found for operation.</v>
      </c>
      <c r="BP30" s="15">
        <f>IF(Trans!R[380],"AAAAAD//b0M=",0)</f>
        <v>0</v>
      </c>
      <c r="BQ30" s="15" t="b">
        <f>AND(Trans!A410,"AAAAAD//b0Q=")</f>
        <v>1</v>
      </c>
      <c r="BR30" s="15" t="str">
        <f>AND(Trans!B410,"AAAAAD//b0U=")</f>
        <v>#VALUE!:noResult:No valid cells found for operation.</v>
      </c>
      <c r="BS30" s="15" t="b">
        <f>AND(Trans!C410,"AAAAAD//b0Y=")</f>
        <v>0</v>
      </c>
      <c r="BT30" s="15" t="str">
        <f>AND(Trans!D410,"AAAAAD//b0c=")</f>
        <v>#VALUE!:noResult:No valid cells found for operation.</v>
      </c>
      <c r="BU30" s="15" t="str">
        <f>AND(Trans!E410,"AAAAAD//b0g=")</f>
        <v>#VALUE!:noResult:No valid cells found for operation.</v>
      </c>
      <c r="BV30" s="15" t="str">
        <f>AND(Trans!F410,"AAAAAD//b0k=")</f>
        <v>#N/A:explicit</v>
      </c>
      <c r="BW30" s="15" t="str">
        <f>AND(Trans!G410,"AAAAAD//b0o=")</f>
        <v>#VALUE!:noResult:No valid cells found for operation.</v>
      </c>
      <c r="BX30" s="15" t="str">
        <f>#REF!</f>
        <v>#VALUE!:noResult:No valid cells found for operation.</v>
      </c>
      <c r="BY30" s="15" t="str">
        <f>AND(Trans!H410,"AAAAAD//b0w=")</f>
        <v>#VALUE!:noResult:No valid cells found for operation.</v>
      </c>
      <c r="BZ30" s="15" t="str">
        <f>#REF!</f>
        <v>#VALUE!:noResult:No valid cells found for operation.</v>
      </c>
      <c r="CA30" s="15" t="str">
        <f>#REF!</f>
        <v>#VALUE!:noResult:No valid cells found for operation.</v>
      </c>
      <c r="CB30" s="15" t="str">
        <f>#REF!</f>
        <v>#VALUE!:noResult:No valid cells found for operation.</v>
      </c>
      <c r="CC30" s="15" t="str">
        <f>#REF!</f>
        <v>#VALUE!:noResult:No valid cells found for operation.</v>
      </c>
      <c r="CD30" s="15" t="str">
        <f>#REF!</f>
        <v>#VALUE!:noResult:No valid cells found for operation.</v>
      </c>
      <c r="CE30" s="15" t="str">
        <f>#REF!</f>
        <v>#VALUE!:noResult:No valid cells found for operation.</v>
      </c>
      <c r="CF30" s="15">
        <f>IF(Trans!R[381],"AAAAAD//b1M=",0)</f>
        <v>0</v>
      </c>
      <c r="CG30" s="15" t="b">
        <f>AND(Trans!A411,"AAAAAD//b1Q=")</f>
        <v>1</v>
      </c>
      <c r="CH30" s="15" t="str">
        <f>AND(Trans!B411,"AAAAAD//b1U=")</f>
        <v>#VALUE!:noResult:No valid cells found for operation.</v>
      </c>
      <c r="CI30" s="15" t="b">
        <f>AND(Trans!C411,"AAAAAD//b1Y=")</f>
        <v>1</v>
      </c>
      <c r="CJ30" s="15" t="b">
        <f>AND(Trans!D411,"AAAAAD//b1c=")</f>
        <v>1</v>
      </c>
      <c r="CK30" s="15" t="str">
        <f>AND(Trans!E411,"AAAAAD//b1g=")</f>
        <v>#VALUE!:noResult:No valid cells found for operation.</v>
      </c>
      <c r="CL30" s="15" t="str">
        <f>AND(Trans!F411,"AAAAAD//b1k=")</f>
        <v>#VALUE!:noResult:No valid cells found for operation.</v>
      </c>
      <c r="CM30" s="15" t="str">
        <f>AND(Trans!G411,"AAAAAD//b1o=")</f>
        <v>#VALUE!:noResult:No valid cells found for operation.</v>
      </c>
      <c r="CN30" s="15" t="str">
        <f>#REF!</f>
        <v>#VALUE!:noResult:No valid cells found for operation.</v>
      </c>
      <c r="CO30" s="15" t="str">
        <f>AND(Trans!H411,"AAAAAD//b1w=")</f>
        <v>#VALUE!:noResult:No valid cells found for operation.</v>
      </c>
      <c r="CP30" s="15" t="str">
        <f>#REF!</f>
        <v>#VALUE!:noResult:No valid cells found for operation.</v>
      </c>
      <c r="CQ30" s="15" t="str">
        <f>#REF!</f>
        <v>#VALUE!:noResult:No valid cells found for operation.</v>
      </c>
      <c r="CR30" s="15" t="str">
        <f>#REF!</f>
        <v>#VALUE!:noResult:No valid cells found for operation.</v>
      </c>
      <c r="CS30" s="15" t="str">
        <f>#REF!</f>
        <v>#VALUE!:noResult:No valid cells found for operation.</v>
      </c>
      <c r="CT30" s="15" t="str">
        <f>#REF!</f>
        <v>#VALUE!:noResult:No valid cells found for operation.</v>
      </c>
      <c r="CU30" s="15" t="str">
        <f>#REF!</f>
        <v>#VALUE!:noResult:No valid cells found for operation.</v>
      </c>
      <c r="CV30" s="15">
        <f>IF(Trans!R[382],"AAAAAD//b2M=",0)</f>
        <v>0</v>
      </c>
      <c r="CW30" s="15" t="b">
        <f>AND(Trans!A412,"AAAAAD//b2Q=")</f>
        <v>1</v>
      </c>
      <c r="CX30" s="15" t="str">
        <f>AND(Trans!B412,"AAAAAD//b2U=")</f>
        <v>#VALUE!:noResult:No valid cells found for operation.</v>
      </c>
      <c r="CY30" s="15" t="b">
        <f>AND(Trans!C412,"AAAAAD//b2Y=")</f>
        <v>1</v>
      </c>
      <c r="CZ30" s="15" t="b">
        <f>AND(Trans!D412,"AAAAAD//b2c=")</f>
        <v>1</v>
      </c>
      <c r="DA30" s="15" t="str">
        <f>AND(Trans!E412,"AAAAAD//b2g=")</f>
        <v>#VALUE!:noResult:No valid cells found for operation.</v>
      </c>
      <c r="DB30" s="15" t="str">
        <f>AND(Trans!F412,"AAAAAD//b2k=")</f>
        <v>#VALUE!:noResult:No valid cells found for operation.</v>
      </c>
      <c r="DC30" s="15" t="str">
        <f>AND(Trans!G412,"AAAAAD//b2o=")</f>
        <v>#VALUE!:noResult:No valid cells found for operation.</v>
      </c>
      <c r="DD30" s="15" t="str">
        <f>#REF!</f>
        <v>#VALUE!:noResult:No valid cells found for operation.</v>
      </c>
      <c r="DE30" s="15" t="str">
        <f>AND(Trans!H412,"AAAAAD//b2w=")</f>
        <v>#VALUE!:noResult:No valid cells found for operation.</v>
      </c>
      <c r="DF30" s="15" t="str">
        <f>#REF!</f>
        <v>#VALUE!:noResult:No valid cells found for operation.</v>
      </c>
      <c r="DG30" s="15" t="str">
        <f>#REF!</f>
        <v>#VALUE!:noResult:No valid cells found for operation.</v>
      </c>
      <c r="DH30" s="15" t="str">
        <f>#REF!</f>
        <v>#VALUE!:noResult:No valid cells found for operation.</v>
      </c>
      <c r="DI30" s="15" t="str">
        <f>#REF!</f>
        <v>#VALUE!:noResult:No valid cells found for operation.</v>
      </c>
      <c r="DJ30" s="15" t="str">
        <f>#REF!</f>
        <v>#VALUE!:noResult:No valid cells found for operation.</v>
      </c>
      <c r="DK30" s="15" t="str">
        <f>#REF!</f>
        <v>#VALUE!:noResult:No valid cells found for operation.</v>
      </c>
      <c r="DL30" s="15">
        <f>IF(Trans!R[383],"AAAAAD//b3M=",0)</f>
        <v>0</v>
      </c>
      <c r="DM30" s="15" t="b">
        <f>AND(Trans!A413,"AAAAAD//b3Q=")</f>
        <v>1</v>
      </c>
      <c r="DN30" s="15" t="str">
        <f>AND(Trans!B413,"AAAAAD//b3U=")</f>
        <v>#VALUE!:noResult:No valid cells found for operation.</v>
      </c>
      <c r="DO30" s="15" t="b">
        <f>AND(Trans!C413,"AAAAAD//b3Y=")</f>
        <v>1</v>
      </c>
      <c r="DP30" s="15" t="b">
        <f>AND(Trans!D413,"AAAAAD//b3c=")</f>
        <v>1</v>
      </c>
      <c r="DQ30" s="15" t="str">
        <f>AND(Trans!E413,"AAAAAD//b3g=")</f>
        <v>#VALUE!:noResult:No valid cells found for operation.</v>
      </c>
      <c r="DR30" s="15" t="str">
        <f>AND(Trans!F413,"AAAAAD//b3k=")</f>
        <v>#VALUE!:noResult:No valid cells found for operation.</v>
      </c>
      <c r="DS30" s="15" t="str">
        <f>AND(Trans!G413,"AAAAAD//b3o=")</f>
        <v>#VALUE!:noResult:No valid cells found for operation.</v>
      </c>
      <c r="DT30" s="15" t="str">
        <f>#REF!</f>
        <v>#VALUE!:noResult:No valid cells found for operation.</v>
      </c>
      <c r="DU30" s="15" t="str">
        <f>AND(Trans!H413,"AAAAAD//b3w=")</f>
        <v>#VALUE!:noResult:No valid cells found for operation.</v>
      </c>
      <c r="DV30" s="15" t="str">
        <f>#REF!</f>
        <v>#VALUE!:noResult:No valid cells found for operation.</v>
      </c>
      <c r="DW30" s="15" t="str">
        <f>#REF!</f>
        <v>#VALUE!:noResult:No valid cells found for operation.</v>
      </c>
      <c r="DX30" s="15" t="str">
        <f>#REF!</f>
        <v>#VALUE!:noResult:No valid cells found for operation.</v>
      </c>
      <c r="DY30" s="15" t="str">
        <f>#REF!</f>
        <v>#VALUE!:noResult:No valid cells found for operation.</v>
      </c>
      <c r="DZ30" s="15" t="str">
        <f>#REF!</f>
        <v>#VALUE!:noResult:No valid cells found for operation.</v>
      </c>
      <c r="EA30" s="15" t="str">
        <f>#REF!</f>
        <v>#VALUE!:noResult:No valid cells found for operation.</v>
      </c>
      <c r="EB30" s="15">
        <f>IF(Trans!R[384],"AAAAAD//b4M=",0)</f>
        <v>0</v>
      </c>
      <c r="EC30" s="15" t="b">
        <f>AND(Trans!A414,"AAAAAD//b4Q=")</f>
        <v>1</v>
      </c>
      <c r="ED30" s="15" t="str">
        <f>AND(Trans!B414,"AAAAAD//b4U=")</f>
        <v>#VALUE!:noResult:No valid cells found for operation.</v>
      </c>
      <c r="EE30" s="15" t="b">
        <f>AND(Trans!C414,"AAAAAD//b4Y=")</f>
        <v>1</v>
      </c>
      <c r="EF30" s="15" t="b">
        <f>AND(Trans!D414,"AAAAAD//b4c=")</f>
        <v>1</v>
      </c>
      <c r="EG30" s="15" t="str">
        <f>AND(Trans!E414,"AAAAAD//b4g=")</f>
        <v>#VALUE!:noResult:No valid cells found for operation.</v>
      </c>
      <c r="EH30" s="15" t="str">
        <f>AND(Trans!F414,"AAAAAD//b4k=")</f>
        <v>#VALUE!:noResult:No valid cells found for operation.</v>
      </c>
      <c r="EI30" s="15" t="str">
        <f>AND(Trans!G414,"AAAAAD//b4o=")</f>
        <v>#VALUE!:noResult:No valid cells found for operation.</v>
      </c>
      <c r="EJ30" s="15" t="str">
        <f>#REF!</f>
        <v>#VALUE!:noResult:No valid cells found for operation.</v>
      </c>
      <c r="EK30" s="15" t="str">
        <f>AND(Trans!H414,"AAAAAD//b4w=")</f>
        <v>#VALUE!:noResult:No valid cells found for operation.</v>
      </c>
      <c r="EL30" s="15" t="str">
        <f>#REF!</f>
        <v>#VALUE!:noResult:No valid cells found for operation.</v>
      </c>
      <c r="EM30" s="15" t="str">
        <f>#REF!</f>
        <v>#VALUE!:noResult:No valid cells found for operation.</v>
      </c>
      <c r="EN30" s="15" t="str">
        <f>#REF!</f>
        <v>#VALUE!:noResult:No valid cells found for operation.</v>
      </c>
      <c r="EO30" s="15" t="str">
        <f>#REF!</f>
        <v>#VALUE!:noResult:No valid cells found for operation.</v>
      </c>
      <c r="EP30" s="15" t="str">
        <f>#REF!</f>
        <v>#VALUE!:noResult:No valid cells found for operation.</v>
      </c>
      <c r="EQ30" s="15" t="str">
        <f>#REF!</f>
        <v>#VALUE!:noResult:No valid cells found for operation.</v>
      </c>
      <c r="ER30" s="15">
        <f>IF(Trans!R[385],"AAAAAD//b5M=",0)</f>
        <v>0</v>
      </c>
      <c r="ES30" s="15" t="b">
        <f>AND(Trans!A415,"AAAAAD//b5Q=")</f>
        <v>1</v>
      </c>
      <c r="ET30" s="15" t="str">
        <f>AND(Trans!B415,"AAAAAD//b5U=")</f>
        <v>#VALUE!:noResult:No valid cells found for operation.</v>
      </c>
      <c r="EU30" s="15" t="b">
        <f>AND(Trans!C415,"AAAAAD//b5Y=")</f>
        <v>1</v>
      </c>
      <c r="EV30" s="15" t="b">
        <f>AND(Trans!D415,"AAAAAD//b5c=")</f>
        <v>1</v>
      </c>
      <c r="EW30" s="15" t="str">
        <f>AND(Trans!E415,"AAAAAD//b5g=")</f>
        <v>#VALUE!:noResult:No valid cells found for operation.</v>
      </c>
      <c r="EX30" s="15" t="str">
        <f>AND(Trans!F415,"AAAAAD//b5k=")</f>
        <v>#VALUE!:noResult:No valid cells found for operation.</v>
      </c>
      <c r="EY30" s="15" t="str">
        <f>AND(Trans!G415,"AAAAAD//b5o=")</f>
        <v>#VALUE!:noResult:No valid cells found for operation.</v>
      </c>
      <c r="EZ30" s="15" t="str">
        <f>#REF!</f>
        <v>#VALUE!:noResult:No valid cells found for operation.</v>
      </c>
      <c r="FA30" s="15" t="str">
        <f>AND(Trans!H415,"AAAAAD//b5w=")</f>
        <v>#VALUE!:noResult:No valid cells found for operation.</v>
      </c>
      <c r="FB30" s="15" t="str">
        <f>#REF!</f>
        <v>#VALUE!:noResult:No valid cells found for operation.</v>
      </c>
      <c r="FC30" s="15" t="str">
        <f>#REF!</f>
        <v>#VALUE!:noResult:No valid cells found for operation.</v>
      </c>
      <c r="FD30" s="15" t="str">
        <f>#REF!</f>
        <v>#VALUE!:noResult:No valid cells found for operation.</v>
      </c>
      <c r="FE30" s="15" t="str">
        <f>#REF!</f>
        <v>#VALUE!:noResult:No valid cells found for operation.</v>
      </c>
      <c r="FF30" s="15" t="str">
        <f>#REF!</f>
        <v>#VALUE!:noResult:No valid cells found for operation.</v>
      </c>
      <c r="FG30" s="15" t="str">
        <f>#REF!</f>
        <v>#VALUE!:noResult:No valid cells found for operation.</v>
      </c>
      <c r="FH30" s="15">
        <f>IF(Trans!R[386],"AAAAAD//b6M=",0)</f>
        <v>0</v>
      </c>
      <c r="FI30" s="15" t="b">
        <f>AND(Trans!A416,"AAAAAD//b6Q=")</f>
        <v>1</v>
      </c>
      <c r="FJ30" s="15" t="str">
        <f>AND(Trans!B416,"AAAAAD//b6U=")</f>
        <v>#VALUE!:noResult:No valid cells found for operation.</v>
      </c>
      <c r="FK30" s="15" t="b">
        <f>AND(Trans!C416,"AAAAAD//b6Y=")</f>
        <v>1</v>
      </c>
      <c r="FL30" s="15" t="b">
        <f>AND(Trans!D416,"AAAAAD//b6c=")</f>
        <v>1</v>
      </c>
      <c r="FM30" s="15" t="str">
        <f>AND(Trans!E416,"AAAAAD//b6g=")</f>
        <v>#VALUE!:noResult:No valid cells found for operation.</v>
      </c>
      <c r="FN30" s="15" t="str">
        <f>AND(Trans!F416,"AAAAAD//b6k=")</f>
        <v>#VALUE!:noResult:No valid cells found for operation.</v>
      </c>
      <c r="FO30" s="15" t="str">
        <f>AND(Trans!G416,"AAAAAD//b6o=")</f>
        <v>#VALUE!:noResult:No valid cells found for operation.</v>
      </c>
      <c r="FP30" s="15" t="str">
        <f>#REF!</f>
        <v>#VALUE!:noResult:No valid cells found for operation.</v>
      </c>
      <c r="FQ30" s="15" t="str">
        <f>AND(Trans!H416,"AAAAAD//b6w=")</f>
        <v>#VALUE!:noResult:No valid cells found for operation.</v>
      </c>
      <c r="FR30" s="15" t="str">
        <f>#REF!</f>
        <v>#VALUE!:noResult:No valid cells found for operation.</v>
      </c>
      <c r="FS30" s="15" t="str">
        <f>#REF!</f>
        <v>#VALUE!:noResult:No valid cells found for operation.</v>
      </c>
      <c r="FT30" s="15" t="str">
        <f>#REF!</f>
        <v>#VALUE!:noResult:No valid cells found for operation.</v>
      </c>
      <c r="FU30" s="15" t="str">
        <f>#REF!</f>
        <v>#VALUE!:noResult:No valid cells found for operation.</v>
      </c>
      <c r="FV30" s="15" t="str">
        <f>#REF!</f>
        <v>#VALUE!:noResult:No valid cells found for operation.</v>
      </c>
      <c r="FW30" s="15" t="str">
        <f>#REF!</f>
        <v>#VALUE!:noResult:No valid cells found for operation.</v>
      </c>
      <c r="FX30" s="15">
        <f>IF(Trans!R[387],"AAAAAD//b7M=",0)</f>
        <v>0</v>
      </c>
      <c r="FY30" s="15" t="b">
        <f>AND(Trans!A417,"AAAAAD//b7Q=")</f>
        <v>1</v>
      </c>
      <c r="FZ30" s="15" t="str">
        <f>AND(Trans!B417,"AAAAAD//b7U=")</f>
        <v>#VALUE!:noResult:No valid cells found for operation.</v>
      </c>
      <c r="GA30" s="15" t="b">
        <f>AND(Trans!C417,"AAAAAD//b7Y=")</f>
        <v>1</v>
      </c>
      <c r="GB30" s="15" t="b">
        <f>AND(Trans!D417,"AAAAAD//b7c=")</f>
        <v>1</v>
      </c>
      <c r="GC30" s="15" t="str">
        <f>AND(Trans!E417,"AAAAAD//b7g=")</f>
        <v>#VALUE!:noResult:No valid cells found for operation.</v>
      </c>
      <c r="GD30" s="15" t="str">
        <f>AND(Trans!F417,"AAAAAD//b7k=")</f>
        <v>#VALUE!:noResult:No valid cells found for operation.</v>
      </c>
      <c r="GE30" s="15" t="str">
        <f>AND(Trans!G417,"AAAAAD//b7o=")</f>
        <v>#VALUE!:noResult:No valid cells found for operation.</v>
      </c>
      <c r="GF30" s="15" t="str">
        <f>#REF!</f>
        <v>#VALUE!:noResult:No valid cells found for operation.</v>
      </c>
      <c r="GG30" s="15" t="str">
        <f>AND(Trans!H417,"AAAAAD//b7w=")</f>
        <v>#VALUE!:noResult:No valid cells found for operation.</v>
      </c>
      <c r="GH30" s="15" t="str">
        <f>#REF!</f>
        <v>#VALUE!:noResult:No valid cells found for operation.</v>
      </c>
      <c r="GI30" s="15" t="str">
        <f>#REF!</f>
        <v>#VALUE!:noResult:No valid cells found for operation.</v>
      </c>
      <c r="GJ30" s="15" t="str">
        <f>#REF!</f>
        <v>#VALUE!:noResult:No valid cells found for operation.</v>
      </c>
      <c r="GK30" s="15" t="str">
        <f>#REF!</f>
        <v>#VALUE!:noResult:No valid cells found for operation.</v>
      </c>
      <c r="GL30" s="15" t="str">
        <f>#REF!</f>
        <v>#VALUE!:noResult:No valid cells found for operation.</v>
      </c>
      <c r="GM30" s="15" t="str">
        <f>#REF!</f>
        <v>#VALUE!:noResult:No valid cells found for operation.</v>
      </c>
      <c r="GN30" s="15">
        <f>IF(Trans!R[388],"AAAAAD//b8M=",0)</f>
        <v>0</v>
      </c>
      <c r="GO30" s="15" t="b">
        <f>AND(Trans!A418,"AAAAAD//b8Q=")</f>
        <v>1</v>
      </c>
      <c r="GP30" s="15" t="str">
        <f>AND(Trans!B418,"AAAAAD//b8U=")</f>
        <v>#VALUE!:noResult:No valid cells found for operation.</v>
      </c>
      <c r="GQ30" s="15" t="b">
        <f>AND(Trans!C418,"AAAAAD//b8Y=")</f>
        <v>1</v>
      </c>
      <c r="GR30" s="15" t="b">
        <f>AND(Trans!D418,"AAAAAD//b8c=")</f>
        <v>1</v>
      </c>
      <c r="GS30" s="15" t="str">
        <f>AND(Trans!E418,"AAAAAD//b8g=")</f>
        <v>#VALUE!:noResult:No valid cells found for operation.</v>
      </c>
      <c r="GT30" s="15" t="str">
        <f>AND(Trans!F418,"AAAAAD//b8k=")</f>
        <v>#VALUE!:noResult:No valid cells found for operation.</v>
      </c>
      <c r="GU30" s="15" t="str">
        <f>AND(Trans!G418,"AAAAAD//b8o=")</f>
        <v>#VALUE!:noResult:No valid cells found for operation.</v>
      </c>
      <c r="GV30" s="15" t="str">
        <f>#REF!</f>
        <v>#VALUE!:noResult:No valid cells found for operation.</v>
      </c>
      <c r="GW30" s="15" t="str">
        <f>AND(Trans!H418,"AAAAAD//b8w=")</f>
        <v>#VALUE!:noResult:No valid cells found for operation.</v>
      </c>
      <c r="GX30" s="15" t="str">
        <f>#REF!</f>
        <v>#VALUE!:noResult:No valid cells found for operation.</v>
      </c>
      <c r="GY30" s="15" t="str">
        <f>#REF!</f>
        <v>#VALUE!:noResult:No valid cells found for operation.</v>
      </c>
      <c r="GZ30" s="15" t="str">
        <f>#REF!</f>
        <v>#VALUE!:noResult:No valid cells found for operation.</v>
      </c>
      <c r="HA30" s="15" t="str">
        <f>#REF!</f>
        <v>#VALUE!:noResult:No valid cells found for operation.</v>
      </c>
      <c r="HB30" s="15" t="str">
        <f>#REF!</f>
        <v>#VALUE!:noResult:No valid cells found for operation.</v>
      </c>
      <c r="HC30" s="15" t="str">
        <f>#REF!</f>
        <v>#VALUE!:noResult:No valid cells found for operation.</v>
      </c>
      <c r="HD30" s="15">
        <f>IF(Trans!R[389],"AAAAAD//b9M=",0)</f>
        <v>0</v>
      </c>
      <c r="HE30" s="15" t="b">
        <f>AND(Trans!A419,"AAAAAD//b9Q=")</f>
        <v>1</v>
      </c>
      <c r="HF30" s="15" t="str">
        <f>AND(Trans!B419,"AAAAAD//b9U=")</f>
        <v>#VALUE!:noResult:No valid cells found for operation.</v>
      </c>
      <c r="HG30" s="15" t="b">
        <f>AND(Trans!C419,"AAAAAD//b9Y=")</f>
        <v>1</v>
      </c>
      <c r="HH30" s="15" t="b">
        <f>AND(Trans!D419,"AAAAAD//b9c=")</f>
        <v>1</v>
      </c>
      <c r="HI30" s="15" t="str">
        <f>AND(Trans!E419,"AAAAAD//b9g=")</f>
        <v>#VALUE!:noResult:No valid cells found for operation.</v>
      </c>
      <c r="HJ30" s="15" t="str">
        <f>AND(Trans!F419,"AAAAAD//b9k=")</f>
        <v>#VALUE!:noResult:No valid cells found for operation.</v>
      </c>
      <c r="HK30" s="15" t="str">
        <f>AND(Trans!G419,"AAAAAD//b9o=")</f>
        <v>#VALUE!:noResult:No valid cells found for operation.</v>
      </c>
      <c r="HL30" s="15" t="str">
        <f>#REF!</f>
        <v>#VALUE!:noResult:No valid cells found for operation.</v>
      </c>
      <c r="HM30" s="15" t="str">
        <f>AND(Trans!H419,"AAAAAD//b9w=")</f>
        <v>#VALUE!:noResult:No valid cells found for operation.</v>
      </c>
      <c r="HN30" s="15" t="str">
        <f>#REF!</f>
        <v>#VALUE!:noResult:No valid cells found for operation.</v>
      </c>
      <c r="HO30" s="15" t="str">
        <f>#REF!</f>
        <v>#VALUE!:noResult:No valid cells found for operation.</v>
      </c>
      <c r="HP30" s="15" t="str">
        <f>#REF!</f>
        <v>#VALUE!:noResult:No valid cells found for operation.</v>
      </c>
      <c r="HQ30" s="15" t="str">
        <f>#REF!</f>
        <v>#VALUE!:noResult:No valid cells found for operation.</v>
      </c>
      <c r="HR30" s="15" t="str">
        <f>#REF!</f>
        <v>#VALUE!:noResult:No valid cells found for operation.</v>
      </c>
      <c r="HS30" s="15" t="str">
        <f>#REF!</f>
        <v>#VALUE!:noResult:No valid cells found for operation.</v>
      </c>
      <c r="HT30" s="15">
        <f>IF(Trans!R[390],"AAAAAD//b+M=",0)</f>
        <v>0</v>
      </c>
      <c r="HU30" s="15" t="b">
        <f>AND(Trans!A420,"AAAAAD//b+Q=")</f>
        <v>1</v>
      </c>
      <c r="HV30" s="15" t="str">
        <f>AND(Trans!B420,"AAAAAD//b+U=")</f>
        <v>#VALUE!:noResult:No valid cells found for operation.</v>
      </c>
      <c r="HW30" s="15" t="b">
        <f>AND(Trans!C420,"AAAAAD//b+Y=")</f>
        <v>1</v>
      </c>
      <c r="HX30" s="15" t="b">
        <f>AND(Trans!D420,"AAAAAD//b+c=")</f>
        <v>1</v>
      </c>
      <c r="HY30" s="15" t="str">
        <f>AND(Trans!E420,"AAAAAD//b+g=")</f>
        <v>#VALUE!:noResult:No valid cells found for operation.</v>
      </c>
      <c r="HZ30" s="15" t="str">
        <f>AND(Trans!F420,"AAAAAD//b+k=")</f>
        <v>#VALUE!:noResult:No valid cells found for operation.</v>
      </c>
      <c r="IA30" s="15" t="str">
        <f>AND(Trans!G420,"AAAAAD//b+o=")</f>
        <v>#VALUE!:noResult:No valid cells found for operation.</v>
      </c>
      <c r="IB30" s="15" t="str">
        <f>#REF!</f>
        <v>#VALUE!:noResult:No valid cells found for operation.</v>
      </c>
      <c r="IC30" s="15" t="str">
        <f>AND(Trans!H420,"AAAAAD//b+w=")</f>
        <v>#VALUE!:noResult:No valid cells found for operation.</v>
      </c>
      <c r="ID30" s="15" t="str">
        <f>#REF!</f>
        <v>#VALUE!:noResult:No valid cells found for operation.</v>
      </c>
      <c r="IE30" s="15" t="str">
        <f>#REF!</f>
        <v>#VALUE!:noResult:No valid cells found for operation.</v>
      </c>
      <c r="IF30" s="15" t="str">
        <f>#REF!</f>
        <v>#VALUE!:noResult:No valid cells found for operation.</v>
      </c>
      <c r="IG30" s="15" t="str">
        <f>#REF!</f>
        <v>#VALUE!:noResult:No valid cells found for operation.</v>
      </c>
      <c r="IH30" s="15" t="str">
        <f>#REF!</f>
        <v>#VALUE!:noResult:No valid cells found for operation.</v>
      </c>
      <c r="II30" s="15" t="str">
        <f>#REF!</f>
        <v>#VALUE!:noResult:No valid cells found for operation.</v>
      </c>
      <c r="IJ30" s="15">
        <f>IF(Trans!R[391],"AAAAAD//b/M=",0)</f>
        <v>0</v>
      </c>
      <c r="IK30" s="15" t="b">
        <f>AND(Trans!A421,"AAAAAD//b/Q=")</f>
        <v>1</v>
      </c>
      <c r="IL30" s="15" t="str">
        <f>AND(Trans!B421,"AAAAAD//b/U=")</f>
        <v>#VALUE!:noResult:No valid cells found for operation.</v>
      </c>
      <c r="IM30" s="15" t="b">
        <f>AND(Trans!C421,"AAAAAD//b/Y=")</f>
        <v>1</v>
      </c>
      <c r="IN30" s="15" t="b">
        <f>AND(Trans!D421,"AAAAAD//b/c=")</f>
        <v>1</v>
      </c>
      <c r="IO30" s="15" t="str">
        <f>AND(Trans!E421,"AAAAAD//b/g=")</f>
        <v>#VALUE!:noResult:No valid cells found for operation.</v>
      </c>
      <c r="IP30" s="15" t="str">
        <f>AND(Trans!F421,"AAAAAD//b/k=")</f>
        <v>#VALUE!:noResult:No valid cells found for operation.</v>
      </c>
      <c r="IQ30" s="15" t="str">
        <f>AND(Trans!G421,"AAAAAD//b/o=")</f>
        <v>#VALUE!:noResult:No valid cells found for operation.</v>
      </c>
      <c r="IR30" s="15" t="str">
        <f>#REF!</f>
        <v>#VALUE!:noResult:No valid cells found for operation.</v>
      </c>
      <c r="IS30" s="15" t="str">
        <f>AND(Trans!H421,"AAAAAD//b/w=")</f>
        <v>#VALUE!:noResult:No valid cells found for operation.</v>
      </c>
      <c r="IT30" s="15" t="str">
        <f>#REF!</f>
        <v>#VALUE!:noResult:No valid cells found for operation.</v>
      </c>
      <c r="IU30" s="15" t="str">
        <f>#REF!</f>
        <v>#VALUE!:noResult:No valid cells found for operation.</v>
      </c>
      <c r="IV30" s="15" t="str">
        <f>#REF!</f>
        <v>#VALUE!:noResult:No valid cells found for operation.</v>
      </c>
    </row>
    <row r="31">
      <c r="A31" s="15" t="str">
        <f>#REF!</f>
        <v>#VALUE!:noResult:No valid cells found for operation.</v>
      </c>
      <c r="B31" s="15" t="str">
        <f>#REF!</f>
        <v>#VALUE!:noResult:No valid cells found for operation.</v>
      </c>
      <c r="C31" s="15" t="str">
        <f>#REF!</f>
        <v>#VALUE!:noResult:No valid cells found for operation.</v>
      </c>
      <c r="D31" s="15" t="str">
        <f>IF(Trans!R[391],"AAAAAH+93wM=",0)</f>
        <v>AAAAAH+93wM=</v>
      </c>
      <c r="E31" s="15" t="b">
        <f>AND(Trans!A422,"AAAAAH+93wQ=")</f>
        <v>1</v>
      </c>
      <c r="F31" s="15" t="str">
        <f>AND(Trans!B422,"AAAAAH+93wU=")</f>
        <v>#VALUE!:noResult:No valid cells found for operation.</v>
      </c>
      <c r="G31" s="15" t="b">
        <f>AND(Trans!C422,"AAAAAH+93wY=")</f>
        <v>1</v>
      </c>
      <c r="H31" s="15" t="b">
        <f>AND(Trans!D422,"AAAAAH+93wc=")</f>
        <v>1</v>
      </c>
      <c r="I31" s="15" t="str">
        <f>AND(Trans!E422,"AAAAAH+93wg=")</f>
        <v>#VALUE!:noResult:No valid cells found for operation.</v>
      </c>
      <c r="J31" s="15" t="str">
        <f>AND(Trans!F422,"AAAAAH+93wk=")</f>
        <v>#VALUE!:noResult:No valid cells found for operation.</v>
      </c>
      <c r="K31" s="15" t="str">
        <f>AND(Trans!G422,"AAAAAH+93wo=")</f>
        <v>#VALUE!:noResult:No valid cells found for operation.</v>
      </c>
      <c r="L31" s="15" t="str">
        <f>#REF!</f>
        <v>#VALUE!:noResult:No valid cells found for operation.</v>
      </c>
      <c r="M31" s="15" t="str">
        <f>AND(Trans!H422,"AAAAAH+93ww=")</f>
        <v>#VALUE!:noResult:No valid cells found for operation.</v>
      </c>
      <c r="N31" s="15" t="str">
        <f>#REF!</f>
        <v>#VALUE!:noResult:No valid cells found for operation.</v>
      </c>
      <c r="O31" s="15" t="str">
        <f>#REF!</f>
        <v>#VALUE!:noResult:No valid cells found for operation.</v>
      </c>
      <c r="P31" s="15" t="str">
        <f>#REF!</f>
        <v>#VALUE!:noResult:No valid cells found for operation.</v>
      </c>
      <c r="Q31" s="15" t="str">
        <f>#REF!</f>
        <v>#VALUE!:noResult:No valid cells found for operation.</v>
      </c>
      <c r="R31" s="15" t="str">
        <f>#REF!</f>
        <v>#VALUE!:noResult:No valid cells found for operation.</v>
      </c>
      <c r="S31" s="15" t="str">
        <f>#REF!</f>
        <v>#VALUE!:noResult:No valid cells found for operation.</v>
      </c>
      <c r="T31" s="15">
        <f>IF(Trans!R[392],"AAAAAH+93xM=",0)</f>
        <v>0</v>
      </c>
      <c r="U31" s="15" t="b">
        <f>AND(Trans!A423,"AAAAAH+93xQ=")</f>
        <v>1</v>
      </c>
      <c r="V31" s="15" t="str">
        <f>AND(Trans!B423,"AAAAAH+93xU=")</f>
        <v>#VALUE!:noResult:No valid cells found for operation.</v>
      </c>
      <c r="W31" s="15" t="b">
        <f>AND(Trans!C423,"AAAAAH+93xY=")</f>
        <v>1</v>
      </c>
      <c r="X31" s="15" t="b">
        <f>AND(Trans!D423,"AAAAAH+93xc=")</f>
        <v>1</v>
      </c>
      <c r="Y31" s="15" t="str">
        <f>AND(Trans!E423,"AAAAAH+93xg=")</f>
        <v>#VALUE!:noResult:No valid cells found for operation.</v>
      </c>
      <c r="Z31" s="15" t="str">
        <f>AND(Trans!F423,"AAAAAH+93xk=")</f>
        <v>#VALUE!:noResult:No valid cells found for operation.</v>
      </c>
      <c r="AA31" s="15" t="str">
        <f>AND(Trans!G423,"AAAAAH+93xo=")</f>
        <v>#VALUE!:noResult:No valid cells found for operation.</v>
      </c>
      <c r="AB31" s="15" t="str">
        <f>#REF!</f>
        <v>#VALUE!:noResult:No valid cells found for operation.</v>
      </c>
      <c r="AC31" s="15" t="str">
        <f>AND(Trans!H423,"AAAAAH+93xw=")</f>
        <v>#VALUE!:noResult:No valid cells found for operation.</v>
      </c>
      <c r="AD31" s="15" t="str">
        <f>#REF!</f>
        <v>#VALUE!:noResult:No valid cells found for operation.</v>
      </c>
      <c r="AE31" s="15" t="str">
        <f>#REF!</f>
        <v>#VALUE!:noResult:No valid cells found for operation.</v>
      </c>
      <c r="AF31" s="15" t="str">
        <f>#REF!</f>
        <v>#VALUE!:noResult:No valid cells found for operation.</v>
      </c>
      <c r="AG31" s="15" t="str">
        <f>#REF!</f>
        <v>#VALUE!:noResult:No valid cells found for operation.</v>
      </c>
      <c r="AH31" s="15" t="str">
        <f>#REF!</f>
        <v>#VALUE!:noResult:No valid cells found for operation.</v>
      </c>
      <c r="AI31" s="15" t="str">
        <f>#REF!</f>
        <v>#VALUE!:noResult:No valid cells found for operation.</v>
      </c>
      <c r="AJ31" s="15">
        <f>IF(Trans!R[393],"AAAAAH+93yM=",0)</f>
        <v>0</v>
      </c>
      <c r="AK31" s="15" t="b">
        <f>AND(Trans!A424,"AAAAAH+93yQ=")</f>
        <v>1</v>
      </c>
      <c r="AL31" s="15" t="str">
        <f>AND(Trans!B424,"AAAAAH+93yU=")</f>
        <v>#VALUE!:noResult:No valid cells found for operation.</v>
      </c>
      <c r="AM31" s="15" t="b">
        <f>AND(Trans!C424,"AAAAAH+93yY=")</f>
        <v>1</v>
      </c>
      <c r="AN31" s="15" t="b">
        <f>AND(Trans!D424,"AAAAAH+93yc=")</f>
        <v>1</v>
      </c>
      <c r="AO31" s="15" t="str">
        <f>AND(Trans!E424,"AAAAAH+93yg=")</f>
        <v>#VALUE!:noResult:No valid cells found for operation.</v>
      </c>
      <c r="AP31" s="15" t="str">
        <f>AND(Trans!F424,"AAAAAH+93yk=")</f>
        <v>#VALUE!:noResult:No valid cells found for operation.</v>
      </c>
      <c r="AQ31" s="15" t="str">
        <f>AND(Trans!G424,"AAAAAH+93yo=")</f>
        <v>#VALUE!:noResult:No valid cells found for operation.</v>
      </c>
      <c r="AR31" s="15" t="str">
        <f>#REF!</f>
        <v>#VALUE!:noResult:No valid cells found for operation.</v>
      </c>
      <c r="AS31" s="15" t="str">
        <f>AND(Trans!H424,"AAAAAH+93yw=")</f>
        <v>#VALUE!:noResult:No valid cells found for operation.</v>
      </c>
      <c r="AT31" s="15" t="str">
        <f>#REF!</f>
        <v>#VALUE!:noResult:No valid cells found for operation.</v>
      </c>
      <c r="AU31" s="15" t="str">
        <f>#REF!</f>
        <v>#VALUE!:noResult:No valid cells found for operation.</v>
      </c>
      <c r="AV31" s="15" t="str">
        <f>#REF!</f>
        <v>#VALUE!:noResult:No valid cells found for operation.</v>
      </c>
      <c r="AW31" s="15" t="str">
        <f>#REF!</f>
        <v>#VALUE!:noResult:No valid cells found for operation.</v>
      </c>
      <c r="AX31" s="15" t="str">
        <f>#REF!</f>
        <v>#VALUE!:noResult:No valid cells found for operation.</v>
      </c>
      <c r="AY31" s="15" t="str">
        <f>#REF!</f>
        <v>#VALUE!:noResult:No valid cells found for operation.</v>
      </c>
      <c r="AZ31" s="15">
        <f>IF(Trans!R[394],"AAAAAH+93zM=",0)</f>
        <v>0</v>
      </c>
      <c r="BA31" s="15" t="b">
        <f>AND(Trans!A425,"AAAAAH+93zQ=")</f>
        <v>1</v>
      </c>
      <c r="BB31" s="15" t="str">
        <f>AND(Trans!B425,"AAAAAH+93zU=")</f>
        <v>#VALUE!:noResult:No valid cells found for operation.</v>
      </c>
      <c r="BC31" s="15" t="b">
        <f>AND(Trans!C425,"AAAAAH+93zY=")</f>
        <v>1</v>
      </c>
      <c r="BD31" s="15" t="b">
        <f>AND(Trans!D425,"AAAAAH+93zc=")</f>
        <v>1</v>
      </c>
      <c r="BE31" s="15" t="str">
        <f>AND(Trans!E425,"AAAAAH+93zg=")</f>
        <v>#VALUE!:noResult:No valid cells found for operation.</v>
      </c>
      <c r="BF31" s="15" t="str">
        <f>AND(Trans!F425,"AAAAAH+93zk=")</f>
        <v>#VALUE!:noResult:No valid cells found for operation.</v>
      </c>
      <c r="BG31" s="15" t="str">
        <f>AND(Trans!G425,"AAAAAH+93zo=")</f>
        <v>#VALUE!:noResult:No valid cells found for operation.</v>
      </c>
      <c r="BH31" s="15" t="str">
        <f>#REF!</f>
        <v>#VALUE!:noResult:No valid cells found for operation.</v>
      </c>
      <c r="BI31" s="15" t="str">
        <f>AND(Trans!H425,"AAAAAH+93zw=")</f>
        <v>#VALUE!:noResult:No valid cells found for operation.</v>
      </c>
      <c r="BJ31" s="15" t="str">
        <f>#REF!</f>
        <v>#VALUE!:noResult:No valid cells found for operation.</v>
      </c>
      <c r="BK31" s="15" t="str">
        <f>#REF!</f>
        <v>#VALUE!:noResult:No valid cells found for operation.</v>
      </c>
      <c r="BL31" s="15" t="str">
        <f>#REF!</f>
        <v>#VALUE!:noResult:No valid cells found for operation.</v>
      </c>
      <c r="BM31" s="15" t="str">
        <f>#REF!</f>
        <v>#VALUE!:noResult:No valid cells found for operation.</v>
      </c>
      <c r="BN31" s="15" t="str">
        <f>#REF!</f>
        <v>#VALUE!:noResult:No valid cells found for operation.</v>
      </c>
      <c r="BO31" s="15" t="str">
        <f>#REF!</f>
        <v>#VALUE!:noResult:No valid cells found for operation.</v>
      </c>
      <c r="BP31" s="15">
        <f>IF(Trans!R[395],"AAAAAH+930M=",0)</f>
        <v>0</v>
      </c>
      <c r="BQ31" s="15" t="b">
        <f>AND(Trans!A426,"AAAAAH+930Q=")</f>
        <v>1</v>
      </c>
      <c r="BR31" s="15" t="str">
        <f>AND(Trans!B426,"AAAAAH+930U=")</f>
        <v>#VALUE!:noResult:No valid cells found for operation.</v>
      </c>
      <c r="BS31" s="15" t="b">
        <f>AND(Trans!C426,"AAAAAH+930Y=")</f>
        <v>1</v>
      </c>
      <c r="BT31" s="15" t="b">
        <f>AND(Trans!D426,"AAAAAH+930c=")</f>
        <v>1</v>
      </c>
      <c r="BU31" s="15" t="str">
        <f>AND(Trans!E426,"AAAAAH+930g=")</f>
        <v>#VALUE!:noResult:No valid cells found for operation.</v>
      </c>
      <c r="BV31" s="15" t="str">
        <f>AND(Trans!F426,"AAAAAH+930k=")</f>
        <v>#VALUE!:noResult:No valid cells found for operation.</v>
      </c>
      <c r="BW31" s="15" t="str">
        <f>AND(Trans!G426,"AAAAAH+930o=")</f>
        <v>#VALUE!:noResult:No valid cells found for operation.</v>
      </c>
      <c r="BX31" s="15" t="str">
        <f>#REF!</f>
        <v>#VALUE!:noResult:No valid cells found for operation.</v>
      </c>
      <c r="BY31" s="15" t="str">
        <f>AND(Trans!H426,"AAAAAH+930w=")</f>
        <v>#VALUE!:noResult:No valid cells found for operation.</v>
      </c>
      <c r="BZ31" s="15" t="str">
        <f>#REF!</f>
        <v>#VALUE!:noResult:No valid cells found for operation.</v>
      </c>
      <c r="CA31" s="15" t="str">
        <f>#REF!</f>
        <v>#VALUE!:noResult:No valid cells found for operation.</v>
      </c>
      <c r="CB31" s="15" t="str">
        <f>#REF!</f>
        <v>#VALUE!:noResult:No valid cells found for operation.</v>
      </c>
      <c r="CC31" s="15" t="str">
        <f>#REF!</f>
        <v>#VALUE!:noResult:No valid cells found for operation.</v>
      </c>
      <c r="CD31" s="15" t="str">
        <f>#REF!</f>
        <v>#VALUE!:noResult:No valid cells found for operation.</v>
      </c>
      <c r="CE31" s="15" t="str">
        <f>#REF!</f>
        <v>#VALUE!:noResult:No valid cells found for operation.</v>
      </c>
      <c r="CF31" s="15">
        <f>IF(Trans!R[396],"AAAAAH+931M=",0)</f>
        <v>0</v>
      </c>
      <c r="CG31" s="15" t="b">
        <f>AND(Trans!A427,"AAAAAH+931Q=")</f>
        <v>1</v>
      </c>
      <c r="CH31" s="15" t="str">
        <f>AND(Trans!B427,"AAAAAH+931U=")</f>
        <v>#VALUE!:noResult:No valid cells found for operation.</v>
      </c>
      <c r="CI31" s="15" t="b">
        <f>AND(Trans!C427,"AAAAAH+931Y=")</f>
        <v>1</v>
      </c>
      <c r="CJ31" s="15" t="b">
        <f>AND(Trans!D427,"AAAAAH+931c=")</f>
        <v>1</v>
      </c>
      <c r="CK31" s="15" t="str">
        <f>AND(Trans!E427,"AAAAAH+931g=")</f>
        <v>#VALUE!:noResult:No valid cells found for operation.</v>
      </c>
      <c r="CL31" s="15" t="str">
        <f>AND(Trans!F427,"AAAAAH+931k=")</f>
        <v>#VALUE!:noResult:No valid cells found for operation.</v>
      </c>
      <c r="CM31" s="15" t="str">
        <f>AND(Trans!G427,"AAAAAH+931o=")</f>
        <v>#VALUE!:noResult:No valid cells found for operation.</v>
      </c>
      <c r="CN31" s="15" t="str">
        <f>#REF!</f>
        <v>#VALUE!:noResult:No valid cells found for operation.</v>
      </c>
      <c r="CO31" s="15" t="str">
        <f>AND(Trans!H427,"AAAAAH+931w=")</f>
        <v>#VALUE!:noResult:No valid cells found for operation.</v>
      </c>
      <c r="CP31" s="15" t="str">
        <f>#REF!</f>
        <v>#VALUE!:noResult:No valid cells found for operation.</v>
      </c>
      <c r="CQ31" s="15" t="str">
        <f>#REF!</f>
        <v>#VALUE!:noResult:No valid cells found for operation.</v>
      </c>
      <c r="CR31" s="15" t="str">
        <f>#REF!</f>
        <v>#VALUE!:noResult:No valid cells found for operation.</v>
      </c>
      <c r="CS31" s="15" t="str">
        <f>#REF!</f>
        <v>#VALUE!:noResult:No valid cells found for operation.</v>
      </c>
      <c r="CT31" s="15" t="str">
        <f>#REF!</f>
        <v>#VALUE!:noResult:No valid cells found for operation.</v>
      </c>
      <c r="CU31" s="15" t="str">
        <f>#REF!</f>
        <v>#VALUE!:noResult:No valid cells found for operation.</v>
      </c>
      <c r="CV31" s="15">
        <f>IF(Trans!R[397],"AAAAAH+932M=",0)</f>
        <v>0</v>
      </c>
      <c r="CW31" s="15" t="b">
        <f>AND(Trans!A428,"AAAAAH+932Q=")</f>
        <v>1</v>
      </c>
      <c r="CX31" s="15" t="str">
        <f>AND(Trans!B428,"AAAAAH+932U=")</f>
        <v>#VALUE!:noResult:No valid cells found for operation.</v>
      </c>
      <c r="CY31" s="15" t="b">
        <f>AND(Trans!C428,"AAAAAH+932Y=")</f>
        <v>1</v>
      </c>
      <c r="CZ31" s="15" t="b">
        <f>AND(Trans!D428,"AAAAAH+932c=")</f>
        <v>1</v>
      </c>
      <c r="DA31" s="15" t="str">
        <f>AND(Trans!E428,"AAAAAH+932g=")</f>
        <v>#VALUE!:noResult:No valid cells found for operation.</v>
      </c>
      <c r="DB31" s="15" t="str">
        <f>AND(Trans!F428,"AAAAAH+932k=")</f>
        <v>#VALUE!:noResult:No valid cells found for operation.</v>
      </c>
      <c r="DC31" s="15" t="str">
        <f>AND(Trans!G428,"AAAAAH+932o=")</f>
        <v>#VALUE!:noResult:No valid cells found for operation.</v>
      </c>
      <c r="DD31" s="15" t="str">
        <f>#REF!</f>
        <v>#VALUE!:noResult:No valid cells found for operation.</v>
      </c>
      <c r="DE31" s="15" t="str">
        <f>AND(Trans!H428,"AAAAAH+932w=")</f>
        <v>#VALUE!:noResult:No valid cells found for operation.</v>
      </c>
      <c r="DF31" s="15" t="str">
        <f>#REF!</f>
        <v>#VALUE!:noResult:No valid cells found for operation.</v>
      </c>
      <c r="DG31" s="15" t="str">
        <f>#REF!</f>
        <v>#VALUE!:noResult:No valid cells found for operation.</v>
      </c>
      <c r="DH31" s="15" t="str">
        <f>#REF!</f>
        <v>#VALUE!:noResult:No valid cells found for operation.</v>
      </c>
      <c r="DI31" s="15" t="str">
        <f>#REF!</f>
        <v>#VALUE!:noResult:No valid cells found for operation.</v>
      </c>
      <c r="DJ31" s="15" t="str">
        <f>#REF!</f>
        <v>#VALUE!:noResult:No valid cells found for operation.</v>
      </c>
      <c r="DK31" s="15" t="str">
        <f>#REF!</f>
        <v>#VALUE!:noResult:No valid cells found for operation.</v>
      </c>
      <c r="DL31" s="15">
        <f>IF(Trans!R[398],"AAAAAH+933M=",0)</f>
        <v>0</v>
      </c>
      <c r="DM31" s="15" t="b">
        <f>AND(Trans!A429,"AAAAAH+933Q=")</f>
        <v>1</v>
      </c>
      <c r="DN31" s="15" t="str">
        <f>AND(Trans!B429,"AAAAAH+933U=")</f>
        <v>#VALUE!:noResult:No valid cells found for operation.</v>
      </c>
      <c r="DO31" s="15" t="b">
        <f>AND(Trans!C429,"AAAAAH+933Y=")</f>
        <v>1</v>
      </c>
      <c r="DP31" s="15" t="b">
        <f>AND(Trans!D429,"AAAAAH+933c=")</f>
        <v>1</v>
      </c>
      <c r="DQ31" s="15" t="str">
        <f>AND(Trans!E429,"AAAAAH+933g=")</f>
        <v>#VALUE!:noResult:No valid cells found for operation.</v>
      </c>
      <c r="DR31" s="15" t="str">
        <f>AND(Trans!F429,"AAAAAH+933k=")</f>
        <v>#VALUE!:noResult:No valid cells found for operation.</v>
      </c>
      <c r="DS31" s="15" t="str">
        <f>AND(Trans!G429,"AAAAAH+933o=")</f>
        <v>#VALUE!:noResult:No valid cells found for operation.</v>
      </c>
      <c r="DT31" s="15" t="str">
        <f>#REF!</f>
        <v>#VALUE!:noResult:No valid cells found for operation.</v>
      </c>
      <c r="DU31" s="15" t="str">
        <f>AND(Trans!H429,"AAAAAH+933w=")</f>
        <v>#VALUE!:noResult:No valid cells found for operation.</v>
      </c>
      <c r="DV31" s="15" t="str">
        <f>#REF!</f>
        <v>#VALUE!:noResult:No valid cells found for operation.</v>
      </c>
      <c r="DW31" s="15" t="str">
        <f>#REF!</f>
        <v>#VALUE!:noResult:No valid cells found for operation.</v>
      </c>
      <c r="DX31" s="15" t="str">
        <f>#REF!</f>
        <v>#VALUE!:noResult:No valid cells found for operation.</v>
      </c>
      <c r="DY31" s="15" t="str">
        <f>#REF!</f>
        <v>#VALUE!:noResult:No valid cells found for operation.</v>
      </c>
      <c r="DZ31" s="15" t="str">
        <f>#REF!</f>
        <v>#VALUE!:noResult:No valid cells found for operation.</v>
      </c>
      <c r="EA31" s="15" t="str">
        <f>#REF!</f>
        <v>#VALUE!:noResult:No valid cells found for operation.</v>
      </c>
      <c r="EB31" s="15">
        <f>IF(Trans!R[399],"AAAAAH+934M=",0)</f>
        <v>0</v>
      </c>
      <c r="EC31" s="15" t="b">
        <f>AND(Trans!A430,"AAAAAH+934Q=")</f>
        <v>1</v>
      </c>
      <c r="ED31" s="15" t="str">
        <f>AND(Trans!B430,"AAAAAH+934U=")</f>
        <v>#VALUE!:noResult:No valid cells found for operation.</v>
      </c>
      <c r="EE31" s="15" t="b">
        <f>AND(Trans!C430,"AAAAAH+934Y=")</f>
        <v>1</v>
      </c>
      <c r="EF31" s="15" t="b">
        <f>AND(Trans!D430,"AAAAAH+934c=")</f>
        <v>1</v>
      </c>
      <c r="EG31" s="15" t="str">
        <f>AND(Trans!E430,"AAAAAH+934g=")</f>
        <v>#VALUE!:noResult:No valid cells found for operation.</v>
      </c>
      <c r="EH31" s="15" t="str">
        <f>AND(Trans!F430,"AAAAAH+934k=")</f>
        <v>#VALUE!:noResult:No valid cells found for operation.</v>
      </c>
      <c r="EI31" s="15" t="str">
        <f>AND(Trans!G430,"AAAAAH+934o=")</f>
        <v>#VALUE!:noResult:No valid cells found for operation.</v>
      </c>
      <c r="EJ31" s="15" t="str">
        <f>#REF!</f>
        <v>#VALUE!:noResult:No valid cells found for operation.</v>
      </c>
      <c r="EK31" s="15" t="str">
        <f>AND(Trans!H430,"AAAAAH+934w=")</f>
        <v>#VALUE!:noResult:No valid cells found for operation.</v>
      </c>
      <c r="EL31" s="15" t="str">
        <f>#REF!</f>
        <v>#VALUE!:noResult:No valid cells found for operation.</v>
      </c>
      <c r="EM31" s="15" t="str">
        <f>#REF!</f>
        <v>#VALUE!:noResult:No valid cells found for operation.</v>
      </c>
      <c r="EN31" s="15" t="str">
        <f>#REF!</f>
        <v>#VALUE!:noResult:No valid cells found for operation.</v>
      </c>
      <c r="EO31" s="15" t="str">
        <f>#REF!</f>
        <v>#VALUE!:noResult:No valid cells found for operation.</v>
      </c>
      <c r="EP31" s="15" t="str">
        <f>#REF!</f>
        <v>#VALUE!:noResult:No valid cells found for operation.</v>
      </c>
      <c r="EQ31" s="15" t="str">
        <f>#REF!</f>
        <v>#VALUE!:noResult:No valid cells found for operation.</v>
      </c>
      <c r="ER31" s="15">
        <f>IF(Trans!R[400],"AAAAAH+935M=",0)</f>
        <v>0</v>
      </c>
      <c r="ES31" s="15" t="b">
        <f>AND(Trans!A431,"AAAAAH+935Q=")</f>
        <v>1</v>
      </c>
      <c r="ET31" s="15" t="str">
        <f>AND(Trans!B431,"AAAAAH+935U=")</f>
        <v>#VALUE!:noResult:No valid cells found for operation.</v>
      </c>
      <c r="EU31" s="15" t="b">
        <f>AND(Trans!C431,"AAAAAH+935Y=")</f>
        <v>1</v>
      </c>
      <c r="EV31" s="15" t="b">
        <f>AND(Trans!D431,"AAAAAH+935c=")</f>
        <v>1</v>
      </c>
      <c r="EW31" s="15" t="str">
        <f>AND(Trans!E431,"AAAAAH+935g=")</f>
        <v>#VALUE!:noResult:No valid cells found for operation.</v>
      </c>
      <c r="EX31" s="15" t="str">
        <f>AND(Trans!F431,"AAAAAH+935k=")</f>
        <v>#VALUE!:noResult:No valid cells found for operation.</v>
      </c>
      <c r="EY31" s="15" t="str">
        <f>AND(Trans!G431,"AAAAAH+935o=")</f>
        <v>#VALUE!:noResult:No valid cells found for operation.</v>
      </c>
      <c r="EZ31" s="15" t="str">
        <f>#REF!</f>
        <v>#VALUE!:noResult:No valid cells found for operation.</v>
      </c>
      <c r="FA31" s="15" t="str">
        <f>AND(Trans!H431,"AAAAAH+935w=")</f>
        <v>#VALUE!:noResult:No valid cells found for operation.</v>
      </c>
      <c r="FB31" s="15" t="str">
        <f>#REF!</f>
        <v>#VALUE!:noResult:No valid cells found for operation.</v>
      </c>
      <c r="FC31" s="15" t="str">
        <f>#REF!</f>
        <v>#VALUE!:noResult:No valid cells found for operation.</v>
      </c>
      <c r="FD31" s="15" t="str">
        <f>#REF!</f>
        <v>#VALUE!:noResult:No valid cells found for operation.</v>
      </c>
      <c r="FE31" s="15" t="str">
        <f>#REF!</f>
        <v>#VALUE!:noResult:No valid cells found for operation.</v>
      </c>
      <c r="FF31" s="15" t="str">
        <f>#REF!</f>
        <v>#VALUE!:noResult:No valid cells found for operation.</v>
      </c>
      <c r="FG31" s="15" t="str">
        <f>#REF!</f>
        <v>#VALUE!:noResult:No valid cells found for operation.</v>
      </c>
      <c r="FH31" s="15">
        <f>IF(Trans!R[401],"AAAAAH+936M=",0)</f>
        <v>0</v>
      </c>
      <c r="FI31" s="15" t="b">
        <f>AND(Trans!A432,"AAAAAH+936Q=")</f>
        <v>1</v>
      </c>
      <c r="FJ31" s="15" t="str">
        <f>AND(Trans!B432,"AAAAAH+936U=")</f>
        <v>#VALUE!:noResult:No valid cells found for operation.</v>
      </c>
      <c r="FK31" s="15" t="b">
        <f>AND(Trans!C432,"AAAAAH+936Y=")</f>
        <v>1</v>
      </c>
      <c r="FL31" s="15" t="b">
        <f>AND(Trans!D432,"AAAAAH+936c=")</f>
        <v>1</v>
      </c>
      <c r="FM31" s="15" t="str">
        <f>AND(Trans!E432,"AAAAAH+936g=")</f>
        <v>#VALUE!:noResult:No valid cells found for operation.</v>
      </c>
      <c r="FN31" s="15" t="str">
        <f>AND(Trans!F432,"AAAAAH+936k=")</f>
        <v>#VALUE!:noResult:No valid cells found for operation.</v>
      </c>
      <c r="FO31" s="15" t="str">
        <f>AND(Trans!G432,"AAAAAH+936o=")</f>
        <v>#VALUE!:noResult:No valid cells found for operation.</v>
      </c>
      <c r="FP31" s="15" t="str">
        <f>#REF!</f>
        <v>#VALUE!:noResult:No valid cells found for operation.</v>
      </c>
      <c r="FQ31" s="15" t="str">
        <f>AND(Trans!H432,"AAAAAH+936w=")</f>
        <v>#VALUE!:noResult:No valid cells found for operation.</v>
      </c>
      <c r="FR31" s="15" t="str">
        <f>#REF!</f>
        <v>#VALUE!:noResult:No valid cells found for operation.</v>
      </c>
      <c r="FS31" s="15" t="str">
        <f>#REF!</f>
        <v>#VALUE!:noResult:No valid cells found for operation.</v>
      </c>
      <c r="FT31" s="15" t="str">
        <f>#REF!</f>
        <v>#VALUE!:noResult:No valid cells found for operation.</v>
      </c>
      <c r="FU31" s="15" t="str">
        <f>#REF!</f>
        <v>#VALUE!:noResult:No valid cells found for operation.</v>
      </c>
      <c r="FV31" s="15" t="str">
        <f>#REF!</f>
        <v>#VALUE!:noResult:No valid cells found for operation.</v>
      </c>
      <c r="FW31" s="15" t="str">
        <f>#REF!</f>
        <v>#VALUE!:noResult:No valid cells found for operation.</v>
      </c>
      <c r="FX31" s="15">
        <f>IF(Trans!R[402],"AAAAAH+937M=",0)</f>
        <v>0</v>
      </c>
      <c r="FY31" s="15" t="b">
        <f>AND(Trans!A433,"AAAAAH+937Q=")</f>
        <v>1</v>
      </c>
      <c r="FZ31" s="15" t="str">
        <f>AND(Trans!B433,"AAAAAH+937U=")</f>
        <v>#VALUE!:noResult:No valid cells found for operation.</v>
      </c>
      <c r="GA31" s="15" t="b">
        <f>AND(Trans!C433,"AAAAAH+937Y=")</f>
        <v>1</v>
      </c>
      <c r="GB31" s="15" t="b">
        <f>AND(Trans!D433,"AAAAAH+937c=")</f>
        <v>1</v>
      </c>
      <c r="GC31" s="15" t="str">
        <f>AND(Trans!E433,"AAAAAH+937g=")</f>
        <v>#VALUE!:noResult:No valid cells found for operation.</v>
      </c>
      <c r="GD31" s="15" t="str">
        <f>AND(Trans!F433,"AAAAAH+937k=")</f>
        <v>#VALUE!:noResult:No valid cells found for operation.</v>
      </c>
      <c r="GE31" s="15" t="str">
        <f>AND(Trans!G433,"AAAAAH+937o=")</f>
        <v>#VALUE!:noResult:No valid cells found for operation.</v>
      </c>
      <c r="GF31" s="15" t="str">
        <f>#REF!</f>
        <v>#VALUE!:noResult:No valid cells found for operation.</v>
      </c>
      <c r="GG31" s="15" t="str">
        <f>AND(Trans!H433,"AAAAAH+937w=")</f>
        <v>#VALUE!:noResult:No valid cells found for operation.</v>
      </c>
      <c r="GH31" s="15" t="str">
        <f>#REF!</f>
        <v>#VALUE!:noResult:No valid cells found for operation.</v>
      </c>
      <c r="GI31" s="15" t="str">
        <f>#REF!</f>
        <v>#VALUE!:noResult:No valid cells found for operation.</v>
      </c>
      <c r="GJ31" s="15" t="str">
        <f>#REF!</f>
        <v>#VALUE!:noResult:No valid cells found for operation.</v>
      </c>
      <c r="GK31" s="15" t="str">
        <f>#REF!</f>
        <v>#VALUE!:noResult:No valid cells found for operation.</v>
      </c>
      <c r="GL31" s="15" t="str">
        <f>#REF!</f>
        <v>#VALUE!:noResult:No valid cells found for operation.</v>
      </c>
      <c r="GM31" s="15" t="str">
        <f>#REF!</f>
        <v>#VALUE!:noResult:No valid cells found for operation.</v>
      </c>
      <c r="GN31" s="15">
        <f>IF(Trans!R[403],"AAAAAH+938M=",0)</f>
        <v>0</v>
      </c>
      <c r="GO31" s="15" t="b">
        <f>AND(Trans!A434,"AAAAAH+938Q=")</f>
        <v>1</v>
      </c>
      <c r="GP31" s="15" t="str">
        <f>AND(Trans!B434,"AAAAAH+938U=")</f>
        <v>#VALUE!:noResult:No valid cells found for operation.</v>
      </c>
      <c r="GQ31" s="15" t="b">
        <f>AND(Trans!C434,"AAAAAH+938Y=")</f>
        <v>1</v>
      </c>
      <c r="GR31" s="15" t="b">
        <f>AND(Trans!D434,"AAAAAH+938c=")</f>
        <v>1</v>
      </c>
      <c r="GS31" s="15" t="str">
        <f>AND(Trans!E434,"AAAAAH+938g=")</f>
        <v>#VALUE!:noResult:No valid cells found for operation.</v>
      </c>
      <c r="GT31" s="15" t="str">
        <f>AND(Trans!F434,"AAAAAH+938k=")</f>
        <v>#VALUE!:noResult:No valid cells found for operation.</v>
      </c>
      <c r="GU31" s="15" t="str">
        <f>AND(Trans!G434,"AAAAAH+938o=")</f>
        <v>#VALUE!:noResult:No valid cells found for operation.</v>
      </c>
      <c r="GV31" s="15" t="str">
        <f>#REF!</f>
        <v>#VALUE!:noResult:No valid cells found for operation.</v>
      </c>
      <c r="GW31" s="15" t="str">
        <f>AND(Trans!H434,"AAAAAH+938w=")</f>
        <v>#VALUE!:noResult:No valid cells found for operation.</v>
      </c>
      <c r="GX31" s="15" t="str">
        <f>#REF!</f>
        <v>#VALUE!:noResult:No valid cells found for operation.</v>
      </c>
      <c r="GY31" s="15" t="str">
        <f>#REF!</f>
        <v>#VALUE!:noResult:No valid cells found for operation.</v>
      </c>
      <c r="GZ31" s="15" t="str">
        <f>#REF!</f>
        <v>#VALUE!:noResult:No valid cells found for operation.</v>
      </c>
      <c r="HA31" s="15" t="str">
        <f>#REF!</f>
        <v>#VALUE!:noResult:No valid cells found for operation.</v>
      </c>
      <c r="HB31" s="15" t="str">
        <f>#REF!</f>
        <v>#VALUE!:noResult:No valid cells found for operation.</v>
      </c>
      <c r="HC31" s="15" t="str">
        <f>#REF!</f>
        <v>#VALUE!:noResult:No valid cells found for operation.</v>
      </c>
      <c r="HD31" s="15">
        <f>IF(Trans!R[404],"AAAAAH+939M=",0)</f>
        <v>0</v>
      </c>
      <c r="HE31" s="15" t="b">
        <f>AND(Trans!A435,"AAAAAH+939Q=")</f>
        <v>1</v>
      </c>
      <c r="HF31" s="15" t="str">
        <f>AND(Trans!B435,"AAAAAH+939U=")</f>
        <v>#VALUE!:noResult:No valid cells found for operation.</v>
      </c>
      <c r="HG31" s="15" t="b">
        <f>AND(Trans!C435,"AAAAAH+939Y=")</f>
        <v>1</v>
      </c>
      <c r="HH31" s="15" t="b">
        <f>AND(Trans!D435,"AAAAAH+939c=")</f>
        <v>1</v>
      </c>
      <c r="HI31" s="15" t="str">
        <f>AND(Trans!E435,"AAAAAH+939g=")</f>
        <v>#VALUE!:noResult:No valid cells found for operation.</v>
      </c>
      <c r="HJ31" s="15" t="str">
        <f>AND(Trans!F435,"AAAAAH+939k=")</f>
        <v>#VALUE!:noResult:No valid cells found for operation.</v>
      </c>
      <c r="HK31" s="15" t="str">
        <f>AND(Trans!G435,"AAAAAH+939o=")</f>
        <v>#VALUE!:noResult:No valid cells found for operation.</v>
      </c>
      <c r="HL31" s="15" t="str">
        <f>#REF!</f>
        <v>#VALUE!:noResult:No valid cells found for operation.</v>
      </c>
      <c r="HM31" s="15" t="str">
        <f>AND(Trans!H435,"AAAAAH+939w=")</f>
        <v>#VALUE!:noResult:No valid cells found for operation.</v>
      </c>
      <c r="HN31" s="15" t="str">
        <f>#REF!</f>
        <v>#VALUE!:noResult:No valid cells found for operation.</v>
      </c>
      <c r="HO31" s="15" t="str">
        <f>#REF!</f>
        <v>#VALUE!:noResult:No valid cells found for operation.</v>
      </c>
      <c r="HP31" s="15" t="str">
        <f>#REF!</f>
        <v>#VALUE!:noResult:No valid cells found for operation.</v>
      </c>
      <c r="HQ31" s="15" t="str">
        <f>#REF!</f>
        <v>#VALUE!:noResult:No valid cells found for operation.</v>
      </c>
      <c r="HR31" s="15" t="str">
        <f>#REF!</f>
        <v>#VALUE!:noResult:No valid cells found for operation.</v>
      </c>
      <c r="HS31" s="15" t="str">
        <f>#REF!</f>
        <v>#VALUE!:noResult:No valid cells found for operation.</v>
      </c>
      <c r="HT31" s="15">
        <f>IF(Trans!R[405],"AAAAAH+93+M=",0)</f>
        <v>0</v>
      </c>
      <c r="HU31" s="15" t="b">
        <f>AND(Trans!A436,"AAAAAH+93+Q=")</f>
        <v>1</v>
      </c>
      <c r="HV31" s="15" t="str">
        <f>AND(Trans!B436,"AAAAAH+93+U=")</f>
        <v>#VALUE!:noResult:No valid cells found for operation.</v>
      </c>
      <c r="HW31" s="15" t="b">
        <f>AND(Trans!C436,"AAAAAH+93+Y=")</f>
        <v>1</v>
      </c>
      <c r="HX31" s="15" t="b">
        <f>AND(Trans!D436,"AAAAAH+93+c=")</f>
        <v>1</v>
      </c>
      <c r="HY31" s="15" t="str">
        <f>AND(Trans!E436,"AAAAAH+93+g=")</f>
        <v>#VALUE!:noResult:No valid cells found for operation.</v>
      </c>
      <c r="HZ31" s="15" t="str">
        <f>AND(Trans!F436,"AAAAAH+93+k=")</f>
        <v>#VALUE!:noResult:No valid cells found for operation.</v>
      </c>
      <c r="IA31" s="15" t="str">
        <f>AND(Trans!G436,"AAAAAH+93+o=")</f>
        <v>#VALUE!:noResult:No valid cells found for operation.</v>
      </c>
      <c r="IB31" s="15" t="str">
        <f>#REF!</f>
        <v>#VALUE!:noResult:No valid cells found for operation.</v>
      </c>
      <c r="IC31" s="15" t="str">
        <f>AND(Trans!H436,"AAAAAH+93+w=")</f>
        <v>#VALUE!:noResult:No valid cells found for operation.</v>
      </c>
      <c r="ID31" s="15" t="str">
        <f>#REF!</f>
        <v>#VALUE!:noResult:No valid cells found for operation.</v>
      </c>
      <c r="IE31" s="15" t="str">
        <f>#REF!</f>
        <v>#VALUE!:noResult:No valid cells found for operation.</v>
      </c>
      <c r="IF31" s="15" t="str">
        <f>#REF!</f>
        <v>#VALUE!:noResult:No valid cells found for operation.</v>
      </c>
      <c r="IG31" s="15" t="str">
        <f>#REF!</f>
        <v>#VALUE!:noResult:No valid cells found for operation.</v>
      </c>
      <c r="IH31" s="15" t="str">
        <f>#REF!</f>
        <v>#VALUE!:noResult:No valid cells found for operation.</v>
      </c>
      <c r="II31" s="15" t="str">
        <f>#REF!</f>
        <v>#VALUE!:noResult:No valid cells found for operation.</v>
      </c>
      <c r="IJ31" s="15">
        <f>IF(Trans!R[406],"AAAAAH+93/M=",0)</f>
        <v>0</v>
      </c>
      <c r="IK31" s="15" t="b">
        <f>AND(Trans!A437,"AAAAAH+93/Q=")</f>
        <v>1</v>
      </c>
      <c r="IL31" s="15" t="str">
        <f>AND(Trans!B437,"AAAAAH+93/U=")</f>
        <v>#VALUE!:noResult:No valid cells found for operation.</v>
      </c>
      <c r="IM31" s="15" t="b">
        <f>AND(Trans!C437,"AAAAAH+93/Y=")</f>
        <v>1</v>
      </c>
      <c r="IN31" s="15" t="b">
        <f>AND(Trans!D437,"AAAAAH+93/c=")</f>
        <v>1</v>
      </c>
      <c r="IO31" s="15" t="str">
        <f>AND(Trans!E437,"AAAAAH+93/g=")</f>
        <v>#VALUE!:noResult:No valid cells found for operation.</v>
      </c>
      <c r="IP31" s="15" t="str">
        <f>AND(Trans!F437,"AAAAAH+93/k=")</f>
        <v>#VALUE!:noResult:No valid cells found for operation.</v>
      </c>
      <c r="IQ31" s="15" t="str">
        <f>AND(Trans!G437,"AAAAAH+93/o=")</f>
        <v>#VALUE!:noResult:No valid cells found for operation.</v>
      </c>
      <c r="IR31" s="15" t="str">
        <f>#REF!</f>
        <v>#VALUE!:noResult:No valid cells found for operation.</v>
      </c>
      <c r="IS31" s="15" t="str">
        <f>AND(Trans!H437,"AAAAAH+93/w=")</f>
        <v>#VALUE!:noResult:No valid cells found for operation.</v>
      </c>
      <c r="IT31" s="15" t="str">
        <f>#REF!</f>
        <v>#VALUE!:noResult:No valid cells found for operation.</v>
      </c>
      <c r="IU31" s="15" t="str">
        <f>#REF!</f>
        <v>#VALUE!:noResult:No valid cells found for operation.</v>
      </c>
      <c r="IV31" s="15" t="str">
        <f>#REF!</f>
        <v>#VALUE!:noResult:No valid cells found for operation.</v>
      </c>
    </row>
    <row r="32">
      <c r="A32" s="15" t="str">
        <f>#REF!</f>
        <v>#VALUE!:noResult:No valid cells found for operation.</v>
      </c>
      <c r="B32" s="15" t="str">
        <f>#REF!</f>
        <v>#VALUE!:noResult:No valid cells found for operation.</v>
      </c>
      <c r="C32" s="15" t="str">
        <f>#REF!</f>
        <v>#VALUE!:noResult:No valid cells found for operation.</v>
      </c>
      <c r="D32" s="15" t="str">
        <f>IF(Trans!R[406],"AAAAAF/PewM=",0)</f>
        <v>AAAAAF/PewM=</v>
      </c>
      <c r="E32" s="15" t="b">
        <f>AND(Trans!A438,"AAAAAF/PewQ=")</f>
        <v>1</v>
      </c>
      <c r="F32" s="15" t="str">
        <f>AND(Trans!B438,"AAAAAF/PewU=")</f>
        <v>#VALUE!:noResult:No valid cells found for operation.</v>
      </c>
      <c r="G32" s="15" t="b">
        <f>AND(Trans!C438,"AAAAAF/PewY=")</f>
        <v>1</v>
      </c>
      <c r="H32" s="15" t="b">
        <f>AND(Trans!D438,"AAAAAF/Pewc=")</f>
        <v>1</v>
      </c>
      <c r="I32" s="15" t="str">
        <f>AND(Trans!E438,"AAAAAF/Pewg=")</f>
        <v>#VALUE!:noResult:No valid cells found for operation.</v>
      </c>
      <c r="J32" s="15" t="str">
        <f>AND(Trans!F438,"AAAAAF/Pewk=")</f>
        <v>#VALUE!:noResult:No valid cells found for operation.</v>
      </c>
      <c r="K32" s="15" t="str">
        <f>AND(Trans!G438,"AAAAAF/Pewo=")</f>
        <v>#VALUE!:noResult:No valid cells found for operation.</v>
      </c>
      <c r="L32" s="15" t="str">
        <f>#REF!</f>
        <v>#VALUE!:noResult:No valid cells found for operation.</v>
      </c>
      <c r="M32" s="15" t="str">
        <f>AND(Trans!H438,"AAAAAF/Peww=")</f>
        <v>#VALUE!:noResult:No valid cells found for operation.</v>
      </c>
      <c r="N32" s="15" t="str">
        <f>#REF!</f>
        <v>#VALUE!:noResult:No valid cells found for operation.</v>
      </c>
      <c r="O32" s="15" t="str">
        <f>#REF!</f>
        <v>#VALUE!:noResult:No valid cells found for operation.</v>
      </c>
      <c r="P32" s="15" t="str">
        <f>#REF!</f>
        <v>#VALUE!:noResult:No valid cells found for operation.</v>
      </c>
      <c r="Q32" s="15" t="str">
        <f>#REF!</f>
        <v>#VALUE!:noResult:No valid cells found for operation.</v>
      </c>
      <c r="R32" s="15" t="str">
        <f>#REF!</f>
        <v>#VALUE!:noResult:No valid cells found for operation.</v>
      </c>
      <c r="S32" s="15" t="str">
        <f>#REF!</f>
        <v>#VALUE!:noResult:No valid cells found for operation.</v>
      </c>
      <c r="T32" s="15">
        <f>IF(Trans!R[407],"AAAAAF/PexM=",0)</f>
        <v>0</v>
      </c>
      <c r="U32" s="15" t="b">
        <f>AND(Trans!A439,"AAAAAF/PexQ=")</f>
        <v>1</v>
      </c>
      <c r="V32" s="15" t="str">
        <f>AND(Trans!B439,"AAAAAF/PexU=")</f>
        <v>#VALUE!:noResult:No valid cells found for operation.</v>
      </c>
      <c r="W32" s="15" t="b">
        <f>AND(Trans!C439,"AAAAAF/PexY=")</f>
        <v>1</v>
      </c>
      <c r="X32" s="15" t="b">
        <f>AND(Trans!D439,"AAAAAF/Pexc=")</f>
        <v>1</v>
      </c>
      <c r="Y32" s="15" t="str">
        <f>AND(Trans!E439,"AAAAAF/Pexg=")</f>
        <v>#VALUE!:noResult:No valid cells found for operation.</v>
      </c>
      <c r="Z32" s="15" t="str">
        <f>AND(Trans!F439,"AAAAAF/Pexk=")</f>
        <v>#VALUE!:noResult:No valid cells found for operation.</v>
      </c>
      <c r="AA32" s="15" t="str">
        <f>AND(Trans!G439,"AAAAAF/Pexo=")</f>
        <v>#VALUE!:noResult:No valid cells found for operation.</v>
      </c>
      <c r="AB32" s="15" t="str">
        <f>#REF!</f>
        <v>#VALUE!:noResult:No valid cells found for operation.</v>
      </c>
      <c r="AC32" s="15" t="str">
        <f>AND(Trans!H439,"AAAAAF/Pexw=")</f>
        <v>#VALUE!:noResult:No valid cells found for operation.</v>
      </c>
      <c r="AD32" s="15" t="str">
        <f>#REF!</f>
        <v>#VALUE!:noResult:No valid cells found for operation.</v>
      </c>
      <c r="AE32" s="15" t="str">
        <f>#REF!</f>
        <v>#VALUE!:noResult:No valid cells found for operation.</v>
      </c>
      <c r="AF32" s="15" t="str">
        <f>#REF!</f>
        <v>#VALUE!:noResult:No valid cells found for operation.</v>
      </c>
      <c r="AG32" s="15" t="str">
        <f>#REF!</f>
        <v>#VALUE!:noResult:No valid cells found for operation.</v>
      </c>
      <c r="AH32" s="15" t="str">
        <f>#REF!</f>
        <v>#VALUE!:noResult:No valid cells found for operation.</v>
      </c>
      <c r="AI32" s="15" t="str">
        <f>#REF!</f>
        <v>#VALUE!:noResult:No valid cells found for operation.</v>
      </c>
      <c r="AJ32" s="15">
        <f>IF(Trans!R[408],"AAAAAF/PeyM=",0)</f>
        <v>0</v>
      </c>
      <c r="AK32" s="15" t="b">
        <f>AND(Trans!A440,"AAAAAF/PeyQ=")</f>
        <v>1</v>
      </c>
      <c r="AL32" s="15" t="str">
        <f>AND(Trans!B440,"AAAAAF/PeyU=")</f>
        <v>#VALUE!:noResult:No valid cells found for operation.</v>
      </c>
      <c r="AM32" s="15" t="b">
        <f>AND(Trans!C440,"AAAAAF/PeyY=")</f>
        <v>1</v>
      </c>
      <c r="AN32" s="15" t="b">
        <f>AND(Trans!D440,"AAAAAF/Peyc=")</f>
        <v>1</v>
      </c>
      <c r="AO32" s="15" t="str">
        <f>AND(Trans!E440,"AAAAAF/Peyg=")</f>
        <v>#VALUE!:noResult:No valid cells found for operation.</v>
      </c>
      <c r="AP32" s="15" t="str">
        <f>AND(Trans!F440,"AAAAAF/Peyk=")</f>
        <v>#VALUE!:noResult:No valid cells found for operation.</v>
      </c>
      <c r="AQ32" s="15" t="str">
        <f>AND(Trans!G440,"AAAAAF/Peyo=")</f>
        <v>#VALUE!:noResult:No valid cells found for operation.</v>
      </c>
      <c r="AR32" s="15" t="str">
        <f>#REF!</f>
        <v>#VALUE!:noResult:No valid cells found for operation.</v>
      </c>
      <c r="AS32" s="15" t="str">
        <f>AND(Trans!H440,"AAAAAF/Peyw=")</f>
        <v>#VALUE!:noResult:No valid cells found for operation.</v>
      </c>
      <c r="AT32" s="15" t="str">
        <f>#REF!</f>
        <v>#VALUE!:noResult:No valid cells found for operation.</v>
      </c>
      <c r="AU32" s="15" t="str">
        <f>#REF!</f>
        <v>#VALUE!:noResult:No valid cells found for operation.</v>
      </c>
      <c r="AV32" s="15" t="str">
        <f>#REF!</f>
        <v>#VALUE!:noResult:No valid cells found for operation.</v>
      </c>
      <c r="AW32" s="15" t="str">
        <f>#REF!</f>
        <v>#VALUE!:noResult:No valid cells found for operation.</v>
      </c>
      <c r="AX32" s="15" t="str">
        <f>#REF!</f>
        <v>#VALUE!:noResult:No valid cells found for operation.</v>
      </c>
      <c r="AY32" s="15" t="str">
        <f>#REF!</f>
        <v>#VALUE!:noResult:No valid cells found for operation.</v>
      </c>
      <c r="AZ32" s="15">
        <f>IF(Trans!R[409],"AAAAAF/PezM=",0)</f>
        <v>0</v>
      </c>
      <c r="BA32" s="15" t="b">
        <f>AND(Trans!A441,"AAAAAF/PezQ=")</f>
        <v>1</v>
      </c>
      <c r="BB32" s="15" t="str">
        <f>AND(Trans!B441,"AAAAAF/PezU=")</f>
        <v>#VALUE!:noResult:No valid cells found for operation.</v>
      </c>
      <c r="BC32" s="15" t="b">
        <f>AND(Trans!C441,"AAAAAF/PezY=")</f>
        <v>1</v>
      </c>
      <c r="BD32" s="15" t="b">
        <f>AND(Trans!D441,"AAAAAF/Pezc=")</f>
        <v>1</v>
      </c>
      <c r="BE32" s="15" t="str">
        <f>AND(Trans!E441,"AAAAAF/Pezg=")</f>
        <v>#VALUE!:noResult:No valid cells found for operation.</v>
      </c>
      <c r="BF32" s="15" t="str">
        <f>AND(Trans!F441,"AAAAAF/Pezk=")</f>
        <v>#VALUE!:noResult:No valid cells found for operation.</v>
      </c>
      <c r="BG32" s="15" t="str">
        <f>AND(Trans!G441,"AAAAAF/Pezo=")</f>
        <v>#VALUE!:noResult:No valid cells found for operation.</v>
      </c>
      <c r="BH32" s="15" t="str">
        <f>#REF!</f>
        <v>#VALUE!:noResult:No valid cells found for operation.</v>
      </c>
      <c r="BI32" s="15" t="str">
        <f>AND(Trans!H441,"AAAAAF/Pezw=")</f>
        <v>#VALUE!:noResult:No valid cells found for operation.</v>
      </c>
      <c r="BJ32" s="15" t="str">
        <f>#REF!</f>
        <v>#VALUE!:noResult:No valid cells found for operation.</v>
      </c>
      <c r="BK32" s="15" t="str">
        <f>#REF!</f>
        <v>#VALUE!:noResult:No valid cells found for operation.</v>
      </c>
      <c r="BL32" s="15" t="str">
        <f>#REF!</f>
        <v>#VALUE!:noResult:No valid cells found for operation.</v>
      </c>
      <c r="BM32" s="15" t="str">
        <f>#REF!</f>
        <v>#VALUE!:noResult:No valid cells found for operation.</v>
      </c>
      <c r="BN32" s="15" t="str">
        <f>#REF!</f>
        <v>#VALUE!:noResult:No valid cells found for operation.</v>
      </c>
      <c r="BO32" s="15" t="str">
        <f>#REF!</f>
        <v>#VALUE!:noResult:No valid cells found for operation.</v>
      </c>
      <c r="BP32" s="15">
        <f>IF(Trans!R[410],"AAAAAF/Pe0M=",0)</f>
        <v>0</v>
      </c>
      <c r="BQ32" s="15" t="b">
        <f>AND(Trans!A442,"AAAAAF/Pe0Q=")</f>
        <v>1</v>
      </c>
      <c r="BR32" s="15" t="str">
        <f>AND(Trans!B442,"AAAAAF/Pe0U=")</f>
        <v>#VALUE!:noResult:No valid cells found for operation.</v>
      </c>
      <c r="BS32" s="15" t="b">
        <f>AND(Trans!C442,"AAAAAF/Pe0Y=")</f>
        <v>1</v>
      </c>
      <c r="BT32" s="15" t="b">
        <f>AND(Trans!D442,"AAAAAF/Pe0c=")</f>
        <v>1</v>
      </c>
      <c r="BU32" s="15" t="str">
        <f>AND(Trans!E442,"AAAAAF/Pe0g=")</f>
        <v>#VALUE!:noResult:No valid cells found for operation.</v>
      </c>
      <c r="BV32" s="15" t="str">
        <f>AND(Trans!F442,"AAAAAF/Pe0k=")</f>
        <v>#VALUE!:noResult:No valid cells found for operation.</v>
      </c>
      <c r="BW32" s="15" t="str">
        <f>AND(Trans!G442,"AAAAAF/Pe0o=")</f>
        <v>#VALUE!:noResult:No valid cells found for operation.</v>
      </c>
      <c r="BX32" s="15" t="str">
        <f>#REF!</f>
        <v>#VALUE!:noResult:No valid cells found for operation.</v>
      </c>
      <c r="BY32" s="15" t="str">
        <f>AND(Trans!H442,"AAAAAF/Pe0w=")</f>
        <v>#VALUE!:noResult:No valid cells found for operation.</v>
      </c>
      <c r="BZ32" s="15" t="str">
        <f>#REF!</f>
        <v>#VALUE!:noResult:No valid cells found for operation.</v>
      </c>
      <c r="CA32" s="15" t="str">
        <f>#REF!</f>
        <v>#VALUE!:noResult:No valid cells found for operation.</v>
      </c>
      <c r="CB32" s="15" t="str">
        <f>#REF!</f>
        <v>#VALUE!:noResult:No valid cells found for operation.</v>
      </c>
      <c r="CC32" s="15" t="str">
        <f>#REF!</f>
        <v>#VALUE!:noResult:No valid cells found for operation.</v>
      </c>
      <c r="CD32" s="15" t="str">
        <f>#REF!</f>
        <v>#VALUE!:noResult:No valid cells found for operation.</v>
      </c>
      <c r="CE32" s="15" t="str">
        <f>#REF!</f>
        <v>#VALUE!:noResult:No valid cells found for operation.</v>
      </c>
      <c r="CF32" s="15">
        <f>IF(Trans!R[411],"AAAAAF/Pe1M=",0)</f>
        <v>0</v>
      </c>
      <c r="CG32" s="15" t="b">
        <f>AND(Trans!A443,"AAAAAF/Pe1Q=")</f>
        <v>1</v>
      </c>
      <c r="CH32" s="15" t="str">
        <f>AND(Trans!B443,"AAAAAF/Pe1U=")</f>
        <v>#VALUE!:noResult:No valid cells found for operation.</v>
      </c>
      <c r="CI32" s="15" t="b">
        <f>AND(Trans!C443,"AAAAAF/Pe1Y=")</f>
        <v>1</v>
      </c>
      <c r="CJ32" s="15" t="b">
        <f>AND(Trans!D443,"AAAAAF/Pe1c=")</f>
        <v>1</v>
      </c>
      <c r="CK32" s="15" t="str">
        <f>AND(Trans!E443,"AAAAAF/Pe1g=")</f>
        <v>#VALUE!:noResult:No valid cells found for operation.</v>
      </c>
      <c r="CL32" s="15" t="str">
        <f>AND(Trans!F443,"AAAAAF/Pe1k=")</f>
        <v>#VALUE!:noResult:No valid cells found for operation.</v>
      </c>
      <c r="CM32" s="15" t="str">
        <f>AND(Trans!G443,"AAAAAF/Pe1o=")</f>
        <v>#VALUE!:noResult:No valid cells found for operation.</v>
      </c>
      <c r="CN32" s="15" t="str">
        <f>#REF!</f>
        <v>#VALUE!:noResult:No valid cells found for operation.</v>
      </c>
      <c r="CO32" s="15" t="str">
        <f>AND(Trans!H443,"AAAAAF/Pe1w=")</f>
        <v>#VALUE!:noResult:No valid cells found for operation.</v>
      </c>
      <c r="CP32" s="15" t="str">
        <f>#REF!</f>
        <v>#VALUE!:noResult:No valid cells found for operation.</v>
      </c>
      <c r="CQ32" s="15" t="str">
        <f>#REF!</f>
        <v>#VALUE!:noResult:No valid cells found for operation.</v>
      </c>
      <c r="CR32" s="15" t="str">
        <f>#REF!</f>
        <v>#VALUE!:noResult:No valid cells found for operation.</v>
      </c>
      <c r="CS32" s="15" t="str">
        <f>#REF!</f>
        <v>#VALUE!:noResult:No valid cells found for operation.</v>
      </c>
      <c r="CT32" s="15" t="str">
        <f>#REF!</f>
        <v>#VALUE!:noResult:No valid cells found for operation.</v>
      </c>
      <c r="CU32" s="15" t="str">
        <f>#REF!</f>
        <v>#VALUE!:noResult:No valid cells found for operation.</v>
      </c>
      <c r="CV32" s="15">
        <f>IF(Trans!R[412],"AAAAAF/Pe2M=",0)</f>
        <v>0</v>
      </c>
      <c r="CW32" s="15" t="b">
        <f>AND(Trans!A444,"AAAAAF/Pe2Q=")</f>
        <v>1</v>
      </c>
      <c r="CX32" s="15" t="str">
        <f>AND(Trans!B444,"AAAAAF/Pe2U=")</f>
        <v>#VALUE!:noResult:No valid cells found for operation.</v>
      </c>
      <c r="CY32" s="15" t="b">
        <f>AND(Trans!C444,"AAAAAF/Pe2Y=")</f>
        <v>1</v>
      </c>
      <c r="CZ32" s="15" t="b">
        <f>AND(Trans!D444,"AAAAAF/Pe2c=")</f>
        <v>1</v>
      </c>
      <c r="DA32" s="15" t="str">
        <f>AND(Trans!E444,"AAAAAF/Pe2g=")</f>
        <v>#VALUE!:noResult:No valid cells found for operation.</v>
      </c>
      <c r="DB32" s="15" t="str">
        <f>AND(Trans!F444,"AAAAAF/Pe2k=")</f>
        <v>#VALUE!:noResult:No valid cells found for operation.</v>
      </c>
      <c r="DC32" s="15" t="str">
        <f>AND(Trans!G444,"AAAAAF/Pe2o=")</f>
        <v>#VALUE!:noResult:No valid cells found for operation.</v>
      </c>
      <c r="DD32" s="15" t="str">
        <f>#REF!</f>
        <v>#VALUE!:noResult:No valid cells found for operation.</v>
      </c>
      <c r="DE32" s="15" t="str">
        <f>AND(Trans!H444,"AAAAAF/Pe2w=")</f>
        <v>#VALUE!:noResult:No valid cells found for operation.</v>
      </c>
      <c r="DF32" s="15" t="str">
        <f>#REF!</f>
        <v>#VALUE!:noResult:No valid cells found for operation.</v>
      </c>
      <c r="DG32" s="15" t="str">
        <f>#REF!</f>
        <v>#VALUE!:noResult:No valid cells found for operation.</v>
      </c>
      <c r="DH32" s="15" t="str">
        <f>#REF!</f>
        <v>#VALUE!:noResult:No valid cells found for operation.</v>
      </c>
      <c r="DI32" s="15" t="str">
        <f>#REF!</f>
        <v>#VALUE!:noResult:No valid cells found for operation.</v>
      </c>
      <c r="DJ32" s="15" t="str">
        <f>#REF!</f>
        <v>#VALUE!:noResult:No valid cells found for operation.</v>
      </c>
      <c r="DK32" s="15" t="str">
        <f>#REF!</f>
        <v>#VALUE!:noResult:No valid cells found for operation.</v>
      </c>
      <c r="DL32" s="15">
        <f>IF(Trans!R[413],"AAAAAF/Pe3M=",0)</f>
        <v>0</v>
      </c>
      <c r="DM32" s="15" t="b">
        <f>AND(Trans!A445,"AAAAAF/Pe3Q=")</f>
        <v>1</v>
      </c>
      <c r="DN32" s="15" t="str">
        <f>AND(Trans!B445,"AAAAAF/Pe3U=")</f>
        <v>#VALUE!:noResult:No valid cells found for operation.</v>
      </c>
      <c r="DO32" s="15" t="b">
        <f>AND(Trans!C445,"AAAAAF/Pe3Y=")</f>
        <v>1</v>
      </c>
      <c r="DP32" s="15" t="b">
        <f>AND(Trans!D445,"AAAAAF/Pe3c=")</f>
        <v>1</v>
      </c>
      <c r="DQ32" s="15" t="str">
        <f>AND(Trans!E445,"AAAAAF/Pe3g=")</f>
        <v>#VALUE!:noResult:No valid cells found for operation.</v>
      </c>
      <c r="DR32" s="15" t="str">
        <f>AND(Trans!F445,"AAAAAF/Pe3k=")</f>
        <v>#VALUE!:noResult:No valid cells found for operation.</v>
      </c>
      <c r="DS32" s="15" t="str">
        <f>AND(Trans!G445,"AAAAAF/Pe3o=")</f>
        <v>#VALUE!:noResult:No valid cells found for operation.</v>
      </c>
      <c r="DT32" s="15" t="str">
        <f>#REF!</f>
        <v>#VALUE!:noResult:No valid cells found for operation.</v>
      </c>
      <c r="DU32" s="15" t="str">
        <f>AND(Trans!H445,"AAAAAF/Pe3w=")</f>
        <v>#VALUE!:noResult:No valid cells found for operation.</v>
      </c>
      <c r="DV32" s="15" t="str">
        <f>#REF!</f>
        <v>#VALUE!:noResult:No valid cells found for operation.</v>
      </c>
      <c r="DW32" s="15" t="str">
        <f>#REF!</f>
        <v>#VALUE!:noResult:No valid cells found for operation.</v>
      </c>
      <c r="DX32" s="15" t="str">
        <f>#REF!</f>
        <v>#VALUE!:noResult:No valid cells found for operation.</v>
      </c>
      <c r="DY32" s="15" t="str">
        <f>#REF!</f>
        <v>#VALUE!:noResult:No valid cells found for operation.</v>
      </c>
      <c r="DZ32" s="15" t="str">
        <f>#REF!</f>
        <v>#VALUE!:noResult:No valid cells found for operation.</v>
      </c>
      <c r="EA32" s="15" t="str">
        <f>#REF!</f>
        <v>#VALUE!:noResult:No valid cells found for operation.</v>
      </c>
      <c r="EB32" s="15">
        <f>IF(Trans!R[414],"AAAAAF/Pe4M=",0)</f>
        <v>0</v>
      </c>
      <c r="EC32" s="15" t="b">
        <f>AND(Trans!A446,"AAAAAF/Pe4Q=")</f>
        <v>1</v>
      </c>
      <c r="ED32" s="15" t="str">
        <f>AND(Trans!B446,"AAAAAF/Pe4U=")</f>
        <v>#VALUE!:noResult:No valid cells found for operation.</v>
      </c>
      <c r="EE32" s="15" t="b">
        <f>AND(Trans!C446,"AAAAAF/Pe4Y=")</f>
        <v>1</v>
      </c>
      <c r="EF32" s="15" t="b">
        <f>AND(Trans!D446,"AAAAAF/Pe4c=")</f>
        <v>1</v>
      </c>
      <c r="EG32" s="15" t="str">
        <f>AND(Trans!E446,"AAAAAF/Pe4g=")</f>
        <v>#VALUE!:noResult:No valid cells found for operation.</v>
      </c>
      <c r="EH32" s="15" t="str">
        <f>AND(Trans!F446,"AAAAAF/Pe4k=")</f>
        <v>#VALUE!:noResult:No valid cells found for operation.</v>
      </c>
      <c r="EI32" s="15" t="str">
        <f>AND(Trans!G446,"AAAAAF/Pe4o=")</f>
        <v>#VALUE!:noResult:No valid cells found for operation.</v>
      </c>
      <c r="EJ32" s="15" t="str">
        <f>#REF!</f>
        <v>#VALUE!:noResult:No valid cells found for operation.</v>
      </c>
      <c r="EK32" s="15" t="str">
        <f>AND(Trans!H446,"AAAAAF/Pe4w=")</f>
        <v>#VALUE!:noResult:No valid cells found for operation.</v>
      </c>
      <c r="EL32" s="15" t="str">
        <f>#REF!</f>
        <v>#VALUE!:noResult:No valid cells found for operation.</v>
      </c>
      <c r="EM32" s="15" t="str">
        <f>#REF!</f>
        <v>#VALUE!:noResult:No valid cells found for operation.</v>
      </c>
      <c r="EN32" s="15" t="str">
        <f>#REF!</f>
        <v>#VALUE!:noResult:No valid cells found for operation.</v>
      </c>
      <c r="EO32" s="15" t="str">
        <f>#REF!</f>
        <v>#VALUE!:noResult:No valid cells found for operation.</v>
      </c>
      <c r="EP32" s="15" t="str">
        <f>#REF!</f>
        <v>#VALUE!:noResult:No valid cells found for operation.</v>
      </c>
      <c r="EQ32" s="15" t="str">
        <f>#REF!</f>
        <v>#VALUE!:noResult:No valid cells found for operation.</v>
      </c>
      <c r="ER32" s="15">
        <f>IF(Trans!R[415],"AAAAAF/Pe5M=",0)</f>
        <v>0</v>
      </c>
      <c r="ES32" s="15" t="b">
        <f>AND(Trans!A447,"AAAAAF/Pe5Q=")</f>
        <v>1</v>
      </c>
      <c r="ET32" s="15" t="str">
        <f>AND(Trans!B447,"AAAAAF/Pe5U=")</f>
        <v>#VALUE!:noResult:No valid cells found for operation.</v>
      </c>
      <c r="EU32" s="15" t="b">
        <f>AND(Trans!C447,"AAAAAF/Pe5Y=")</f>
        <v>1</v>
      </c>
      <c r="EV32" s="15" t="b">
        <f>AND(Trans!D447,"AAAAAF/Pe5c=")</f>
        <v>1</v>
      </c>
      <c r="EW32" s="15" t="str">
        <f>AND(Trans!E447,"AAAAAF/Pe5g=")</f>
        <v>#VALUE!:noResult:No valid cells found for operation.</v>
      </c>
      <c r="EX32" s="15" t="str">
        <f>AND(Trans!F447,"AAAAAF/Pe5k=")</f>
        <v>#VALUE!:noResult:No valid cells found for operation.</v>
      </c>
      <c r="EY32" s="15" t="str">
        <f>AND(Trans!G447,"AAAAAF/Pe5o=")</f>
        <v>#VALUE!:noResult:No valid cells found for operation.</v>
      </c>
      <c r="EZ32" s="15" t="str">
        <f>#REF!</f>
        <v>#VALUE!:noResult:No valid cells found for operation.</v>
      </c>
      <c r="FA32" s="15" t="str">
        <f>AND(Trans!H447,"AAAAAF/Pe5w=")</f>
        <v>#VALUE!:noResult:No valid cells found for operation.</v>
      </c>
      <c r="FB32" s="15" t="str">
        <f>#REF!</f>
        <v>#VALUE!:noResult:No valid cells found for operation.</v>
      </c>
      <c r="FC32" s="15" t="str">
        <f>#REF!</f>
        <v>#VALUE!:noResult:No valid cells found for operation.</v>
      </c>
      <c r="FD32" s="15" t="str">
        <f>#REF!</f>
        <v>#VALUE!:noResult:No valid cells found for operation.</v>
      </c>
      <c r="FE32" s="15" t="str">
        <f>#REF!</f>
        <v>#VALUE!:noResult:No valid cells found for operation.</v>
      </c>
      <c r="FF32" s="15" t="str">
        <f>#REF!</f>
        <v>#VALUE!:noResult:No valid cells found for operation.</v>
      </c>
      <c r="FG32" s="15" t="str">
        <f>#REF!</f>
        <v>#VALUE!:noResult:No valid cells found for operation.</v>
      </c>
      <c r="FH32" s="15">
        <f>IF(Trans!R[416],"AAAAAF/Pe6M=",0)</f>
        <v>0</v>
      </c>
      <c r="FI32" s="15" t="b">
        <f>AND(Trans!A448,"AAAAAF/Pe6Q=")</f>
        <v>1</v>
      </c>
      <c r="FJ32" s="15" t="str">
        <f>AND(Trans!B448,"AAAAAF/Pe6U=")</f>
        <v>#VALUE!:noResult:No valid cells found for operation.</v>
      </c>
      <c r="FK32" s="15" t="b">
        <f>AND(Trans!C448,"AAAAAF/Pe6Y=")</f>
        <v>1</v>
      </c>
      <c r="FL32" s="15" t="b">
        <f>AND(Trans!D448,"AAAAAF/Pe6c=")</f>
        <v>1</v>
      </c>
      <c r="FM32" s="15" t="str">
        <f>AND(Trans!E448,"AAAAAF/Pe6g=")</f>
        <v>#VALUE!:noResult:No valid cells found for operation.</v>
      </c>
      <c r="FN32" s="15" t="str">
        <f>AND(Trans!F448,"AAAAAF/Pe6k=")</f>
        <v>#VALUE!:noResult:No valid cells found for operation.</v>
      </c>
      <c r="FO32" s="15" t="str">
        <f>AND(Trans!G448,"AAAAAF/Pe6o=")</f>
        <v>#VALUE!:noResult:No valid cells found for operation.</v>
      </c>
      <c r="FP32" s="15" t="str">
        <f>#REF!</f>
        <v>#VALUE!:noResult:No valid cells found for operation.</v>
      </c>
      <c r="FQ32" s="15" t="str">
        <f>AND(Trans!H448,"AAAAAF/Pe6w=")</f>
        <v>#VALUE!:noResult:No valid cells found for operation.</v>
      </c>
      <c r="FR32" s="15" t="str">
        <f>#REF!</f>
        <v>#VALUE!:noResult:No valid cells found for operation.</v>
      </c>
      <c r="FS32" s="15" t="str">
        <f>#REF!</f>
        <v>#VALUE!:noResult:No valid cells found for operation.</v>
      </c>
      <c r="FT32" s="15" t="str">
        <f>#REF!</f>
        <v>#VALUE!:noResult:No valid cells found for operation.</v>
      </c>
      <c r="FU32" s="15" t="str">
        <f>#REF!</f>
        <v>#VALUE!:noResult:No valid cells found for operation.</v>
      </c>
      <c r="FV32" s="15" t="str">
        <f>#REF!</f>
        <v>#VALUE!:noResult:No valid cells found for operation.</v>
      </c>
      <c r="FW32" s="15" t="str">
        <f>#REF!</f>
        <v>#VALUE!:noResult:No valid cells found for operation.</v>
      </c>
      <c r="FX32" s="15">
        <f>IF(Trans!R[417],"AAAAAF/Pe7M=",0)</f>
        <v>0</v>
      </c>
      <c r="FY32" s="15" t="b">
        <f>AND(Trans!A449,"AAAAAF/Pe7Q=")</f>
        <v>1</v>
      </c>
      <c r="FZ32" s="15" t="str">
        <f>AND(Trans!B449,"AAAAAF/Pe7U=")</f>
        <v>#VALUE!:noResult:No valid cells found for operation.</v>
      </c>
      <c r="GA32" s="15" t="b">
        <f>AND(Trans!C449,"AAAAAF/Pe7Y=")</f>
        <v>1</v>
      </c>
      <c r="GB32" s="15" t="b">
        <f>AND(Trans!D449,"AAAAAF/Pe7c=")</f>
        <v>1</v>
      </c>
      <c r="GC32" s="15" t="str">
        <f>AND(Trans!E449,"AAAAAF/Pe7g=")</f>
        <v>#VALUE!:noResult:No valid cells found for operation.</v>
      </c>
      <c r="GD32" s="15" t="str">
        <f>AND(Trans!F449,"AAAAAF/Pe7k=")</f>
        <v>#VALUE!:noResult:No valid cells found for operation.</v>
      </c>
      <c r="GE32" s="15" t="str">
        <f>AND(Trans!G449,"AAAAAF/Pe7o=")</f>
        <v>#VALUE!:noResult:No valid cells found for operation.</v>
      </c>
      <c r="GF32" s="15" t="str">
        <f>#REF!</f>
        <v>#VALUE!:noResult:No valid cells found for operation.</v>
      </c>
      <c r="GG32" s="15" t="str">
        <f>AND(Trans!H449,"AAAAAF/Pe7w=")</f>
        <v>#VALUE!:noResult:No valid cells found for operation.</v>
      </c>
      <c r="GH32" s="15" t="str">
        <f>#REF!</f>
        <v>#VALUE!:noResult:No valid cells found for operation.</v>
      </c>
      <c r="GI32" s="15" t="str">
        <f>#REF!</f>
        <v>#VALUE!:noResult:No valid cells found for operation.</v>
      </c>
      <c r="GJ32" s="15" t="str">
        <f>#REF!</f>
        <v>#VALUE!:noResult:No valid cells found for operation.</v>
      </c>
      <c r="GK32" s="15" t="str">
        <f>#REF!</f>
        <v>#VALUE!:noResult:No valid cells found for operation.</v>
      </c>
      <c r="GL32" s="15" t="str">
        <f>#REF!</f>
        <v>#VALUE!:noResult:No valid cells found for operation.</v>
      </c>
      <c r="GM32" s="15" t="str">
        <f>#REF!</f>
        <v>#VALUE!:noResult:No valid cells found for operation.</v>
      </c>
      <c r="GN32" s="15">
        <f>IF(Trans!R[418],"AAAAAF/Pe8M=",0)</f>
        <v>0</v>
      </c>
      <c r="GO32" s="15" t="b">
        <f>AND(Trans!A450,"AAAAAF/Pe8Q=")</f>
        <v>1</v>
      </c>
      <c r="GP32" s="15" t="str">
        <f>AND(Trans!B450,"AAAAAF/Pe8U=")</f>
        <v>#VALUE!:noResult:No valid cells found for operation.</v>
      </c>
      <c r="GQ32" s="15" t="b">
        <f>AND(Trans!C450,"AAAAAF/Pe8Y=")</f>
        <v>1</v>
      </c>
      <c r="GR32" s="15" t="b">
        <f>AND(Trans!D450,"AAAAAF/Pe8c=")</f>
        <v>1</v>
      </c>
      <c r="GS32" s="15" t="str">
        <f>AND(Trans!E450,"AAAAAF/Pe8g=")</f>
        <v>#VALUE!:noResult:No valid cells found for operation.</v>
      </c>
      <c r="GT32" s="15" t="str">
        <f>AND(Trans!F450,"AAAAAF/Pe8k=")</f>
        <v>#VALUE!:noResult:No valid cells found for operation.</v>
      </c>
      <c r="GU32" s="15" t="str">
        <f>AND(Trans!G450,"AAAAAF/Pe8o=")</f>
        <v>#VALUE!:noResult:No valid cells found for operation.</v>
      </c>
      <c r="GV32" s="15" t="str">
        <f>#REF!</f>
        <v>#VALUE!:noResult:No valid cells found for operation.</v>
      </c>
      <c r="GW32" s="15" t="str">
        <f>AND(Trans!H450,"AAAAAF/Pe8w=")</f>
        <v>#VALUE!:noResult:No valid cells found for operation.</v>
      </c>
      <c r="GX32" s="15" t="str">
        <f>#REF!</f>
        <v>#VALUE!:noResult:No valid cells found for operation.</v>
      </c>
      <c r="GY32" s="15" t="str">
        <f>#REF!</f>
        <v>#VALUE!:noResult:No valid cells found for operation.</v>
      </c>
      <c r="GZ32" s="15" t="str">
        <f>#REF!</f>
        <v>#VALUE!:noResult:No valid cells found for operation.</v>
      </c>
      <c r="HA32" s="15" t="str">
        <f>#REF!</f>
        <v>#VALUE!:noResult:No valid cells found for operation.</v>
      </c>
      <c r="HB32" s="15" t="str">
        <f>#REF!</f>
        <v>#VALUE!:noResult:No valid cells found for operation.</v>
      </c>
      <c r="HC32" s="15" t="str">
        <f>#REF!</f>
        <v>#VALUE!:noResult:No valid cells found for operation.</v>
      </c>
      <c r="HD32" s="15">
        <f>IF(Trans!R[419],"AAAAAF/Pe9M=",0)</f>
        <v>0</v>
      </c>
      <c r="HE32" s="15" t="b">
        <f>AND(Trans!A451,"AAAAAF/Pe9Q=")</f>
        <v>1</v>
      </c>
      <c r="HF32" s="15" t="str">
        <f>AND(Trans!B451,"AAAAAF/Pe9U=")</f>
        <v>#VALUE!:noResult:No valid cells found for operation.</v>
      </c>
      <c r="HG32" s="15" t="b">
        <f>AND(Trans!C451,"AAAAAF/Pe9Y=")</f>
        <v>1</v>
      </c>
      <c r="HH32" s="15" t="b">
        <f>AND(Trans!D451,"AAAAAF/Pe9c=")</f>
        <v>1</v>
      </c>
      <c r="HI32" s="15" t="str">
        <f>AND(Trans!E451,"AAAAAF/Pe9g=")</f>
        <v>#VALUE!:noResult:No valid cells found for operation.</v>
      </c>
      <c r="HJ32" s="15" t="str">
        <f>AND(Trans!F451,"AAAAAF/Pe9k=")</f>
        <v>#VALUE!:noResult:No valid cells found for operation.</v>
      </c>
      <c r="HK32" s="15" t="str">
        <f>AND(Trans!G451,"AAAAAF/Pe9o=")</f>
        <v>#VALUE!:noResult:No valid cells found for operation.</v>
      </c>
      <c r="HL32" s="15" t="str">
        <f>#REF!</f>
        <v>#VALUE!:noResult:No valid cells found for operation.</v>
      </c>
      <c r="HM32" s="15" t="str">
        <f>AND(Trans!H451,"AAAAAF/Pe9w=")</f>
        <v>#VALUE!:noResult:No valid cells found for operation.</v>
      </c>
      <c r="HN32" s="15" t="str">
        <f>#REF!</f>
        <v>#VALUE!:noResult:No valid cells found for operation.</v>
      </c>
      <c r="HO32" s="15" t="str">
        <f>#REF!</f>
        <v>#VALUE!:noResult:No valid cells found for operation.</v>
      </c>
      <c r="HP32" s="15" t="str">
        <f>#REF!</f>
        <v>#VALUE!:noResult:No valid cells found for operation.</v>
      </c>
      <c r="HQ32" s="15" t="str">
        <f>#REF!</f>
        <v>#VALUE!:noResult:No valid cells found for operation.</v>
      </c>
      <c r="HR32" s="15" t="str">
        <f>#REF!</f>
        <v>#VALUE!:noResult:No valid cells found for operation.</v>
      </c>
      <c r="HS32" s="15" t="str">
        <f>#REF!</f>
        <v>#VALUE!:noResult:No valid cells found for operation.</v>
      </c>
      <c r="HT32" s="15">
        <f>IF(Trans!R[420],"AAAAAF/Pe+M=",0)</f>
        <v>0</v>
      </c>
      <c r="HU32" s="15" t="b">
        <f>AND(Trans!A452,"AAAAAF/Pe+Q=")</f>
        <v>1</v>
      </c>
      <c r="HV32" s="15" t="str">
        <f>AND(Trans!B452,"AAAAAF/Pe+U=")</f>
        <v>#VALUE!:noResult:No valid cells found for operation.</v>
      </c>
      <c r="HW32" s="15" t="b">
        <f>AND(Trans!C452,"AAAAAF/Pe+Y=")</f>
        <v>1</v>
      </c>
      <c r="HX32" s="15" t="b">
        <f>AND(Trans!D452,"AAAAAF/Pe+c=")</f>
        <v>1</v>
      </c>
      <c r="HY32" s="15" t="str">
        <f>AND(Trans!E452,"AAAAAF/Pe+g=")</f>
        <v>#VALUE!:noResult:No valid cells found for operation.</v>
      </c>
      <c r="HZ32" s="15" t="str">
        <f>AND(Trans!F452,"AAAAAF/Pe+k=")</f>
        <v>#VALUE!:noResult:No valid cells found for operation.</v>
      </c>
      <c r="IA32" s="15" t="str">
        <f>AND(Trans!G452,"AAAAAF/Pe+o=")</f>
        <v>#VALUE!:noResult:No valid cells found for operation.</v>
      </c>
      <c r="IB32" s="15" t="str">
        <f>#REF!</f>
        <v>#VALUE!:noResult:No valid cells found for operation.</v>
      </c>
      <c r="IC32" s="15" t="str">
        <f>AND(Trans!H452,"AAAAAF/Pe+w=")</f>
        <v>#VALUE!:noResult:No valid cells found for operation.</v>
      </c>
      <c r="ID32" s="15" t="str">
        <f>#REF!</f>
        <v>#VALUE!:noResult:No valid cells found for operation.</v>
      </c>
      <c r="IE32" s="15" t="str">
        <f>#REF!</f>
        <v>#VALUE!:noResult:No valid cells found for operation.</v>
      </c>
      <c r="IF32" s="15" t="str">
        <f>#REF!</f>
        <v>#VALUE!:noResult:No valid cells found for operation.</v>
      </c>
      <c r="IG32" s="15" t="str">
        <f>#REF!</f>
        <v>#VALUE!:noResult:No valid cells found for operation.</v>
      </c>
      <c r="IH32" s="15" t="str">
        <f>#REF!</f>
        <v>#VALUE!:noResult:No valid cells found for operation.</v>
      </c>
      <c r="II32" s="15" t="str">
        <f>#REF!</f>
        <v>#VALUE!:noResult:No valid cells found for operation.</v>
      </c>
      <c r="IJ32" s="15">
        <f>IF(Trans!R[421],"AAAAAF/Pe/M=",0)</f>
        <v>0</v>
      </c>
      <c r="IK32" s="15" t="b">
        <f>AND(Trans!A453,"AAAAAF/Pe/Q=")</f>
        <v>1</v>
      </c>
      <c r="IL32" s="15" t="str">
        <f>AND(Trans!B453,"AAAAAF/Pe/U=")</f>
        <v>#VALUE!:noResult:No valid cells found for operation.</v>
      </c>
      <c r="IM32" s="15" t="b">
        <f>AND(Trans!C453,"AAAAAF/Pe/Y=")</f>
        <v>1</v>
      </c>
      <c r="IN32" s="15" t="b">
        <f>AND(Trans!D453,"AAAAAF/Pe/c=")</f>
        <v>1</v>
      </c>
      <c r="IO32" s="15" t="str">
        <f>AND(Trans!E453,"AAAAAF/Pe/g=")</f>
        <v>#VALUE!:noResult:No valid cells found for operation.</v>
      </c>
      <c r="IP32" s="15" t="str">
        <f>AND(Trans!F453,"AAAAAF/Pe/k=")</f>
        <v>#VALUE!:noResult:No valid cells found for operation.</v>
      </c>
      <c r="IQ32" s="15" t="str">
        <f>AND(Trans!G453,"AAAAAF/Pe/o=")</f>
        <v>#VALUE!:noResult:No valid cells found for operation.</v>
      </c>
      <c r="IR32" s="15" t="str">
        <f>#REF!</f>
        <v>#VALUE!:noResult:No valid cells found for operation.</v>
      </c>
      <c r="IS32" s="15" t="str">
        <f>AND(Trans!H453,"AAAAAF/Pe/w=")</f>
        <v>#VALUE!:noResult:No valid cells found for operation.</v>
      </c>
      <c r="IT32" s="15" t="str">
        <f>#REF!</f>
        <v>#VALUE!:noResult:No valid cells found for operation.</v>
      </c>
      <c r="IU32" s="15" t="str">
        <f>#REF!</f>
        <v>#VALUE!:noResult:No valid cells found for operation.</v>
      </c>
      <c r="IV32" s="15" t="str">
        <f>#REF!</f>
        <v>#VALUE!:noResult:No valid cells found for operation.</v>
      </c>
    </row>
    <row r="33">
      <c r="A33" s="15" t="str">
        <f>#REF!</f>
        <v>#VALUE!:noResult:No valid cells found for operation.</v>
      </c>
      <c r="B33" s="15" t="str">
        <f>#REF!</f>
        <v>#VALUE!:noResult:No valid cells found for operation.</v>
      </c>
      <c r="C33" s="15" t="str">
        <f>#REF!</f>
        <v>#VALUE!:noResult:No valid cells found for operation.</v>
      </c>
      <c r="D33" s="15" t="str">
        <f>IF(Trans!R[421],"AAAAAH/muwM=",0)</f>
        <v>AAAAAH/muwM=</v>
      </c>
      <c r="E33" s="15" t="b">
        <f>AND(Trans!A454,"AAAAAH/muwQ=")</f>
        <v>1</v>
      </c>
      <c r="F33" s="15" t="str">
        <f>AND(Trans!B454,"AAAAAH/muwU=")</f>
        <v>#VALUE!:noResult:No valid cells found for operation.</v>
      </c>
      <c r="G33" s="15" t="b">
        <f>AND(Trans!C454,"AAAAAH/muwY=")</f>
        <v>1</v>
      </c>
      <c r="H33" s="15" t="b">
        <f>AND(Trans!D454,"AAAAAH/muwc=")</f>
        <v>1</v>
      </c>
      <c r="I33" s="15" t="str">
        <f>AND(Trans!E454,"AAAAAH/muwg=")</f>
        <v>#VALUE!:noResult:No valid cells found for operation.</v>
      </c>
      <c r="J33" s="15" t="str">
        <f>AND(Trans!F454,"AAAAAH/muwk=")</f>
        <v>#VALUE!:noResult:No valid cells found for operation.</v>
      </c>
      <c r="K33" s="15" t="str">
        <f>AND(Trans!G454,"AAAAAH/muwo=")</f>
        <v>#VALUE!:noResult:No valid cells found for operation.</v>
      </c>
      <c r="L33" s="15" t="str">
        <f>#REF!</f>
        <v>#VALUE!:noResult:No valid cells found for operation.</v>
      </c>
      <c r="M33" s="15" t="str">
        <f>AND(Trans!H454,"AAAAAH/muww=")</f>
        <v>#VALUE!:noResult:No valid cells found for operation.</v>
      </c>
      <c r="N33" s="15" t="str">
        <f>#REF!</f>
        <v>#VALUE!:noResult:No valid cells found for operation.</v>
      </c>
      <c r="O33" s="15" t="str">
        <f>#REF!</f>
        <v>#VALUE!:noResult:No valid cells found for operation.</v>
      </c>
      <c r="P33" s="15" t="str">
        <f>#REF!</f>
        <v>#VALUE!:noResult:No valid cells found for operation.</v>
      </c>
      <c r="Q33" s="15" t="str">
        <f>#REF!</f>
        <v>#VALUE!:noResult:No valid cells found for operation.</v>
      </c>
      <c r="R33" s="15" t="str">
        <f>#REF!</f>
        <v>#VALUE!:noResult:No valid cells found for operation.</v>
      </c>
      <c r="S33" s="15" t="str">
        <f>#REF!</f>
        <v>#VALUE!:noResult:No valid cells found for operation.</v>
      </c>
      <c r="T33" s="15">
        <f>IF(Trans!R[422],"AAAAAH/muxM=",0)</f>
        <v>0</v>
      </c>
      <c r="U33" s="15" t="b">
        <f>AND(Trans!A455,"AAAAAH/muxQ=")</f>
        <v>1</v>
      </c>
      <c r="V33" s="15" t="str">
        <f>AND(Trans!B455,"AAAAAH/muxU=")</f>
        <v>#VALUE!:noResult:No valid cells found for operation.</v>
      </c>
      <c r="W33" s="15" t="b">
        <f>AND(Trans!C455,"AAAAAH/muxY=")</f>
        <v>1</v>
      </c>
      <c r="X33" s="15" t="b">
        <f>AND(Trans!D455,"AAAAAH/muxc=")</f>
        <v>1</v>
      </c>
      <c r="Y33" s="15" t="str">
        <f>AND(Trans!E455,"AAAAAH/muxg=")</f>
        <v>#VALUE!:noResult:No valid cells found for operation.</v>
      </c>
      <c r="Z33" s="15" t="str">
        <f>AND(Trans!F455,"AAAAAH/muxk=")</f>
        <v>#VALUE!:noResult:No valid cells found for operation.</v>
      </c>
      <c r="AA33" s="15" t="str">
        <f>AND(Trans!G455,"AAAAAH/muxo=")</f>
        <v>#VALUE!:noResult:No valid cells found for operation.</v>
      </c>
      <c r="AB33" s="15" t="str">
        <f>#REF!</f>
        <v>#VALUE!:noResult:No valid cells found for operation.</v>
      </c>
      <c r="AC33" s="15" t="str">
        <f>AND(Trans!H455,"AAAAAH/muxw=")</f>
        <v>#VALUE!:noResult:No valid cells found for operation.</v>
      </c>
      <c r="AD33" s="15" t="str">
        <f>#REF!</f>
        <v>#VALUE!:noResult:No valid cells found for operation.</v>
      </c>
      <c r="AE33" s="15" t="str">
        <f>#REF!</f>
        <v>#VALUE!:noResult:No valid cells found for operation.</v>
      </c>
      <c r="AF33" s="15" t="str">
        <f>#REF!</f>
        <v>#VALUE!:noResult:No valid cells found for operation.</v>
      </c>
      <c r="AG33" s="15" t="str">
        <f>#REF!</f>
        <v>#VALUE!:noResult:No valid cells found for operation.</v>
      </c>
      <c r="AH33" s="15" t="str">
        <f>#REF!</f>
        <v>#VALUE!:noResult:No valid cells found for operation.</v>
      </c>
      <c r="AI33" s="15" t="str">
        <f>#REF!</f>
        <v>#VALUE!:noResult:No valid cells found for operation.</v>
      </c>
      <c r="AJ33" s="15">
        <f>IF(Trans!R[423],"AAAAAH/muyM=",0)</f>
        <v>0</v>
      </c>
      <c r="AK33" s="15" t="b">
        <f>AND(Trans!A456,"AAAAAH/muyQ=")</f>
        <v>1</v>
      </c>
      <c r="AL33" s="15" t="str">
        <f>AND(Trans!B456,"AAAAAH/muyU=")</f>
        <v>#VALUE!:noResult:No valid cells found for operation.</v>
      </c>
      <c r="AM33" s="15" t="b">
        <f>AND(Trans!C456,"AAAAAH/muyY=")</f>
        <v>1</v>
      </c>
      <c r="AN33" s="15" t="b">
        <f>AND(Trans!D456,"AAAAAH/muyc=")</f>
        <v>1</v>
      </c>
      <c r="AO33" s="15" t="str">
        <f>AND(Trans!E456,"AAAAAH/muyg=")</f>
        <v>#VALUE!:noResult:No valid cells found for operation.</v>
      </c>
      <c r="AP33" s="15" t="str">
        <f>AND(Trans!F456,"AAAAAH/muyk=")</f>
        <v>#VALUE!:noResult:No valid cells found for operation.</v>
      </c>
      <c r="AQ33" s="15" t="str">
        <f>AND(Trans!G456,"AAAAAH/muyo=")</f>
        <v>#VALUE!:noResult:No valid cells found for operation.</v>
      </c>
      <c r="AR33" s="15" t="str">
        <f>#REF!</f>
        <v>#VALUE!:noResult:No valid cells found for operation.</v>
      </c>
      <c r="AS33" s="15" t="str">
        <f>AND(Trans!H456,"AAAAAH/muyw=")</f>
        <v>#VALUE!:noResult:No valid cells found for operation.</v>
      </c>
      <c r="AT33" s="15" t="str">
        <f>#REF!</f>
        <v>#VALUE!:noResult:No valid cells found for operation.</v>
      </c>
      <c r="AU33" s="15" t="str">
        <f>#REF!</f>
        <v>#VALUE!:noResult:No valid cells found for operation.</v>
      </c>
      <c r="AV33" s="15" t="str">
        <f>#REF!</f>
        <v>#VALUE!:noResult:No valid cells found for operation.</v>
      </c>
      <c r="AW33" s="15" t="str">
        <f>#REF!</f>
        <v>#VALUE!:noResult:No valid cells found for operation.</v>
      </c>
      <c r="AX33" s="15" t="str">
        <f>#REF!</f>
        <v>#VALUE!:noResult:No valid cells found for operation.</v>
      </c>
      <c r="AY33" s="15" t="str">
        <f>#REF!</f>
        <v>#VALUE!:noResult:No valid cells found for operation.</v>
      </c>
      <c r="AZ33" s="15">
        <f>IF(Trans!R[424],"AAAAAH/muzM=",0)</f>
        <v>0</v>
      </c>
      <c r="BA33" s="15" t="b">
        <f>AND(Trans!A457,"AAAAAH/muzQ=")</f>
        <v>1</v>
      </c>
      <c r="BB33" s="15" t="str">
        <f>AND(Trans!B457,"AAAAAH/muzU=")</f>
        <v>#VALUE!:noResult:No valid cells found for operation.</v>
      </c>
      <c r="BC33" s="15" t="b">
        <f>AND(Trans!C457,"AAAAAH/muzY=")</f>
        <v>1</v>
      </c>
      <c r="BD33" s="15" t="b">
        <f>AND(Trans!D457,"AAAAAH/muzc=")</f>
        <v>1</v>
      </c>
      <c r="BE33" s="15" t="str">
        <f>AND(Trans!E457,"AAAAAH/muzg=")</f>
        <v>#VALUE!:noResult:No valid cells found for operation.</v>
      </c>
      <c r="BF33" s="15" t="str">
        <f>AND(Trans!F457,"AAAAAH/muzk=")</f>
        <v>#VALUE!:noResult:No valid cells found for operation.</v>
      </c>
      <c r="BG33" s="15" t="str">
        <f>AND(Trans!G457,"AAAAAH/muzo=")</f>
        <v>#VALUE!:noResult:No valid cells found for operation.</v>
      </c>
      <c r="BH33" s="15" t="str">
        <f>#REF!</f>
        <v>#VALUE!:noResult:No valid cells found for operation.</v>
      </c>
      <c r="BI33" s="15" t="str">
        <f>AND(Trans!H457,"AAAAAH/muzw=")</f>
        <v>#VALUE!:noResult:No valid cells found for operation.</v>
      </c>
      <c r="BJ33" s="15" t="str">
        <f>#REF!</f>
        <v>#VALUE!:noResult:No valid cells found for operation.</v>
      </c>
      <c r="BK33" s="15" t="str">
        <f>#REF!</f>
        <v>#VALUE!:noResult:No valid cells found for operation.</v>
      </c>
      <c r="BL33" s="15" t="str">
        <f>#REF!</f>
        <v>#VALUE!:noResult:No valid cells found for operation.</v>
      </c>
      <c r="BM33" s="15" t="str">
        <f>#REF!</f>
        <v>#VALUE!:noResult:No valid cells found for operation.</v>
      </c>
      <c r="BN33" s="15" t="str">
        <f>#REF!</f>
        <v>#VALUE!:noResult:No valid cells found for operation.</v>
      </c>
      <c r="BO33" s="15" t="str">
        <f>#REF!</f>
        <v>#VALUE!:noResult:No valid cells found for operation.</v>
      </c>
      <c r="BP33" s="15">
        <f>IF(Trans!R[425],"AAAAAH/mu0M=",0)</f>
        <v>0</v>
      </c>
      <c r="BQ33" s="15" t="b">
        <f>AND(Trans!A458,"AAAAAH/mu0Q=")</f>
        <v>1</v>
      </c>
      <c r="BR33" s="15" t="str">
        <f>AND(Trans!B458,"AAAAAH/mu0U=")</f>
        <v>#VALUE!:noResult:No valid cells found for operation.</v>
      </c>
      <c r="BS33" s="15" t="b">
        <f>AND(Trans!C458,"AAAAAH/mu0Y=")</f>
        <v>1</v>
      </c>
      <c r="BT33" s="15" t="b">
        <f>AND(Trans!D458,"AAAAAH/mu0c=")</f>
        <v>1</v>
      </c>
      <c r="BU33" s="15" t="str">
        <f>AND(Trans!E458,"AAAAAH/mu0g=")</f>
        <v>#VALUE!:noResult:No valid cells found for operation.</v>
      </c>
      <c r="BV33" s="15" t="str">
        <f>AND(Trans!F458,"AAAAAH/mu0k=")</f>
        <v>#VALUE!:noResult:No valid cells found for operation.</v>
      </c>
      <c r="BW33" s="15" t="str">
        <f>AND(Trans!G458,"AAAAAH/mu0o=")</f>
        <v>#VALUE!:noResult:No valid cells found for operation.</v>
      </c>
      <c r="BX33" s="15" t="str">
        <f>#REF!</f>
        <v>#VALUE!:noResult:No valid cells found for operation.</v>
      </c>
      <c r="BY33" s="15" t="str">
        <f>AND(Trans!H458,"AAAAAH/mu0w=")</f>
        <v>#VALUE!:noResult:No valid cells found for operation.</v>
      </c>
      <c r="BZ33" s="15" t="str">
        <f>#REF!</f>
        <v>#VALUE!:noResult:No valid cells found for operation.</v>
      </c>
      <c r="CA33" s="15" t="str">
        <f>#REF!</f>
        <v>#VALUE!:noResult:No valid cells found for operation.</v>
      </c>
      <c r="CB33" s="15" t="str">
        <f>#REF!</f>
        <v>#VALUE!:noResult:No valid cells found for operation.</v>
      </c>
      <c r="CC33" s="15" t="str">
        <f>#REF!</f>
        <v>#VALUE!:noResult:No valid cells found for operation.</v>
      </c>
      <c r="CD33" s="15" t="str">
        <f>#REF!</f>
        <v>#VALUE!:noResult:No valid cells found for operation.</v>
      </c>
      <c r="CE33" s="15" t="str">
        <f>#REF!</f>
        <v>#VALUE!:noResult:No valid cells found for operation.</v>
      </c>
      <c r="CF33" s="15">
        <f>IF(Trans!R[426],"AAAAAH/mu1M=",0)</f>
        <v>0</v>
      </c>
      <c r="CG33" s="15" t="b">
        <f>AND(Trans!A459,"AAAAAH/mu1Q=")</f>
        <v>1</v>
      </c>
      <c r="CH33" s="15" t="str">
        <f>AND(Trans!B459,"AAAAAH/mu1U=")</f>
        <v>#VALUE!:noResult:No valid cells found for operation.</v>
      </c>
      <c r="CI33" s="15" t="b">
        <f>AND(Trans!C459,"AAAAAH/mu1Y=")</f>
        <v>1</v>
      </c>
      <c r="CJ33" s="15" t="b">
        <f>AND(Trans!D459,"AAAAAH/mu1c=")</f>
        <v>1</v>
      </c>
      <c r="CK33" s="15" t="str">
        <f>AND(Trans!E459,"AAAAAH/mu1g=")</f>
        <v>#VALUE!:noResult:No valid cells found for operation.</v>
      </c>
      <c r="CL33" s="15" t="str">
        <f>AND(Trans!F459,"AAAAAH/mu1k=")</f>
        <v>#VALUE!:noResult:No valid cells found for operation.</v>
      </c>
      <c r="CM33" s="15" t="str">
        <f>AND(Trans!G459,"AAAAAH/mu1o=")</f>
        <v>#VALUE!:noResult:No valid cells found for operation.</v>
      </c>
      <c r="CN33" s="15" t="str">
        <f>#REF!</f>
        <v>#VALUE!:noResult:No valid cells found for operation.</v>
      </c>
      <c r="CO33" s="15" t="str">
        <f>AND(Trans!H459,"AAAAAH/mu1w=")</f>
        <v>#VALUE!:noResult:No valid cells found for operation.</v>
      </c>
      <c r="CP33" s="15" t="str">
        <f>#REF!</f>
        <v>#VALUE!:noResult:No valid cells found for operation.</v>
      </c>
      <c r="CQ33" s="15" t="str">
        <f>#REF!</f>
        <v>#VALUE!:noResult:No valid cells found for operation.</v>
      </c>
      <c r="CR33" s="15" t="str">
        <f>#REF!</f>
        <v>#VALUE!:noResult:No valid cells found for operation.</v>
      </c>
      <c r="CS33" s="15" t="str">
        <f>#REF!</f>
        <v>#VALUE!:noResult:No valid cells found for operation.</v>
      </c>
      <c r="CT33" s="15" t="str">
        <f>#REF!</f>
        <v>#VALUE!:noResult:No valid cells found for operation.</v>
      </c>
      <c r="CU33" s="15" t="str">
        <f>#REF!</f>
        <v>#VALUE!:noResult:No valid cells found for operation.</v>
      </c>
      <c r="CV33" s="15">
        <f>IF(Trans!R[427],"AAAAAH/mu2M=",0)</f>
        <v>0</v>
      </c>
      <c r="CW33" s="15" t="b">
        <f>AND(Trans!A460,"AAAAAH/mu2Q=")</f>
        <v>1</v>
      </c>
      <c r="CX33" s="15" t="str">
        <f>AND(Trans!B460,"AAAAAH/mu2U=")</f>
        <v>#VALUE!:noResult:No valid cells found for operation.</v>
      </c>
      <c r="CY33" s="15" t="b">
        <f>AND(Trans!C460,"AAAAAH/mu2Y=")</f>
        <v>1</v>
      </c>
      <c r="CZ33" s="15" t="b">
        <f>AND(Trans!D460,"AAAAAH/mu2c=")</f>
        <v>1</v>
      </c>
      <c r="DA33" s="15" t="str">
        <f>AND(Trans!E460,"AAAAAH/mu2g=")</f>
        <v>#VALUE!:noResult:No valid cells found for operation.</v>
      </c>
      <c r="DB33" s="15" t="str">
        <f>AND(Trans!F460,"AAAAAH/mu2k=")</f>
        <v>#VALUE!:noResult:No valid cells found for operation.</v>
      </c>
      <c r="DC33" s="15" t="str">
        <f>AND(Trans!G460,"AAAAAH/mu2o=")</f>
        <v>#VALUE!:noResult:No valid cells found for operation.</v>
      </c>
      <c r="DD33" s="15" t="str">
        <f>#REF!</f>
        <v>#VALUE!:noResult:No valid cells found for operation.</v>
      </c>
      <c r="DE33" s="15" t="str">
        <f>AND(Trans!H460,"AAAAAH/mu2w=")</f>
        <v>#VALUE!:noResult:No valid cells found for operation.</v>
      </c>
      <c r="DF33" s="15" t="str">
        <f>#REF!</f>
        <v>#VALUE!:noResult:No valid cells found for operation.</v>
      </c>
      <c r="DG33" s="15" t="str">
        <f>#REF!</f>
        <v>#VALUE!:noResult:No valid cells found for operation.</v>
      </c>
      <c r="DH33" s="15" t="str">
        <f>#REF!</f>
        <v>#VALUE!:noResult:No valid cells found for operation.</v>
      </c>
      <c r="DI33" s="15" t="str">
        <f>#REF!</f>
        <v>#VALUE!:noResult:No valid cells found for operation.</v>
      </c>
      <c r="DJ33" s="15" t="str">
        <f>#REF!</f>
        <v>#VALUE!:noResult:No valid cells found for operation.</v>
      </c>
      <c r="DK33" s="15" t="str">
        <f>#REF!</f>
        <v>#VALUE!:noResult:No valid cells found for operation.</v>
      </c>
      <c r="DL33" s="15">
        <f>IF(Trans!R[428],"AAAAAH/mu3M=",0)</f>
        <v>0</v>
      </c>
      <c r="DM33" s="15" t="b">
        <f>AND(Trans!A461,"AAAAAH/mu3Q=")</f>
        <v>1</v>
      </c>
      <c r="DN33" s="15" t="str">
        <f>AND(Trans!B461,"AAAAAH/mu3U=")</f>
        <v>#VALUE!:noResult:No valid cells found for operation.</v>
      </c>
      <c r="DO33" s="15" t="b">
        <f>AND(Trans!C461,"AAAAAH/mu3Y=")</f>
        <v>1</v>
      </c>
      <c r="DP33" s="15" t="b">
        <f>AND(Trans!D461,"AAAAAH/mu3c=")</f>
        <v>1</v>
      </c>
      <c r="DQ33" s="15" t="str">
        <f>AND(Trans!E461,"AAAAAH/mu3g=")</f>
        <v>#VALUE!:noResult:No valid cells found for operation.</v>
      </c>
      <c r="DR33" s="15" t="str">
        <f>AND(Trans!F461,"AAAAAH/mu3k=")</f>
        <v>#VALUE!:noResult:No valid cells found for operation.</v>
      </c>
      <c r="DS33" s="15" t="str">
        <f>AND(Trans!G461,"AAAAAH/mu3o=")</f>
        <v>#VALUE!:noResult:No valid cells found for operation.</v>
      </c>
      <c r="DT33" s="15" t="str">
        <f>#REF!</f>
        <v>#VALUE!:noResult:No valid cells found for operation.</v>
      </c>
      <c r="DU33" s="15" t="str">
        <f>AND(Trans!H461,"AAAAAH/mu3w=")</f>
        <v>#VALUE!:noResult:No valid cells found for operation.</v>
      </c>
      <c r="DV33" s="15" t="str">
        <f>#REF!</f>
        <v>#VALUE!:noResult:No valid cells found for operation.</v>
      </c>
      <c r="DW33" s="15" t="str">
        <f>#REF!</f>
        <v>#VALUE!:noResult:No valid cells found for operation.</v>
      </c>
      <c r="DX33" s="15" t="str">
        <f>#REF!</f>
        <v>#VALUE!:noResult:No valid cells found for operation.</v>
      </c>
      <c r="DY33" s="15" t="str">
        <f>#REF!</f>
        <v>#VALUE!:noResult:No valid cells found for operation.</v>
      </c>
      <c r="DZ33" s="15" t="str">
        <f>#REF!</f>
        <v>#VALUE!:noResult:No valid cells found for operation.</v>
      </c>
      <c r="EA33" s="15" t="str">
        <f>#REF!</f>
        <v>#VALUE!:noResult:No valid cells found for operation.</v>
      </c>
      <c r="EB33" s="15">
        <f>IF(Trans!R[429],"AAAAAH/mu4M=",0)</f>
        <v>0</v>
      </c>
      <c r="EC33" s="15" t="b">
        <f>AND(Trans!A462,"AAAAAH/mu4Q=")</f>
        <v>1</v>
      </c>
      <c r="ED33" s="15" t="str">
        <f>AND(Trans!B462,"AAAAAH/mu4U=")</f>
        <v>#VALUE!:noResult:No valid cells found for operation.</v>
      </c>
      <c r="EE33" s="15" t="b">
        <f>AND(Trans!C462,"AAAAAH/mu4Y=")</f>
        <v>1</v>
      </c>
      <c r="EF33" s="15" t="b">
        <f>AND(Trans!D462,"AAAAAH/mu4c=")</f>
        <v>1</v>
      </c>
      <c r="EG33" s="15" t="str">
        <f>AND(Trans!E462,"AAAAAH/mu4g=")</f>
        <v>#VALUE!:noResult:No valid cells found for operation.</v>
      </c>
      <c r="EH33" s="15" t="str">
        <f>AND(Trans!F462,"AAAAAH/mu4k=")</f>
        <v>#VALUE!:noResult:No valid cells found for operation.</v>
      </c>
      <c r="EI33" s="15" t="str">
        <f>AND(Trans!G462,"AAAAAH/mu4o=")</f>
        <v>#VALUE!:noResult:No valid cells found for operation.</v>
      </c>
      <c r="EJ33" s="15" t="str">
        <f>#REF!</f>
        <v>#VALUE!:noResult:No valid cells found for operation.</v>
      </c>
      <c r="EK33" s="15" t="str">
        <f>AND(Trans!H462,"AAAAAH/mu4w=")</f>
        <v>#VALUE!:noResult:No valid cells found for operation.</v>
      </c>
      <c r="EL33" s="15" t="str">
        <f>#REF!</f>
        <v>#VALUE!:noResult:No valid cells found for operation.</v>
      </c>
      <c r="EM33" s="15" t="str">
        <f>#REF!</f>
        <v>#VALUE!:noResult:No valid cells found for operation.</v>
      </c>
      <c r="EN33" s="15" t="str">
        <f>#REF!</f>
        <v>#VALUE!:noResult:No valid cells found for operation.</v>
      </c>
      <c r="EO33" s="15" t="str">
        <f>#REF!</f>
        <v>#VALUE!:noResult:No valid cells found for operation.</v>
      </c>
      <c r="EP33" s="15" t="str">
        <f>#REF!</f>
        <v>#VALUE!:noResult:No valid cells found for operation.</v>
      </c>
      <c r="EQ33" s="15" t="str">
        <f>#REF!</f>
        <v>#VALUE!:noResult:No valid cells found for operation.</v>
      </c>
      <c r="ER33" s="15">
        <f>IF(Trans!R[430],"AAAAAH/mu5M=",0)</f>
        <v>0</v>
      </c>
      <c r="ES33" s="15" t="b">
        <f>AND(Trans!A463,"AAAAAH/mu5Q=")</f>
        <v>1</v>
      </c>
      <c r="ET33" s="15" t="str">
        <f>AND(Trans!B463,"AAAAAH/mu5U=")</f>
        <v>#VALUE!:noResult:No valid cells found for operation.</v>
      </c>
      <c r="EU33" s="15" t="b">
        <f>AND(Trans!C463,"AAAAAH/mu5Y=")</f>
        <v>1</v>
      </c>
      <c r="EV33" s="15" t="b">
        <f>AND(Trans!D463,"AAAAAH/mu5c=")</f>
        <v>1</v>
      </c>
      <c r="EW33" s="15" t="str">
        <f>AND(Trans!E463,"AAAAAH/mu5g=")</f>
        <v>#VALUE!:noResult:No valid cells found for operation.</v>
      </c>
      <c r="EX33" s="15" t="str">
        <f>AND(Trans!F463,"AAAAAH/mu5k=")</f>
        <v>#VALUE!:noResult:No valid cells found for operation.</v>
      </c>
      <c r="EY33" s="15" t="str">
        <f>AND(Trans!G463,"AAAAAH/mu5o=")</f>
        <v>#VALUE!:noResult:No valid cells found for operation.</v>
      </c>
      <c r="EZ33" s="15" t="str">
        <f>#REF!</f>
        <v>#VALUE!:noResult:No valid cells found for operation.</v>
      </c>
      <c r="FA33" s="15" t="str">
        <f>AND(Trans!H463,"AAAAAH/mu5w=")</f>
        <v>#VALUE!:noResult:No valid cells found for operation.</v>
      </c>
      <c r="FB33" s="15" t="str">
        <f>#REF!</f>
        <v>#VALUE!:noResult:No valid cells found for operation.</v>
      </c>
      <c r="FC33" s="15" t="str">
        <f>#REF!</f>
        <v>#VALUE!:noResult:No valid cells found for operation.</v>
      </c>
      <c r="FD33" s="15" t="str">
        <f>#REF!</f>
        <v>#VALUE!:noResult:No valid cells found for operation.</v>
      </c>
      <c r="FE33" s="15" t="str">
        <f>#REF!</f>
        <v>#VALUE!:noResult:No valid cells found for operation.</v>
      </c>
      <c r="FF33" s="15" t="str">
        <f>#REF!</f>
        <v>#VALUE!:noResult:No valid cells found for operation.</v>
      </c>
      <c r="FG33" s="15" t="str">
        <f>#REF!</f>
        <v>#VALUE!:noResult:No valid cells found for operation.</v>
      </c>
      <c r="FH33" s="15">
        <f>IF(Trans!R[431],"AAAAAH/mu6M=",0)</f>
        <v>0</v>
      </c>
      <c r="FI33" s="15" t="b">
        <f>AND(Trans!A464,"AAAAAH/mu6Q=")</f>
        <v>1</v>
      </c>
      <c r="FJ33" s="15" t="str">
        <f>AND(Trans!B464,"AAAAAH/mu6U=")</f>
        <v>#VALUE!:noResult:No valid cells found for operation.</v>
      </c>
      <c r="FK33" s="15" t="b">
        <f>AND(Trans!C464,"AAAAAH/mu6Y=")</f>
        <v>1</v>
      </c>
      <c r="FL33" s="15" t="b">
        <f>AND(Trans!D464,"AAAAAH/mu6c=")</f>
        <v>1</v>
      </c>
      <c r="FM33" s="15" t="str">
        <f>AND(Trans!E464,"AAAAAH/mu6g=")</f>
        <v>#VALUE!:noResult:No valid cells found for operation.</v>
      </c>
      <c r="FN33" s="15" t="str">
        <f>AND(Trans!F464,"AAAAAH/mu6k=")</f>
        <v>#VALUE!:noResult:No valid cells found for operation.</v>
      </c>
      <c r="FO33" s="15" t="str">
        <f>AND(Trans!G464,"AAAAAH/mu6o=")</f>
        <v>#VALUE!:noResult:No valid cells found for operation.</v>
      </c>
      <c r="FP33" s="15" t="str">
        <f>#REF!</f>
        <v>#VALUE!:noResult:No valid cells found for operation.</v>
      </c>
      <c r="FQ33" s="15" t="str">
        <f>AND(Trans!H464,"AAAAAH/mu6w=")</f>
        <v>#VALUE!:noResult:No valid cells found for operation.</v>
      </c>
      <c r="FR33" s="15" t="str">
        <f>#REF!</f>
        <v>#VALUE!:noResult:No valid cells found for operation.</v>
      </c>
      <c r="FS33" s="15" t="str">
        <f>#REF!</f>
        <v>#VALUE!:noResult:No valid cells found for operation.</v>
      </c>
      <c r="FT33" s="15" t="str">
        <f>#REF!</f>
        <v>#VALUE!:noResult:No valid cells found for operation.</v>
      </c>
      <c r="FU33" s="15" t="str">
        <f>#REF!</f>
        <v>#VALUE!:noResult:No valid cells found for operation.</v>
      </c>
      <c r="FV33" s="15" t="str">
        <f>#REF!</f>
        <v>#VALUE!:noResult:No valid cells found for operation.</v>
      </c>
      <c r="FW33" s="15" t="str">
        <f>#REF!</f>
        <v>#VALUE!:noResult:No valid cells found for operation.</v>
      </c>
      <c r="FX33" s="15">
        <f>IF(Trans!R[432],"AAAAAH/mu7M=",0)</f>
        <v>0</v>
      </c>
      <c r="FY33" s="15" t="b">
        <f>AND(Trans!A465,"AAAAAH/mu7Q=")</f>
        <v>1</v>
      </c>
      <c r="FZ33" s="15" t="str">
        <f>AND(Trans!B465,"AAAAAH/mu7U=")</f>
        <v>#VALUE!:noResult:No valid cells found for operation.</v>
      </c>
      <c r="GA33" s="15" t="b">
        <f>AND(Trans!C465,"AAAAAH/mu7Y=")</f>
        <v>1</v>
      </c>
      <c r="GB33" s="15" t="b">
        <f>AND(Trans!D465,"AAAAAH/mu7c=")</f>
        <v>1</v>
      </c>
      <c r="GC33" s="15" t="str">
        <f>AND(Trans!E465,"AAAAAH/mu7g=")</f>
        <v>#VALUE!:noResult:No valid cells found for operation.</v>
      </c>
      <c r="GD33" s="15" t="str">
        <f>AND(Trans!F465,"AAAAAH/mu7k=")</f>
        <v>#VALUE!:noResult:No valid cells found for operation.</v>
      </c>
      <c r="GE33" s="15" t="str">
        <f>AND(Trans!G465,"AAAAAH/mu7o=")</f>
        <v>#VALUE!:noResult:No valid cells found for operation.</v>
      </c>
      <c r="GF33" s="15" t="str">
        <f>#REF!</f>
        <v>#VALUE!:noResult:No valid cells found for operation.</v>
      </c>
      <c r="GG33" s="15" t="str">
        <f>AND(Trans!H465,"AAAAAH/mu7w=")</f>
        <v>#VALUE!:noResult:No valid cells found for operation.</v>
      </c>
      <c r="GH33" s="15" t="str">
        <f>#REF!</f>
        <v>#VALUE!:noResult:No valid cells found for operation.</v>
      </c>
      <c r="GI33" s="15" t="str">
        <f>#REF!</f>
        <v>#VALUE!:noResult:No valid cells found for operation.</v>
      </c>
      <c r="GJ33" s="15" t="str">
        <f>#REF!</f>
        <v>#VALUE!:noResult:No valid cells found for operation.</v>
      </c>
      <c r="GK33" s="15" t="str">
        <f>#REF!</f>
        <v>#VALUE!:noResult:No valid cells found for operation.</v>
      </c>
      <c r="GL33" s="15" t="str">
        <f>#REF!</f>
        <v>#VALUE!:noResult:No valid cells found for operation.</v>
      </c>
      <c r="GM33" s="15" t="str">
        <f>#REF!</f>
        <v>#VALUE!:noResult:No valid cells found for operation.</v>
      </c>
      <c r="GN33" s="15">
        <f>IF(Trans!R[433],"AAAAAH/mu8M=",0)</f>
        <v>0</v>
      </c>
      <c r="GO33" s="15" t="b">
        <f>AND(Trans!A466,"AAAAAH/mu8Q=")</f>
        <v>1</v>
      </c>
      <c r="GP33" s="15" t="str">
        <f>AND(Trans!B466,"AAAAAH/mu8U=")</f>
        <v>#VALUE!:noResult:No valid cells found for operation.</v>
      </c>
      <c r="GQ33" s="15" t="b">
        <f>AND(Trans!C466,"AAAAAH/mu8Y=")</f>
        <v>1</v>
      </c>
      <c r="GR33" s="15" t="b">
        <f>AND(Trans!D466,"AAAAAH/mu8c=")</f>
        <v>1</v>
      </c>
      <c r="GS33" s="15" t="str">
        <f>AND(Trans!E466,"AAAAAH/mu8g=")</f>
        <v>#VALUE!:noResult:No valid cells found for operation.</v>
      </c>
      <c r="GT33" s="15" t="str">
        <f>AND(Trans!F466,"AAAAAH/mu8k=")</f>
        <v>#VALUE!:noResult:No valid cells found for operation.</v>
      </c>
      <c r="GU33" s="15" t="str">
        <f>AND(Trans!G466,"AAAAAH/mu8o=")</f>
        <v>#VALUE!:noResult:No valid cells found for operation.</v>
      </c>
      <c r="GV33" s="15" t="str">
        <f>#REF!</f>
        <v>#VALUE!:noResult:No valid cells found for operation.</v>
      </c>
      <c r="GW33" s="15" t="str">
        <f>AND(Trans!H466,"AAAAAH/mu8w=")</f>
        <v>#VALUE!:noResult:No valid cells found for operation.</v>
      </c>
      <c r="GX33" s="15" t="str">
        <f>#REF!</f>
        <v>#VALUE!:noResult:No valid cells found for operation.</v>
      </c>
      <c r="GY33" s="15" t="str">
        <f>#REF!</f>
        <v>#VALUE!:noResult:No valid cells found for operation.</v>
      </c>
      <c r="GZ33" s="15" t="str">
        <f>#REF!</f>
        <v>#VALUE!:noResult:No valid cells found for operation.</v>
      </c>
      <c r="HA33" s="15" t="str">
        <f>#REF!</f>
        <v>#VALUE!:noResult:No valid cells found for operation.</v>
      </c>
      <c r="HB33" s="15" t="str">
        <f>#REF!</f>
        <v>#VALUE!:noResult:No valid cells found for operation.</v>
      </c>
      <c r="HC33" s="15" t="str">
        <f>#REF!</f>
        <v>#VALUE!:noResult:No valid cells found for operation.</v>
      </c>
      <c r="HD33" s="15">
        <f>IF(Trans!R[434],"AAAAAH/mu9M=",0)</f>
        <v>0</v>
      </c>
      <c r="HE33" s="15" t="b">
        <f>AND(Trans!A467,"AAAAAH/mu9Q=")</f>
        <v>1</v>
      </c>
      <c r="HF33" s="15" t="str">
        <f>AND(Trans!B467,"AAAAAH/mu9U=")</f>
        <v>#VALUE!:noResult:No valid cells found for operation.</v>
      </c>
      <c r="HG33" s="15" t="b">
        <f>AND(Trans!C467,"AAAAAH/mu9Y=")</f>
        <v>1</v>
      </c>
      <c r="HH33" s="15" t="b">
        <f>AND(Trans!D467,"AAAAAH/mu9c=")</f>
        <v>1</v>
      </c>
      <c r="HI33" s="15" t="str">
        <f>AND(Trans!E467,"AAAAAH/mu9g=")</f>
        <v>#VALUE!:noResult:No valid cells found for operation.</v>
      </c>
      <c r="HJ33" s="15" t="str">
        <f>AND(Trans!F467,"AAAAAH/mu9k=")</f>
        <v>#VALUE!:noResult:No valid cells found for operation.</v>
      </c>
      <c r="HK33" s="15" t="str">
        <f>AND(Trans!G467,"AAAAAH/mu9o=")</f>
        <v>#VALUE!:noResult:No valid cells found for operation.</v>
      </c>
      <c r="HL33" s="15" t="str">
        <f>#REF!</f>
        <v>#VALUE!:noResult:No valid cells found for operation.</v>
      </c>
      <c r="HM33" s="15" t="str">
        <f>AND(Trans!H467,"AAAAAH/mu9w=")</f>
        <v>#VALUE!:noResult:No valid cells found for operation.</v>
      </c>
      <c r="HN33" s="15" t="str">
        <f>#REF!</f>
        <v>#VALUE!:noResult:No valid cells found for operation.</v>
      </c>
      <c r="HO33" s="15" t="str">
        <f>#REF!</f>
        <v>#VALUE!:noResult:No valid cells found for operation.</v>
      </c>
      <c r="HP33" s="15" t="str">
        <f>#REF!</f>
        <v>#VALUE!:noResult:No valid cells found for operation.</v>
      </c>
      <c r="HQ33" s="15" t="str">
        <f>#REF!</f>
        <v>#VALUE!:noResult:No valid cells found for operation.</v>
      </c>
      <c r="HR33" s="15" t="str">
        <f>#REF!</f>
        <v>#VALUE!:noResult:No valid cells found for operation.</v>
      </c>
      <c r="HS33" s="15" t="str">
        <f>#REF!</f>
        <v>#VALUE!:noResult:No valid cells found for operation.</v>
      </c>
      <c r="HT33" s="15">
        <f>IF(Trans!R[435],"AAAAAH/mu+M=",0)</f>
        <v>0</v>
      </c>
      <c r="HU33" s="15" t="b">
        <f>AND(Trans!A468,"AAAAAH/mu+Q=")</f>
        <v>1</v>
      </c>
      <c r="HV33" s="15" t="str">
        <f>AND(Trans!B468,"AAAAAH/mu+U=")</f>
        <v>#VALUE!:noResult:No valid cells found for operation.</v>
      </c>
      <c r="HW33" s="15" t="b">
        <f>AND(Trans!C468,"AAAAAH/mu+Y=")</f>
        <v>1</v>
      </c>
      <c r="HX33" s="15" t="b">
        <f>AND(Trans!D468,"AAAAAH/mu+c=")</f>
        <v>1</v>
      </c>
      <c r="HY33" s="15" t="str">
        <f>AND(Trans!E468,"AAAAAH/mu+g=")</f>
        <v>#VALUE!:noResult:No valid cells found for operation.</v>
      </c>
      <c r="HZ33" s="15" t="str">
        <f>AND(Trans!F468,"AAAAAH/mu+k=")</f>
        <v>#VALUE!:noResult:No valid cells found for operation.</v>
      </c>
      <c r="IA33" s="15" t="str">
        <f>AND(Trans!G468,"AAAAAH/mu+o=")</f>
        <v>#VALUE!:noResult:No valid cells found for operation.</v>
      </c>
      <c r="IB33" s="15" t="str">
        <f>#REF!</f>
        <v>#VALUE!:noResult:No valid cells found for operation.</v>
      </c>
      <c r="IC33" s="15" t="str">
        <f>AND(Trans!H468,"AAAAAH/mu+w=")</f>
        <v>#VALUE!:noResult:No valid cells found for operation.</v>
      </c>
      <c r="ID33" s="15" t="str">
        <f>#REF!</f>
        <v>#VALUE!:noResult:No valid cells found for operation.</v>
      </c>
      <c r="IE33" s="15" t="str">
        <f>#REF!</f>
        <v>#VALUE!:noResult:No valid cells found for operation.</v>
      </c>
      <c r="IF33" s="15" t="str">
        <f>#REF!</f>
        <v>#VALUE!:noResult:No valid cells found for operation.</v>
      </c>
      <c r="IG33" s="15" t="str">
        <f>#REF!</f>
        <v>#VALUE!:noResult:No valid cells found for operation.</v>
      </c>
      <c r="IH33" s="15" t="str">
        <f>#REF!</f>
        <v>#VALUE!:noResult:No valid cells found for operation.</v>
      </c>
      <c r="II33" s="15" t="str">
        <f>#REF!</f>
        <v>#VALUE!:noResult:No valid cells found for operation.</v>
      </c>
      <c r="IJ33" s="15">
        <f>IF(Trans!R[436],"AAAAAH/mu/M=",0)</f>
        <v>0</v>
      </c>
      <c r="IK33" s="15" t="b">
        <f>AND(Trans!A469,"AAAAAH/mu/Q=")</f>
        <v>1</v>
      </c>
      <c r="IL33" s="15" t="str">
        <f>AND(Trans!B469,"AAAAAH/mu/U=")</f>
        <v>#VALUE!:noResult:No valid cells found for operation.</v>
      </c>
      <c r="IM33" s="15" t="b">
        <f>AND(Trans!C469,"AAAAAH/mu/Y=")</f>
        <v>1</v>
      </c>
      <c r="IN33" s="15" t="b">
        <f>AND(Trans!D469,"AAAAAH/mu/c=")</f>
        <v>1</v>
      </c>
      <c r="IO33" s="15" t="str">
        <f>AND(Trans!E469,"AAAAAH/mu/g=")</f>
        <v>#VALUE!:noResult:No valid cells found for operation.</v>
      </c>
      <c r="IP33" s="15" t="str">
        <f>AND(Trans!F469,"AAAAAH/mu/k=")</f>
        <v>#VALUE!:noResult:No valid cells found for operation.</v>
      </c>
      <c r="IQ33" s="15" t="str">
        <f>AND(Trans!G469,"AAAAAH/mu/o=")</f>
        <v>#VALUE!:noResult:No valid cells found for operation.</v>
      </c>
      <c r="IR33" s="15" t="str">
        <f>#REF!</f>
        <v>#VALUE!:noResult:No valid cells found for operation.</v>
      </c>
      <c r="IS33" s="15" t="str">
        <f>AND(Trans!H469,"AAAAAH/mu/w=")</f>
        <v>#VALUE!:noResult:No valid cells found for operation.</v>
      </c>
      <c r="IT33" s="15" t="str">
        <f>#REF!</f>
        <v>#VALUE!:noResult:No valid cells found for operation.</v>
      </c>
      <c r="IU33" s="15" t="str">
        <f>#REF!</f>
        <v>#VALUE!:noResult:No valid cells found for operation.</v>
      </c>
      <c r="IV33" s="15" t="str">
        <f>#REF!</f>
        <v>#VALUE!:noResult:No valid cells found for operation.</v>
      </c>
    </row>
    <row r="34">
      <c r="A34" s="15" t="str">
        <f>#REF!</f>
        <v>#VALUE!:noResult:No valid cells found for operation.</v>
      </c>
      <c r="B34" s="15" t="str">
        <f>#REF!</f>
        <v>#VALUE!:noResult:No valid cells found for operation.</v>
      </c>
      <c r="C34" s="15" t="str">
        <f>#REF!</f>
        <v>#VALUE!:noResult:No valid cells found for operation.</v>
      </c>
      <c r="D34" s="15" t="str">
        <f>IF(Trans!R[436],"AAAAAH3vdwM=",0)</f>
        <v>AAAAAH3vdwM=</v>
      </c>
      <c r="E34" s="15" t="b">
        <f>AND(Trans!A470,"AAAAAH3vdwQ=")</f>
        <v>1</v>
      </c>
      <c r="F34" s="15" t="str">
        <f>AND(Trans!B470,"AAAAAH3vdwU=")</f>
        <v>#VALUE!:noResult:No valid cells found for operation.</v>
      </c>
      <c r="G34" s="15" t="b">
        <f>AND(Trans!C470,"AAAAAH3vdwY=")</f>
        <v>1</v>
      </c>
      <c r="H34" s="15" t="b">
        <f>AND(Trans!D470,"AAAAAH3vdwc=")</f>
        <v>1</v>
      </c>
      <c r="I34" s="15" t="str">
        <f>AND(Trans!E470,"AAAAAH3vdwg=")</f>
        <v>#VALUE!:noResult:No valid cells found for operation.</v>
      </c>
      <c r="J34" s="15" t="str">
        <f>AND(Trans!F470,"AAAAAH3vdwk=")</f>
        <v>#VALUE!:noResult:No valid cells found for operation.</v>
      </c>
      <c r="K34" s="15" t="str">
        <f>AND(Trans!G470,"AAAAAH3vdwo=")</f>
        <v>#VALUE!:noResult:No valid cells found for operation.</v>
      </c>
      <c r="L34" s="15" t="str">
        <f>#REF!</f>
        <v>#VALUE!:noResult:No valid cells found for operation.</v>
      </c>
      <c r="M34" s="15" t="str">
        <f>AND(Trans!H470,"AAAAAH3vdww=")</f>
        <v>#VALUE!:noResult:No valid cells found for operation.</v>
      </c>
      <c r="N34" s="15" t="str">
        <f>#REF!</f>
        <v>#VALUE!:noResult:No valid cells found for operation.</v>
      </c>
      <c r="O34" s="15" t="str">
        <f>#REF!</f>
        <v>#VALUE!:noResult:No valid cells found for operation.</v>
      </c>
      <c r="P34" s="15" t="str">
        <f>#REF!</f>
        <v>#VALUE!:noResult:No valid cells found for operation.</v>
      </c>
      <c r="Q34" s="15" t="str">
        <f>#REF!</f>
        <v>#VALUE!:noResult:No valid cells found for operation.</v>
      </c>
      <c r="R34" s="15" t="str">
        <f>#REF!</f>
        <v>#VALUE!:noResult:No valid cells found for operation.</v>
      </c>
      <c r="S34" s="15" t="str">
        <f>#REF!</f>
        <v>#VALUE!:noResult:No valid cells found for operation.</v>
      </c>
      <c r="T34" s="15">
        <f>IF(Trans!R[437],"AAAAAH3vdxM=",0)</f>
        <v>0</v>
      </c>
      <c r="U34" s="15" t="b">
        <f>AND(Trans!A471,"AAAAAH3vdxQ=")</f>
        <v>1</v>
      </c>
      <c r="V34" s="15" t="str">
        <f>AND(Trans!B471,"AAAAAH3vdxU=")</f>
        <v>#VALUE!:noResult:No valid cells found for operation.</v>
      </c>
      <c r="W34" s="15" t="b">
        <f>AND(Trans!C471,"AAAAAH3vdxY=")</f>
        <v>1</v>
      </c>
      <c r="X34" s="15" t="b">
        <f>AND(Trans!D471,"AAAAAH3vdxc=")</f>
        <v>1</v>
      </c>
      <c r="Y34" s="15" t="str">
        <f>AND(Trans!E471,"AAAAAH3vdxg=")</f>
        <v>#VALUE!:noResult:No valid cells found for operation.</v>
      </c>
      <c r="Z34" s="15" t="str">
        <f>AND(Trans!F471,"AAAAAH3vdxk=")</f>
        <v>#VALUE!:noResult:No valid cells found for operation.</v>
      </c>
      <c r="AA34" s="15" t="str">
        <f>AND(Trans!G471,"AAAAAH3vdxo=")</f>
        <v>#VALUE!:noResult:No valid cells found for operation.</v>
      </c>
      <c r="AB34" s="15" t="str">
        <f>#REF!</f>
        <v>#VALUE!:noResult:No valid cells found for operation.</v>
      </c>
      <c r="AC34" s="15" t="str">
        <f>AND(Trans!H471,"AAAAAH3vdxw=")</f>
        <v>#VALUE!:noResult:No valid cells found for operation.</v>
      </c>
      <c r="AD34" s="15" t="str">
        <f>#REF!</f>
        <v>#VALUE!:noResult:No valid cells found for operation.</v>
      </c>
      <c r="AE34" s="15" t="str">
        <f>#REF!</f>
        <v>#VALUE!:noResult:No valid cells found for operation.</v>
      </c>
      <c r="AF34" s="15" t="str">
        <f>#REF!</f>
        <v>#VALUE!:noResult:No valid cells found for operation.</v>
      </c>
      <c r="AG34" s="15" t="str">
        <f>#REF!</f>
        <v>#VALUE!:noResult:No valid cells found for operation.</v>
      </c>
      <c r="AH34" s="15" t="str">
        <f>#REF!</f>
        <v>#VALUE!:noResult:No valid cells found for operation.</v>
      </c>
      <c r="AI34" s="15" t="str">
        <f>#REF!</f>
        <v>#VALUE!:noResult:No valid cells found for operation.</v>
      </c>
      <c r="AJ34" s="15">
        <f>IF(Trans!R[438],"AAAAAH3vdyM=",0)</f>
        <v>0</v>
      </c>
      <c r="AK34" s="15" t="b">
        <f>AND(Trans!A472,"AAAAAH3vdyQ=")</f>
        <v>1</v>
      </c>
      <c r="AL34" s="15" t="str">
        <f>AND(Trans!B472,"AAAAAH3vdyU=")</f>
        <v>#VALUE!:noResult:No valid cells found for operation.</v>
      </c>
      <c r="AM34" s="15" t="b">
        <f>AND(Trans!C472,"AAAAAH3vdyY=")</f>
        <v>1</v>
      </c>
      <c r="AN34" s="15" t="b">
        <f>AND(Trans!D472,"AAAAAH3vdyc=")</f>
        <v>1</v>
      </c>
      <c r="AO34" s="15" t="str">
        <f>AND(Trans!E472,"AAAAAH3vdyg=")</f>
        <v>#VALUE!:noResult:No valid cells found for operation.</v>
      </c>
      <c r="AP34" s="15" t="str">
        <f>AND(Trans!F472,"AAAAAH3vdyk=")</f>
        <v>#VALUE!:noResult:No valid cells found for operation.</v>
      </c>
      <c r="AQ34" s="15" t="str">
        <f>AND(Trans!G472,"AAAAAH3vdyo=")</f>
        <v>#VALUE!:noResult:No valid cells found for operation.</v>
      </c>
      <c r="AR34" s="15" t="str">
        <f>#REF!</f>
        <v>#VALUE!:noResult:No valid cells found for operation.</v>
      </c>
      <c r="AS34" s="15" t="str">
        <f>AND(Trans!H472,"AAAAAH3vdyw=")</f>
        <v>#VALUE!:noResult:No valid cells found for operation.</v>
      </c>
      <c r="AT34" s="15" t="str">
        <f>#REF!</f>
        <v>#VALUE!:noResult:No valid cells found for operation.</v>
      </c>
      <c r="AU34" s="15" t="str">
        <f>#REF!</f>
        <v>#VALUE!:noResult:No valid cells found for operation.</v>
      </c>
      <c r="AV34" s="15" t="str">
        <f>#REF!</f>
        <v>#VALUE!:noResult:No valid cells found for operation.</v>
      </c>
      <c r="AW34" s="15" t="str">
        <f>#REF!</f>
        <v>#VALUE!:noResult:No valid cells found for operation.</v>
      </c>
      <c r="AX34" s="15" t="str">
        <f>#REF!</f>
        <v>#VALUE!:noResult:No valid cells found for operation.</v>
      </c>
      <c r="AY34" s="15" t="str">
        <f>#REF!</f>
        <v>#VALUE!:noResult:No valid cells found for operation.</v>
      </c>
      <c r="AZ34" s="15">
        <f>IF(Trans!R[439],"AAAAAH3vdzM=",0)</f>
        <v>0</v>
      </c>
      <c r="BA34" s="15" t="b">
        <f>AND(Trans!A473,"AAAAAH3vdzQ=")</f>
        <v>1</v>
      </c>
      <c r="BB34" s="15" t="str">
        <f>AND(Trans!B473,"AAAAAH3vdzU=")</f>
        <v>#VALUE!:noResult:No valid cells found for operation.</v>
      </c>
      <c r="BC34" s="15" t="b">
        <f>AND(Trans!C473,"AAAAAH3vdzY=")</f>
        <v>1</v>
      </c>
      <c r="BD34" s="15" t="b">
        <f>AND(Trans!D473,"AAAAAH3vdzc=")</f>
        <v>1</v>
      </c>
      <c r="BE34" s="15" t="str">
        <f>AND(Trans!E473,"AAAAAH3vdzg=")</f>
        <v>#VALUE!:noResult:No valid cells found for operation.</v>
      </c>
      <c r="BF34" s="15" t="str">
        <f>AND(Trans!F473,"AAAAAH3vdzk=")</f>
        <v>#VALUE!:noResult:No valid cells found for operation.</v>
      </c>
      <c r="BG34" s="15" t="str">
        <f>AND(Trans!G473,"AAAAAH3vdzo=")</f>
        <v>#VALUE!:noResult:No valid cells found for operation.</v>
      </c>
      <c r="BH34" s="15" t="str">
        <f>#REF!</f>
        <v>#VALUE!:noResult:No valid cells found for operation.</v>
      </c>
      <c r="BI34" s="15" t="str">
        <f>AND(Trans!H473,"AAAAAH3vdzw=")</f>
        <v>#VALUE!:noResult:No valid cells found for operation.</v>
      </c>
      <c r="BJ34" s="15" t="str">
        <f>#REF!</f>
        <v>#VALUE!:noResult:No valid cells found for operation.</v>
      </c>
      <c r="BK34" s="15" t="str">
        <f>#REF!</f>
        <v>#VALUE!:noResult:No valid cells found for operation.</v>
      </c>
      <c r="BL34" s="15" t="str">
        <f>#REF!</f>
        <v>#VALUE!:noResult:No valid cells found for operation.</v>
      </c>
      <c r="BM34" s="15" t="str">
        <f>#REF!</f>
        <v>#VALUE!:noResult:No valid cells found for operation.</v>
      </c>
      <c r="BN34" s="15" t="str">
        <f>#REF!</f>
        <v>#VALUE!:noResult:No valid cells found for operation.</v>
      </c>
      <c r="BO34" s="15" t="str">
        <f>#REF!</f>
        <v>#VALUE!:noResult:No valid cells found for operation.</v>
      </c>
      <c r="BP34" s="15">
        <f>IF(Trans!R[440],"AAAAAH3vd0M=",0)</f>
        <v>0</v>
      </c>
      <c r="BQ34" s="15" t="b">
        <f>AND(Trans!A474,"AAAAAH3vd0Q=")</f>
        <v>1</v>
      </c>
      <c r="BR34" s="15" t="str">
        <f>AND(Trans!B474,"AAAAAH3vd0U=")</f>
        <v>#VALUE!:noResult:No valid cells found for operation.</v>
      </c>
      <c r="BS34" s="15" t="b">
        <f>AND(Trans!C474,"AAAAAH3vd0Y=")</f>
        <v>1</v>
      </c>
      <c r="BT34" s="15" t="b">
        <f>AND(Trans!D474,"AAAAAH3vd0c=")</f>
        <v>1</v>
      </c>
      <c r="BU34" s="15" t="str">
        <f>AND(Trans!E474,"AAAAAH3vd0g=")</f>
        <v>#VALUE!:noResult:No valid cells found for operation.</v>
      </c>
      <c r="BV34" s="15" t="str">
        <f>AND(Trans!F474,"AAAAAH3vd0k=")</f>
        <v>#VALUE!:noResult:No valid cells found for operation.</v>
      </c>
      <c r="BW34" s="15" t="str">
        <f>AND(Trans!G474,"AAAAAH3vd0o=")</f>
        <v>#VALUE!:noResult:No valid cells found for operation.</v>
      </c>
      <c r="BX34" s="15" t="str">
        <f>#REF!</f>
        <v>#VALUE!:noResult:No valid cells found for operation.</v>
      </c>
      <c r="BY34" s="15" t="str">
        <f>AND(Trans!H474,"AAAAAH3vd0w=")</f>
        <v>#VALUE!:noResult:No valid cells found for operation.</v>
      </c>
      <c r="BZ34" s="15" t="str">
        <f>#REF!</f>
        <v>#VALUE!:noResult:No valid cells found for operation.</v>
      </c>
      <c r="CA34" s="15" t="str">
        <f>#REF!</f>
        <v>#VALUE!:noResult:No valid cells found for operation.</v>
      </c>
      <c r="CB34" s="15" t="str">
        <f>#REF!</f>
        <v>#VALUE!:noResult:No valid cells found for operation.</v>
      </c>
      <c r="CC34" s="15" t="str">
        <f>#REF!</f>
        <v>#VALUE!:noResult:No valid cells found for operation.</v>
      </c>
      <c r="CD34" s="15" t="str">
        <f>#REF!</f>
        <v>#VALUE!:noResult:No valid cells found for operation.</v>
      </c>
      <c r="CE34" s="15" t="str">
        <f>#REF!</f>
        <v>#VALUE!:noResult:No valid cells found for operation.</v>
      </c>
      <c r="CF34" s="15">
        <f>IF(Trans!R[441],"AAAAAH3vd1M=",0)</f>
        <v>0</v>
      </c>
      <c r="CG34" s="15" t="b">
        <f>AND(Trans!A475,"AAAAAH3vd1Q=")</f>
        <v>1</v>
      </c>
      <c r="CH34" s="15" t="str">
        <f>AND(Trans!B475,"AAAAAH3vd1U=")</f>
        <v>#VALUE!:noResult:No valid cells found for operation.</v>
      </c>
      <c r="CI34" s="15" t="b">
        <f>AND(Trans!C475,"AAAAAH3vd1Y=")</f>
        <v>1</v>
      </c>
      <c r="CJ34" s="15" t="b">
        <f>AND(Trans!D475,"AAAAAH3vd1c=")</f>
        <v>1</v>
      </c>
      <c r="CK34" s="15" t="str">
        <f>AND(Trans!E475,"AAAAAH3vd1g=")</f>
        <v>#VALUE!:noResult:No valid cells found for operation.</v>
      </c>
      <c r="CL34" s="15" t="str">
        <f>AND(Trans!F475,"AAAAAH3vd1k=")</f>
        <v>#VALUE!:noResult:No valid cells found for operation.</v>
      </c>
      <c r="CM34" s="15" t="str">
        <f>AND(Trans!G475,"AAAAAH3vd1o=")</f>
        <v>#VALUE!:noResult:No valid cells found for operation.</v>
      </c>
      <c r="CN34" s="15" t="str">
        <f>#REF!</f>
        <v>#VALUE!:noResult:No valid cells found for operation.</v>
      </c>
      <c r="CO34" s="15" t="str">
        <f>AND(Trans!H475,"AAAAAH3vd1w=")</f>
        <v>#VALUE!:noResult:No valid cells found for operation.</v>
      </c>
      <c r="CP34" s="15" t="str">
        <f>#REF!</f>
        <v>#VALUE!:noResult:No valid cells found for operation.</v>
      </c>
      <c r="CQ34" s="15" t="str">
        <f>#REF!</f>
        <v>#VALUE!:noResult:No valid cells found for operation.</v>
      </c>
      <c r="CR34" s="15" t="str">
        <f>#REF!</f>
        <v>#VALUE!:noResult:No valid cells found for operation.</v>
      </c>
      <c r="CS34" s="15" t="str">
        <f>#REF!</f>
        <v>#VALUE!:noResult:No valid cells found for operation.</v>
      </c>
      <c r="CT34" s="15" t="str">
        <f>#REF!</f>
        <v>#VALUE!:noResult:No valid cells found for operation.</v>
      </c>
      <c r="CU34" s="15" t="str">
        <f>#REF!</f>
        <v>#VALUE!:noResult:No valid cells found for operation.</v>
      </c>
      <c r="CV34" s="15">
        <f>IF(Trans!R[442],"AAAAAH3vd2M=",0)</f>
        <v>0</v>
      </c>
      <c r="CW34" s="15" t="b">
        <f>AND(Trans!A476,"AAAAAH3vd2Q=")</f>
        <v>1</v>
      </c>
      <c r="CX34" s="15" t="str">
        <f>AND(Trans!B476,"AAAAAH3vd2U=")</f>
        <v>#VALUE!:noResult:No valid cells found for operation.</v>
      </c>
      <c r="CY34" s="15" t="b">
        <f>AND(Trans!C476,"AAAAAH3vd2Y=")</f>
        <v>1</v>
      </c>
      <c r="CZ34" s="15" t="b">
        <f>AND(Trans!D476,"AAAAAH3vd2c=")</f>
        <v>1</v>
      </c>
      <c r="DA34" s="15" t="str">
        <f>AND(Trans!E476,"AAAAAH3vd2g=")</f>
        <v>#VALUE!:noResult:No valid cells found for operation.</v>
      </c>
      <c r="DB34" s="15" t="str">
        <f>AND(Trans!F476,"AAAAAH3vd2k=")</f>
        <v>#VALUE!:noResult:No valid cells found for operation.</v>
      </c>
      <c r="DC34" s="15" t="str">
        <f>AND(Trans!G476,"AAAAAH3vd2o=")</f>
        <v>#VALUE!:noResult:No valid cells found for operation.</v>
      </c>
      <c r="DD34" s="15" t="str">
        <f>#REF!</f>
        <v>#VALUE!:noResult:No valid cells found for operation.</v>
      </c>
      <c r="DE34" s="15" t="str">
        <f>AND(Trans!H476,"AAAAAH3vd2w=")</f>
        <v>#VALUE!:noResult:No valid cells found for operation.</v>
      </c>
      <c r="DF34" s="15" t="str">
        <f>#REF!</f>
        <v>#VALUE!:noResult:No valid cells found for operation.</v>
      </c>
      <c r="DG34" s="15" t="str">
        <f>#REF!</f>
        <v>#VALUE!:noResult:No valid cells found for operation.</v>
      </c>
      <c r="DH34" s="15" t="str">
        <f>#REF!</f>
        <v>#VALUE!:noResult:No valid cells found for operation.</v>
      </c>
      <c r="DI34" s="15" t="str">
        <f>#REF!</f>
        <v>#VALUE!:noResult:No valid cells found for operation.</v>
      </c>
      <c r="DJ34" s="15" t="str">
        <f>#REF!</f>
        <v>#VALUE!:noResult:No valid cells found for operation.</v>
      </c>
      <c r="DK34" s="15" t="str">
        <f>#REF!</f>
        <v>#VALUE!:noResult:No valid cells found for operation.</v>
      </c>
      <c r="DL34" s="15">
        <f>IF(Trans!R[443],"AAAAAH3vd3M=",0)</f>
        <v>0</v>
      </c>
      <c r="DM34" s="15" t="b">
        <f>AND(Trans!A477,"AAAAAH3vd3Q=")</f>
        <v>1</v>
      </c>
      <c r="DN34" s="15" t="str">
        <f>AND(Trans!B477,"AAAAAH3vd3U=")</f>
        <v>#VALUE!:noResult:No valid cells found for operation.</v>
      </c>
      <c r="DO34" s="15" t="b">
        <f>AND(Trans!C477,"AAAAAH3vd3Y=")</f>
        <v>1</v>
      </c>
      <c r="DP34" s="15" t="b">
        <f>AND(Trans!D477,"AAAAAH3vd3c=")</f>
        <v>1</v>
      </c>
      <c r="DQ34" s="15" t="str">
        <f>AND(Trans!E477,"AAAAAH3vd3g=")</f>
        <v>#VALUE!:noResult:No valid cells found for operation.</v>
      </c>
      <c r="DR34" s="15" t="str">
        <f>AND(Trans!F477,"AAAAAH3vd3k=")</f>
        <v>#VALUE!:noResult:No valid cells found for operation.</v>
      </c>
      <c r="DS34" s="15" t="str">
        <f>AND(Trans!G477,"AAAAAH3vd3o=")</f>
        <v>#VALUE!:noResult:No valid cells found for operation.</v>
      </c>
      <c r="DT34" s="15" t="str">
        <f>#REF!</f>
        <v>#VALUE!:noResult:No valid cells found for operation.</v>
      </c>
      <c r="DU34" s="15" t="str">
        <f>AND(Trans!H477,"AAAAAH3vd3w=")</f>
        <v>#VALUE!:noResult:No valid cells found for operation.</v>
      </c>
      <c r="DV34" s="15" t="str">
        <f>#REF!</f>
        <v>#VALUE!:noResult:No valid cells found for operation.</v>
      </c>
      <c r="DW34" s="15" t="str">
        <f>#REF!</f>
        <v>#VALUE!:noResult:No valid cells found for operation.</v>
      </c>
      <c r="DX34" s="15" t="str">
        <f>#REF!</f>
        <v>#VALUE!:noResult:No valid cells found for operation.</v>
      </c>
      <c r="DY34" s="15" t="str">
        <f>#REF!</f>
        <v>#VALUE!:noResult:No valid cells found for operation.</v>
      </c>
      <c r="DZ34" s="15" t="str">
        <f>#REF!</f>
        <v>#VALUE!:noResult:No valid cells found for operation.</v>
      </c>
      <c r="EA34" s="15" t="str">
        <f>#REF!</f>
        <v>#VALUE!:noResult:No valid cells found for operation.</v>
      </c>
      <c r="EB34" s="15">
        <f>IF(Trans!R[444],"AAAAAH3vd4M=",0)</f>
        <v>0</v>
      </c>
      <c r="EC34" s="15" t="b">
        <f>AND(Trans!A478,"AAAAAH3vd4Q=")</f>
        <v>1</v>
      </c>
      <c r="ED34" s="15" t="str">
        <f>AND(Trans!B478,"AAAAAH3vd4U=")</f>
        <v>#VALUE!:noResult:No valid cells found for operation.</v>
      </c>
      <c r="EE34" s="15" t="b">
        <f>AND(Trans!C478,"AAAAAH3vd4Y=")</f>
        <v>1</v>
      </c>
      <c r="EF34" s="15" t="b">
        <f>AND(Trans!D478,"AAAAAH3vd4c=")</f>
        <v>1</v>
      </c>
      <c r="EG34" s="15" t="str">
        <f>AND(Trans!E478,"AAAAAH3vd4g=")</f>
        <v>#VALUE!:noResult:No valid cells found for operation.</v>
      </c>
      <c r="EH34" s="15" t="str">
        <f>AND(Trans!F478,"AAAAAH3vd4k=")</f>
        <v>#VALUE!:noResult:No valid cells found for operation.</v>
      </c>
      <c r="EI34" s="15" t="str">
        <f>AND(Trans!G478,"AAAAAH3vd4o=")</f>
        <v>#VALUE!:noResult:No valid cells found for operation.</v>
      </c>
      <c r="EJ34" s="15" t="str">
        <f>#REF!</f>
        <v>#VALUE!:noResult:No valid cells found for operation.</v>
      </c>
      <c r="EK34" s="15" t="str">
        <f>AND(Trans!H478,"AAAAAH3vd4w=")</f>
        <v>#VALUE!:noResult:No valid cells found for operation.</v>
      </c>
      <c r="EL34" s="15" t="str">
        <f>#REF!</f>
        <v>#VALUE!:noResult:No valid cells found for operation.</v>
      </c>
      <c r="EM34" s="15" t="str">
        <f>#REF!</f>
        <v>#VALUE!:noResult:No valid cells found for operation.</v>
      </c>
      <c r="EN34" s="15" t="str">
        <f>#REF!</f>
        <v>#VALUE!:noResult:No valid cells found for operation.</v>
      </c>
      <c r="EO34" s="15" t="str">
        <f>#REF!</f>
        <v>#VALUE!:noResult:No valid cells found for operation.</v>
      </c>
      <c r="EP34" s="15" t="str">
        <f>#REF!</f>
        <v>#VALUE!:noResult:No valid cells found for operation.</v>
      </c>
      <c r="EQ34" s="15" t="str">
        <f>#REF!</f>
        <v>#VALUE!:noResult:No valid cells found for operation.</v>
      </c>
      <c r="ER34" s="15">
        <f>IF(Trans!R[445],"AAAAAH3vd5M=",0)</f>
        <v>0</v>
      </c>
      <c r="ES34" s="15" t="b">
        <f>AND(Trans!A479,"AAAAAH3vd5Q=")</f>
        <v>1</v>
      </c>
      <c r="ET34" s="15" t="str">
        <f>AND(Trans!B479,"AAAAAH3vd5U=")</f>
        <v>#VALUE!:noResult:No valid cells found for operation.</v>
      </c>
      <c r="EU34" s="15" t="b">
        <f>AND(Trans!C479,"AAAAAH3vd5Y=")</f>
        <v>1</v>
      </c>
      <c r="EV34" s="15" t="b">
        <f>AND(Trans!D479,"AAAAAH3vd5c=")</f>
        <v>1</v>
      </c>
      <c r="EW34" s="15" t="str">
        <f>AND(Trans!E479,"AAAAAH3vd5g=")</f>
        <v>#VALUE!:noResult:No valid cells found for operation.</v>
      </c>
      <c r="EX34" s="15" t="str">
        <f>AND(Trans!F479,"AAAAAH3vd5k=")</f>
        <v>#VALUE!:noResult:No valid cells found for operation.</v>
      </c>
      <c r="EY34" s="15" t="str">
        <f>AND(Trans!G479,"AAAAAH3vd5o=")</f>
        <v>#VALUE!:noResult:No valid cells found for operation.</v>
      </c>
      <c r="EZ34" s="15" t="str">
        <f>#REF!</f>
        <v>#VALUE!:noResult:No valid cells found for operation.</v>
      </c>
      <c r="FA34" s="15" t="str">
        <f>AND(Trans!H479,"AAAAAH3vd5w=")</f>
        <v>#VALUE!:noResult:No valid cells found for operation.</v>
      </c>
      <c r="FB34" s="15" t="str">
        <f>#REF!</f>
        <v>#VALUE!:noResult:No valid cells found for operation.</v>
      </c>
      <c r="FC34" s="15" t="str">
        <f>#REF!</f>
        <v>#VALUE!:noResult:No valid cells found for operation.</v>
      </c>
      <c r="FD34" s="15" t="str">
        <f>#REF!</f>
        <v>#VALUE!:noResult:No valid cells found for operation.</v>
      </c>
      <c r="FE34" s="15" t="str">
        <f>#REF!</f>
        <v>#VALUE!:noResult:No valid cells found for operation.</v>
      </c>
      <c r="FF34" s="15" t="str">
        <f>#REF!</f>
        <v>#VALUE!:noResult:No valid cells found for operation.</v>
      </c>
      <c r="FG34" s="15" t="str">
        <f>#REF!</f>
        <v>#VALUE!:noResult:No valid cells found for operation.</v>
      </c>
      <c r="FH34" s="15">
        <f>IF(Trans!R[446],"AAAAAH3vd6M=",0)</f>
        <v>0</v>
      </c>
      <c r="FI34" s="15" t="b">
        <f>AND(Trans!A480,"AAAAAH3vd6Q=")</f>
        <v>1</v>
      </c>
      <c r="FJ34" s="15" t="str">
        <f>AND(Trans!B480,"AAAAAH3vd6U=")</f>
        <v>#VALUE!:noResult:No valid cells found for operation.</v>
      </c>
      <c r="FK34" s="15" t="b">
        <f>AND(Trans!C480,"AAAAAH3vd6Y=")</f>
        <v>1</v>
      </c>
      <c r="FL34" s="15" t="b">
        <f>AND(Trans!D480,"AAAAAH3vd6c=")</f>
        <v>1</v>
      </c>
      <c r="FM34" s="15" t="str">
        <f>AND(Trans!E480,"AAAAAH3vd6g=")</f>
        <v>#VALUE!:noResult:No valid cells found for operation.</v>
      </c>
      <c r="FN34" s="15" t="str">
        <f>AND(Trans!F480,"AAAAAH3vd6k=")</f>
        <v>#VALUE!:noResult:No valid cells found for operation.</v>
      </c>
      <c r="FO34" s="15" t="str">
        <f>AND(Trans!G480,"AAAAAH3vd6o=")</f>
        <v>#VALUE!:noResult:No valid cells found for operation.</v>
      </c>
      <c r="FP34" s="15" t="str">
        <f>#REF!</f>
        <v>#VALUE!:noResult:No valid cells found for operation.</v>
      </c>
      <c r="FQ34" s="15" t="str">
        <f>AND(Trans!H480,"AAAAAH3vd6w=")</f>
        <v>#VALUE!:noResult:No valid cells found for operation.</v>
      </c>
      <c r="FR34" s="15" t="str">
        <f>#REF!</f>
        <v>#VALUE!:noResult:No valid cells found for operation.</v>
      </c>
      <c r="FS34" s="15" t="str">
        <f>#REF!</f>
        <v>#VALUE!:noResult:No valid cells found for operation.</v>
      </c>
      <c r="FT34" s="15" t="str">
        <f>#REF!</f>
        <v>#VALUE!:noResult:No valid cells found for operation.</v>
      </c>
      <c r="FU34" s="15" t="str">
        <f>#REF!</f>
        <v>#VALUE!:noResult:No valid cells found for operation.</v>
      </c>
      <c r="FV34" s="15" t="str">
        <f>#REF!</f>
        <v>#VALUE!:noResult:No valid cells found for operation.</v>
      </c>
      <c r="FW34" s="15" t="str">
        <f>#REF!</f>
        <v>#VALUE!:noResult:No valid cells found for operation.</v>
      </c>
      <c r="FX34" s="15">
        <f>IF(Trans!R[447],"AAAAAH3vd7M=",0)</f>
        <v>0</v>
      </c>
      <c r="FY34" s="15" t="b">
        <f>AND(Trans!A481,"AAAAAH3vd7Q=")</f>
        <v>1</v>
      </c>
      <c r="FZ34" s="15" t="str">
        <f>AND(Trans!B481,"AAAAAH3vd7U=")</f>
        <v>#VALUE!:noResult:No valid cells found for operation.</v>
      </c>
      <c r="GA34" s="15" t="b">
        <f>AND(Trans!C481,"AAAAAH3vd7Y=")</f>
        <v>1</v>
      </c>
      <c r="GB34" s="15" t="b">
        <f>AND(Trans!D481,"AAAAAH3vd7c=")</f>
        <v>1</v>
      </c>
      <c r="GC34" s="15" t="str">
        <f>AND(Trans!E481,"AAAAAH3vd7g=")</f>
        <v>#VALUE!:noResult:No valid cells found for operation.</v>
      </c>
      <c r="GD34" s="15" t="str">
        <f>AND(Trans!F481,"AAAAAH3vd7k=")</f>
        <v>#VALUE!:noResult:No valid cells found for operation.</v>
      </c>
      <c r="GE34" s="15" t="str">
        <f>AND(Trans!G481,"AAAAAH3vd7o=")</f>
        <v>#VALUE!:noResult:No valid cells found for operation.</v>
      </c>
      <c r="GF34" s="15" t="str">
        <f>#REF!</f>
        <v>#VALUE!:noResult:No valid cells found for operation.</v>
      </c>
      <c r="GG34" s="15" t="str">
        <f>AND(Trans!H481,"AAAAAH3vd7w=")</f>
        <v>#VALUE!:noResult:No valid cells found for operation.</v>
      </c>
      <c r="GH34" s="15" t="str">
        <f>#REF!</f>
        <v>#VALUE!:noResult:No valid cells found for operation.</v>
      </c>
      <c r="GI34" s="15" t="str">
        <f>#REF!</f>
        <v>#VALUE!:noResult:No valid cells found for operation.</v>
      </c>
      <c r="GJ34" s="15" t="str">
        <f>#REF!</f>
        <v>#VALUE!:noResult:No valid cells found for operation.</v>
      </c>
      <c r="GK34" s="15" t="str">
        <f>#REF!</f>
        <v>#VALUE!:noResult:No valid cells found for operation.</v>
      </c>
      <c r="GL34" s="15" t="str">
        <f>#REF!</f>
        <v>#VALUE!:noResult:No valid cells found for operation.</v>
      </c>
      <c r="GM34" s="15" t="str">
        <f>#REF!</f>
        <v>#VALUE!:noResult:No valid cells found for operation.</v>
      </c>
      <c r="GN34" s="15">
        <f>IF(Trans!R[448],"AAAAAH3vd8M=",0)</f>
        <v>0</v>
      </c>
      <c r="GO34" s="15" t="b">
        <f>AND(Trans!A482,"AAAAAH3vd8Q=")</f>
        <v>1</v>
      </c>
      <c r="GP34" s="15" t="str">
        <f>AND(Trans!B482,"AAAAAH3vd8U=")</f>
        <v>#VALUE!:noResult:No valid cells found for operation.</v>
      </c>
      <c r="GQ34" s="15" t="b">
        <f>AND(Trans!C482,"AAAAAH3vd8Y=")</f>
        <v>1</v>
      </c>
      <c r="GR34" s="15" t="b">
        <f>AND(Trans!D482,"AAAAAH3vd8c=")</f>
        <v>1</v>
      </c>
      <c r="GS34" s="15" t="str">
        <f>AND(Trans!E482,"AAAAAH3vd8g=")</f>
        <v>#VALUE!:noResult:No valid cells found for operation.</v>
      </c>
      <c r="GT34" s="15" t="str">
        <f>AND(Trans!F482,"AAAAAH3vd8k=")</f>
        <v>#VALUE!:noResult:No valid cells found for operation.</v>
      </c>
      <c r="GU34" s="15" t="str">
        <f>AND(Trans!G482,"AAAAAH3vd8o=")</f>
        <v>#VALUE!:noResult:No valid cells found for operation.</v>
      </c>
      <c r="GV34" s="15" t="str">
        <f>#REF!</f>
        <v>#VALUE!:noResult:No valid cells found for operation.</v>
      </c>
      <c r="GW34" s="15" t="str">
        <f>AND(Trans!H482,"AAAAAH3vd8w=")</f>
        <v>#VALUE!:noResult:No valid cells found for operation.</v>
      </c>
      <c r="GX34" s="15" t="str">
        <f>#REF!</f>
        <v>#VALUE!:noResult:No valid cells found for operation.</v>
      </c>
      <c r="GY34" s="15" t="str">
        <f>#REF!</f>
        <v>#VALUE!:noResult:No valid cells found for operation.</v>
      </c>
      <c r="GZ34" s="15" t="str">
        <f>#REF!</f>
        <v>#VALUE!:noResult:No valid cells found for operation.</v>
      </c>
      <c r="HA34" s="15" t="str">
        <f>#REF!</f>
        <v>#VALUE!:noResult:No valid cells found for operation.</v>
      </c>
      <c r="HB34" s="15" t="str">
        <f>#REF!</f>
        <v>#VALUE!:noResult:No valid cells found for operation.</v>
      </c>
      <c r="HC34" s="15" t="str">
        <f>#REF!</f>
        <v>#VALUE!:noResult:No valid cells found for operation.</v>
      </c>
      <c r="HD34" s="15">
        <f>IF(Trans!R[449],"AAAAAH3vd9M=",0)</f>
        <v>0</v>
      </c>
      <c r="HE34" s="15" t="b">
        <f>AND(Trans!A483,"AAAAAH3vd9Q=")</f>
        <v>1</v>
      </c>
      <c r="HF34" s="15" t="str">
        <f>AND(Trans!B483,"AAAAAH3vd9U=")</f>
        <v>#VALUE!:noResult:No valid cells found for operation.</v>
      </c>
      <c r="HG34" s="15" t="b">
        <f>AND(Trans!C483,"AAAAAH3vd9Y=")</f>
        <v>1</v>
      </c>
      <c r="HH34" s="15" t="b">
        <f>AND(Trans!D483,"AAAAAH3vd9c=")</f>
        <v>1</v>
      </c>
      <c r="HI34" s="15" t="str">
        <f>AND(Trans!E483,"AAAAAH3vd9g=")</f>
        <v>#VALUE!:noResult:No valid cells found for operation.</v>
      </c>
      <c r="HJ34" s="15" t="str">
        <f>AND(Trans!F483,"AAAAAH3vd9k=")</f>
        <v>#VALUE!:noResult:No valid cells found for operation.</v>
      </c>
      <c r="HK34" s="15" t="str">
        <f>AND(Trans!G483,"AAAAAH3vd9o=")</f>
        <v>#VALUE!:noResult:No valid cells found for operation.</v>
      </c>
      <c r="HL34" s="15" t="str">
        <f>#REF!</f>
        <v>#VALUE!:noResult:No valid cells found for operation.</v>
      </c>
      <c r="HM34" s="15" t="str">
        <f>AND(Trans!H483,"AAAAAH3vd9w=")</f>
        <v>#VALUE!:noResult:No valid cells found for operation.</v>
      </c>
      <c r="HN34" s="15" t="str">
        <f>#REF!</f>
        <v>#VALUE!:noResult:No valid cells found for operation.</v>
      </c>
      <c r="HO34" s="15" t="str">
        <f>#REF!</f>
        <v>#VALUE!:noResult:No valid cells found for operation.</v>
      </c>
      <c r="HP34" s="15" t="str">
        <f>#REF!</f>
        <v>#VALUE!:noResult:No valid cells found for operation.</v>
      </c>
      <c r="HQ34" s="15" t="str">
        <f>#REF!</f>
        <v>#VALUE!:noResult:No valid cells found for operation.</v>
      </c>
      <c r="HR34" s="15" t="str">
        <f>#REF!</f>
        <v>#VALUE!:noResult:No valid cells found for operation.</v>
      </c>
      <c r="HS34" s="15" t="str">
        <f>#REF!</f>
        <v>#VALUE!:noResult:No valid cells found for operation.</v>
      </c>
      <c r="HT34" s="15">
        <f>IF(Trans!R[450],"AAAAAH3vd+M=",0)</f>
        <v>0</v>
      </c>
      <c r="HU34" s="15" t="b">
        <f>AND(Trans!A484,"AAAAAH3vd+Q=")</f>
        <v>1</v>
      </c>
      <c r="HV34" s="15" t="str">
        <f>AND(Trans!B484,"AAAAAH3vd+U=")</f>
        <v>#VALUE!:noResult:No valid cells found for operation.</v>
      </c>
      <c r="HW34" s="15" t="b">
        <f>AND(Trans!C484,"AAAAAH3vd+Y=")</f>
        <v>1</v>
      </c>
      <c r="HX34" s="15" t="b">
        <f>AND(Trans!D484,"AAAAAH3vd+c=")</f>
        <v>1</v>
      </c>
      <c r="HY34" s="15" t="str">
        <f>AND(Trans!E484,"AAAAAH3vd+g=")</f>
        <v>#VALUE!:noResult:No valid cells found for operation.</v>
      </c>
      <c r="HZ34" s="15" t="str">
        <f>AND(Trans!F484,"AAAAAH3vd+k=")</f>
        <v>#VALUE!:noResult:No valid cells found for operation.</v>
      </c>
      <c r="IA34" s="15" t="str">
        <f>AND(Trans!G484,"AAAAAH3vd+o=")</f>
        <v>#VALUE!:noResult:No valid cells found for operation.</v>
      </c>
      <c r="IB34" s="15" t="str">
        <f>#REF!</f>
        <v>#VALUE!:noResult:No valid cells found for operation.</v>
      </c>
      <c r="IC34" s="15" t="str">
        <f>AND(Trans!H484,"AAAAAH3vd+w=")</f>
        <v>#VALUE!:noResult:No valid cells found for operation.</v>
      </c>
      <c r="ID34" s="15" t="str">
        <f>#REF!</f>
        <v>#VALUE!:noResult:No valid cells found for operation.</v>
      </c>
      <c r="IE34" s="15" t="str">
        <f>#REF!</f>
        <v>#VALUE!:noResult:No valid cells found for operation.</v>
      </c>
      <c r="IF34" s="15" t="str">
        <f>#REF!</f>
        <v>#VALUE!:noResult:No valid cells found for operation.</v>
      </c>
      <c r="IG34" s="15" t="str">
        <f>#REF!</f>
        <v>#VALUE!:noResult:No valid cells found for operation.</v>
      </c>
      <c r="IH34" s="15" t="str">
        <f>#REF!</f>
        <v>#VALUE!:noResult:No valid cells found for operation.</v>
      </c>
      <c r="II34" s="15" t="str">
        <f>#REF!</f>
        <v>#VALUE!:noResult:No valid cells found for operation.</v>
      </c>
      <c r="IJ34" s="15">
        <f>IF(Trans!R[451],"AAAAAH3vd/M=",0)</f>
        <v>0</v>
      </c>
      <c r="IK34" s="15" t="b">
        <f>AND(Trans!A485,"AAAAAH3vd/Q=")</f>
        <v>1</v>
      </c>
      <c r="IL34" s="15" t="str">
        <f>AND(Trans!B485,"AAAAAH3vd/U=")</f>
        <v>#VALUE!:noResult:No valid cells found for operation.</v>
      </c>
      <c r="IM34" s="15" t="b">
        <f>AND(Trans!C485,"AAAAAH3vd/Y=")</f>
        <v>1</v>
      </c>
      <c r="IN34" s="15" t="b">
        <f>AND(Trans!D485,"AAAAAH3vd/c=")</f>
        <v>1</v>
      </c>
      <c r="IO34" s="15" t="str">
        <f>AND(Trans!E485,"AAAAAH3vd/g=")</f>
        <v>#VALUE!:noResult:No valid cells found for operation.</v>
      </c>
      <c r="IP34" s="15" t="str">
        <f>AND(Trans!F485,"AAAAAH3vd/k=")</f>
        <v>#VALUE!:noResult:No valid cells found for operation.</v>
      </c>
      <c r="IQ34" s="15" t="str">
        <f>AND(Trans!G485,"AAAAAH3vd/o=")</f>
        <v>#VALUE!:noResult:No valid cells found for operation.</v>
      </c>
      <c r="IR34" s="15" t="str">
        <f>#REF!</f>
        <v>#VALUE!:noResult:No valid cells found for operation.</v>
      </c>
      <c r="IS34" s="15" t="str">
        <f>AND(Trans!H485,"AAAAAH3vd/w=")</f>
        <v>#VALUE!:noResult:No valid cells found for operation.</v>
      </c>
      <c r="IT34" s="15" t="str">
        <f>#REF!</f>
        <v>#VALUE!:noResult:No valid cells found for operation.</v>
      </c>
      <c r="IU34" s="15" t="str">
        <f>#REF!</f>
        <v>#VALUE!:noResult:No valid cells found for operation.</v>
      </c>
      <c r="IV34" s="15" t="str">
        <f>#REF!</f>
        <v>#VALUE!:noResult:No valid cells found for operation.</v>
      </c>
    </row>
    <row r="35">
      <c r="A35" s="15" t="str">
        <f>#REF!</f>
        <v>#VALUE!:noResult:No valid cells found for operation.</v>
      </c>
      <c r="B35" s="15" t="str">
        <f>#REF!</f>
        <v>#VALUE!:noResult:No valid cells found for operation.</v>
      </c>
      <c r="C35" s="15" t="str">
        <f>#REF!</f>
        <v>#VALUE!:noResult:No valid cells found for operation.</v>
      </c>
      <c r="D35" s="15" t="str">
        <f>IF(Trans!R[451],"AAAAAF9b3gM=",0)</f>
        <v>AAAAAF9b3gM=</v>
      </c>
      <c r="E35" s="15" t="b">
        <f>AND(Trans!A486,"AAAAAF9b3gQ=")</f>
        <v>1</v>
      </c>
      <c r="F35" s="15" t="str">
        <f>AND(Trans!B486,"AAAAAF9b3gU=")</f>
        <v>#VALUE!:noResult:No valid cells found for operation.</v>
      </c>
      <c r="G35" s="15" t="b">
        <f>AND(Trans!C486,"AAAAAF9b3gY=")</f>
        <v>1</v>
      </c>
      <c r="H35" s="15" t="b">
        <f>AND(Trans!D486,"AAAAAF9b3gc=")</f>
        <v>1</v>
      </c>
      <c r="I35" s="15" t="str">
        <f>AND(Trans!E486,"AAAAAF9b3gg=")</f>
        <v>#VALUE!:noResult:No valid cells found for operation.</v>
      </c>
      <c r="J35" s="15" t="str">
        <f>AND(Trans!F486,"AAAAAF9b3gk=")</f>
        <v>#VALUE!:noResult:No valid cells found for operation.</v>
      </c>
      <c r="K35" s="15" t="str">
        <f>AND(Trans!G486,"AAAAAF9b3go=")</f>
        <v>#VALUE!:noResult:No valid cells found for operation.</v>
      </c>
      <c r="L35" s="15" t="str">
        <f>#REF!</f>
        <v>#VALUE!:noResult:No valid cells found for operation.</v>
      </c>
      <c r="M35" s="15" t="str">
        <f>AND(Trans!H486,"AAAAAF9b3gw=")</f>
        <v>#VALUE!:noResult:No valid cells found for operation.</v>
      </c>
      <c r="N35" s="15" t="str">
        <f>#REF!</f>
        <v>#VALUE!:noResult:No valid cells found for operation.</v>
      </c>
      <c r="O35" s="15" t="str">
        <f>#REF!</f>
        <v>#VALUE!:noResult:No valid cells found for operation.</v>
      </c>
      <c r="P35" s="15" t="str">
        <f>#REF!</f>
        <v>#VALUE!:noResult:No valid cells found for operation.</v>
      </c>
      <c r="Q35" s="15" t="str">
        <f>#REF!</f>
        <v>#VALUE!:noResult:No valid cells found for operation.</v>
      </c>
      <c r="R35" s="15" t="str">
        <f>#REF!</f>
        <v>#VALUE!:noResult:No valid cells found for operation.</v>
      </c>
      <c r="S35" s="15" t="str">
        <f>#REF!</f>
        <v>#VALUE!:noResult:No valid cells found for operation.</v>
      </c>
      <c r="T35" s="15">
        <f>IF(Trans!R[452],"AAAAAF9b3hM=",0)</f>
        <v>0</v>
      </c>
      <c r="U35" s="15" t="b">
        <f>AND(Trans!A487,"AAAAAF9b3hQ=")</f>
        <v>1</v>
      </c>
      <c r="V35" s="15" t="str">
        <f>AND(Trans!B487,"AAAAAF9b3hU=")</f>
        <v>#VALUE!:noResult:No valid cells found for operation.</v>
      </c>
      <c r="W35" s="15" t="b">
        <f>AND(Trans!C487,"AAAAAF9b3hY=")</f>
        <v>1</v>
      </c>
      <c r="X35" s="15" t="b">
        <f>AND(Trans!D487,"AAAAAF9b3hc=")</f>
        <v>1</v>
      </c>
      <c r="Y35" s="15" t="str">
        <f>AND(Trans!E487,"AAAAAF9b3hg=")</f>
        <v>#VALUE!:noResult:No valid cells found for operation.</v>
      </c>
      <c r="Z35" s="15" t="str">
        <f>AND(Trans!F487,"AAAAAF9b3hk=")</f>
        <v>#VALUE!:noResult:No valid cells found for operation.</v>
      </c>
      <c r="AA35" s="15" t="str">
        <f>AND(Trans!G487,"AAAAAF9b3ho=")</f>
        <v>#VALUE!:noResult:No valid cells found for operation.</v>
      </c>
      <c r="AB35" s="15" t="str">
        <f>#REF!</f>
        <v>#VALUE!:noResult:No valid cells found for operation.</v>
      </c>
      <c r="AC35" s="15" t="str">
        <f>AND(Trans!H487,"AAAAAF9b3hw=")</f>
        <v>#VALUE!:noResult:No valid cells found for operation.</v>
      </c>
      <c r="AD35" s="15" t="str">
        <f>#REF!</f>
        <v>#VALUE!:noResult:No valid cells found for operation.</v>
      </c>
      <c r="AE35" s="15" t="str">
        <f>#REF!</f>
        <v>#VALUE!:noResult:No valid cells found for operation.</v>
      </c>
      <c r="AF35" s="15" t="str">
        <f>#REF!</f>
        <v>#VALUE!:noResult:No valid cells found for operation.</v>
      </c>
      <c r="AG35" s="15" t="str">
        <f>#REF!</f>
        <v>#VALUE!:noResult:No valid cells found for operation.</v>
      </c>
      <c r="AH35" s="15" t="str">
        <f>#REF!</f>
        <v>#VALUE!:noResult:No valid cells found for operation.</v>
      </c>
      <c r="AI35" s="15" t="str">
        <f>#REF!</f>
        <v>#VALUE!:noResult:No valid cells found for operation.</v>
      </c>
      <c r="AJ35" s="15">
        <f>IF(Trans!R[453],"AAAAAF9b3iM=",0)</f>
        <v>0</v>
      </c>
      <c r="AK35" s="15" t="b">
        <f>AND(Trans!A488,"AAAAAF9b3iQ=")</f>
        <v>1</v>
      </c>
      <c r="AL35" s="15" t="str">
        <f>AND(Trans!B488,"AAAAAF9b3iU=")</f>
        <v>#VALUE!:noResult:No valid cells found for operation.</v>
      </c>
      <c r="AM35" s="15" t="b">
        <f>AND(Trans!C488,"AAAAAF9b3iY=")</f>
        <v>1</v>
      </c>
      <c r="AN35" s="15" t="b">
        <f>AND(Trans!D488,"AAAAAF9b3ic=")</f>
        <v>1</v>
      </c>
      <c r="AO35" s="15" t="str">
        <f>AND(Trans!E488,"AAAAAF9b3ig=")</f>
        <v>#VALUE!:noResult:No valid cells found for operation.</v>
      </c>
      <c r="AP35" s="15" t="str">
        <f>AND(Trans!F488,"AAAAAF9b3ik=")</f>
        <v>#VALUE!:noResult:No valid cells found for operation.</v>
      </c>
      <c r="AQ35" s="15" t="str">
        <f>AND(Trans!G488,"AAAAAF9b3io=")</f>
        <v>#VALUE!:noResult:No valid cells found for operation.</v>
      </c>
      <c r="AR35" s="15" t="str">
        <f>#REF!</f>
        <v>#VALUE!:noResult:No valid cells found for operation.</v>
      </c>
      <c r="AS35" s="15" t="str">
        <f>AND(Trans!H488,"AAAAAF9b3iw=")</f>
        <v>#VALUE!:noResult:No valid cells found for operation.</v>
      </c>
      <c r="AT35" s="15" t="str">
        <f>#REF!</f>
        <v>#VALUE!:noResult:No valid cells found for operation.</v>
      </c>
      <c r="AU35" s="15" t="str">
        <f>#REF!</f>
        <v>#VALUE!:noResult:No valid cells found for operation.</v>
      </c>
      <c r="AV35" s="15" t="str">
        <f>#REF!</f>
        <v>#VALUE!:noResult:No valid cells found for operation.</v>
      </c>
      <c r="AW35" s="15" t="str">
        <f>#REF!</f>
        <v>#VALUE!:noResult:No valid cells found for operation.</v>
      </c>
      <c r="AX35" s="15" t="str">
        <f>#REF!</f>
        <v>#VALUE!:noResult:No valid cells found for operation.</v>
      </c>
      <c r="AY35" s="15" t="str">
        <f>#REF!</f>
        <v>#VALUE!:noResult:No valid cells found for operation.</v>
      </c>
      <c r="AZ35" s="15">
        <f>IF(Trans!R[454],"AAAAAF9b3jM=",0)</f>
        <v>0</v>
      </c>
      <c r="BA35" s="15" t="b">
        <f>AND(Trans!A489,"AAAAAF9b3jQ=")</f>
        <v>1</v>
      </c>
      <c r="BB35" s="15" t="str">
        <f>AND(Trans!B489,"AAAAAF9b3jU=")</f>
        <v>#VALUE!:noResult:No valid cells found for operation.</v>
      </c>
      <c r="BC35" s="15" t="b">
        <f>AND(Trans!C489,"AAAAAF9b3jY=")</f>
        <v>1</v>
      </c>
      <c r="BD35" s="15" t="b">
        <f>AND(Trans!D489,"AAAAAF9b3jc=")</f>
        <v>1</v>
      </c>
      <c r="BE35" s="15" t="str">
        <f>AND(Trans!E489,"AAAAAF9b3jg=")</f>
        <v>#VALUE!:noResult:No valid cells found for operation.</v>
      </c>
      <c r="BF35" s="15" t="str">
        <f>AND(Trans!F489,"AAAAAF9b3jk=")</f>
        <v>#VALUE!:noResult:No valid cells found for operation.</v>
      </c>
      <c r="BG35" s="15" t="str">
        <f>AND(Trans!G489,"AAAAAF9b3jo=")</f>
        <v>#VALUE!:noResult:No valid cells found for operation.</v>
      </c>
      <c r="BH35" s="15" t="str">
        <f>#REF!</f>
        <v>#VALUE!:noResult:No valid cells found for operation.</v>
      </c>
      <c r="BI35" s="15" t="str">
        <f>AND(Trans!H489,"AAAAAF9b3jw=")</f>
        <v>#VALUE!:noResult:No valid cells found for operation.</v>
      </c>
      <c r="BJ35" s="15" t="str">
        <f>#REF!</f>
        <v>#VALUE!:noResult:No valid cells found for operation.</v>
      </c>
      <c r="BK35" s="15" t="str">
        <f>#REF!</f>
        <v>#VALUE!:noResult:No valid cells found for operation.</v>
      </c>
      <c r="BL35" s="15" t="str">
        <f>#REF!</f>
        <v>#VALUE!:noResult:No valid cells found for operation.</v>
      </c>
      <c r="BM35" s="15" t="str">
        <f>#REF!</f>
        <v>#VALUE!:noResult:No valid cells found for operation.</v>
      </c>
      <c r="BN35" s="15" t="str">
        <f>#REF!</f>
        <v>#VALUE!:noResult:No valid cells found for operation.</v>
      </c>
      <c r="BO35" s="15" t="str">
        <f>#REF!</f>
        <v>#VALUE!:noResult:No valid cells found for operation.</v>
      </c>
      <c r="BP35" s="15">
        <f>IF(Trans!R[455],"AAAAAF9b3kM=",0)</f>
        <v>0</v>
      </c>
      <c r="BQ35" s="15" t="b">
        <f>AND(Trans!A490,"AAAAAF9b3kQ=")</f>
        <v>1</v>
      </c>
      <c r="BR35" s="15" t="str">
        <f>AND(Trans!B490,"AAAAAF9b3kU=")</f>
        <v>#VALUE!:noResult:No valid cells found for operation.</v>
      </c>
      <c r="BS35" s="15" t="b">
        <f>AND(Trans!C490,"AAAAAF9b3kY=")</f>
        <v>1</v>
      </c>
      <c r="BT35" s="15" t="b">
        <f>AND(Trans!D490,"AAAAAF9b3kc=")</f>
        <v>1</v>
      </c>
      <c r="BU35" s="15" t="str">
        <f>AND(Trans!E490,"AAAAAF9b3kg=")</f>
        <v>#VALUE!:noResult:No valid cells found for operation.</v>
      </c>
      <c r="BV35" s="15" t="str">
        <f>AND(Trans!F490,"AAAAAF9b3kk=")</f>
        <v>#VALUE!:noResult:No valid cells found for operation.</v>
      </c>
      <c r="BW35" s="15" t="str">
        <f>AND(Trans!G490,"AAAAAF9b3ko=")</f>
        <v>#VALUE!:noResult:No valid cells found for operation.</v>
      </c>
      <c r="BX35" s="15" t="str">
        <f>#REF!</f>
        <v>#VALUE!:noResult:No valid cells found for operation.</v>
      </c>
      <c r="BY35" s="15" t="str">
        <f>AND(Trans!H490,"AAAAAF9b3kw=")</f>
        <v>#VALUE!:noResult:No valid cells found for operation.</v>
      </c>
      <c r="BZ35" s="15" t="str">
        <f>#REF!</f>
        <v>#VALUE!:noResult:No valid cells found for operation.</v>
      </c>
      <c r="CA35" s="15" t="str">
        <f>#REF!</f>
        <v>#VALUE!:noResult:No valid cells found for operation.</v>
      </c>
      <c r="CB35" s="15" t="str">
        <f>#REF!</f>
        <v>#VALUE!:noResult:No valid cells found for operation.</v>
      </c>
      <c r="CC35" s="15" t="str">
        <f>#REF!</f>
        <v>#VALUE!:noResult:No valid cells found for operation.</v>
      </c>
      <c r="CD35" s="15" t="str">
        <f>#REF!</f>
        <v>#VALUE!:noResult:No valid cells found for operation.</v>
      </c>
      <c r="CE35" s="15" t="str">
        <f>#REF!</f>
        <v>#VALUE!:noResult:No valid cells found for operation.</v>
      </c>
      <c r="CF35" s="15">
        <f>IF(Trans!R[456],"AAAAAF9b3lM=",0)</f>
        <v>0</v>
      </c>
      <c r="CG35" s="15" t="b">
        <f>AND(Trans!A491,"AAAAAF9b3lQ=")</f>
        <v>1</v>
      </c>
      <c r="CH35" s="15" t="str">
        <f>AND(Trans!B491,"AAAAAF9b3lU=")</f>
        <v>#VALUE!:noResult:No valid cells found for operation.</v>
      </c>
      <c r="CI35" s="15" t="b">
        <f>AND(Trans!C491,"AAAAAF9b3lY=")</f>
        <v>1</v>
      </c>
      <c r="CJ35" s="15" t="b">
        <f>AND(Trans!D491,"AAAAAF9b3lc=")</f>
        <v>1</v>
      </c>
      <c r="CK35" s="15" t="str">
        <f>AND(Trans!E491,"AAAAAF9b3lg=")</f>
        <v>#VALUE!:noResult:No valid cells found for operation.</v>
      </c>
      <c r="CL35" s="15" t="str">
        <f>AND(Trans!F491,"AAAAAF9b3lk=")</f>
        <v>#VALUE!:noResult:No valid cells found for operation.</v>
      </c>
      <c r="CM35" s="15" t="str">
        <f>AND(Trans!G491,"AAAAAF9b3lo=")</f>
        <v>#VALUE!:noResult:No valid cells found for operation.</v>
      </c>
      <c r="CN35" s="15" t="str">
        <f>#REF!</f>
        <v>#VALUE!:noResult:No valid cells found for operation.</v>
      </c>
      <c r="CO35" s="15" t="str">
        <f>AND(Trans!H491,"AAAAAF9b3lw=")</f>
        <v>#VALUE!:noResult:No valid cells found for operation.</v>
      </c>
      <c r="CP35" s="15" t="str">
        <f>#REF!</f>
        <v>#VALUE!:noResult:No valid cells found for operation.</v>
      </c>
      <c r="CQ35" s="15" t="str">
        <f>#REF!</f>
        <v>#VALUE!:noResult:No valid cells found for operation.</v>
      </c>
      <c r="CR35" s="15" t="str">
        <f>#REF!</f>
        <v>#VALUE!:noResult:No valid cells found for operation.</v>
      </c>
      <c r="CS35" s="15" t="str">
        <f>#REF!</f>
        <v>#VALUE!:noResult:No valid cells found for operation.</v>
      </c>
      <c r="CT35" s="15" t="str">
        <f>#REF!</f>
        <v>#VALUE!:noResult:No valid cells found for operation.</v>
      </c>
      <c r="CU35" s="15" t="str">
        <f>#REF!</f>
        <v>#VALUE!:noResult:No valid cells found for operation.</v>
      </c>
      <c r="CV35" s="15">
        <f>IF(Trans!R[457],"AAAAAF9b3mM=",0)</f>
        <v>0</v>
      </c>
      <c r="CW35" s="15" t="b">
        <f>AND(Trans!A492,"AAAAAF9b3mQ=")</f>
        <v>1</v>
      </c>
      <c r="CX35" s="15" t="str">
        <f>AND(Trans!B492,"AAAAAF9b3mU=")</f>
        <v>#VALUE!:noResult:No valid cells found for operation.</v>
      </c>
      <c r="CY35" s="15" t="b">
        <f>AND(Trans!C492,"AAAAAF9b3mY=")</f>
        <v>1</v>
      </c>
      <c r="CZ35" s="15" t="b">
        <f>AND(Trans!D492,"AAAAAF9b3mc=")</f>
        <v>1</v>
      </c>
      <c r="DA35" s="15" t="str">
        <f>AND(Trans!E492,"AAAAAF9b3mg=")</f>
        <v>#VALUE!:noResult:No valid cells found for operation.</v>
      </c>
      <c r="DB35" s="15" t="str">
        <f>AND(Trans!F492,"AAAAAF9b3mk=")</f>
        <v>#VALUE!:noResult:No valid cells found for operation.</v>
      </c>
      <c r="DC35" s="15" t="str">
        <f>AND(Trans!G492,"AAAAAF9b3mo=")</f>
        <v>#VALUE!:noResult:No valid cells found for operation.</v>
      </c>
      <c r="DD35" s="15" t="str">
        <f>#REF!</f>
        <v>#VALUE!:noResult:No valid cells found for operation.</v>
      </c>
      <c r="DE35" s="15" t="str">
        <f>AND(Trans!H492,"AAAAAF9b3mw=")</f>
        <v>#VALUE!:noResult:No valid cells found for operation.</v>
      </c>
      <c r="DF35" s="15" t="str">
        <f>#REF!</f>
        <v>#VALUE!:noResult:No valid cells found for operation.</v>
      </c>
      <c r="DG35" s="15" t="str">
        <f>#REF!</f>
        <v>#VALUE!:noResult:No valid cells found for operation.</v>
      </c>
      <c r="DH35" s="15" t="str">
        <f>#REF!</f>
        <v>#VALUE!:noResult:No valid cells found for operation.</v>
      </c>
      <c r="DI35" s="15" t="str">
        <f>#REF!</f>
        <v>#VALUE!:noResult:No valid cells found for operation.</v>
      </c>
      <c r="DJ35" s="15" t="str">
        <f>#REF!</f>
        <v>#VALUE!:noResult:No valid cells found for operation.</v>
      </c>
      <c r="DK35" s="15" t="str">
        <f>#REF!</f>
        <v>#VALUE!:noResult:No valid cells found for operation.</v>
      </c>
      <c r="DL35" s="15">
        <f>IF(Trans!R[458],"AAAAAF9b3nM=",0)</f>
        <v>0</v>
      </c>
      <c r="DM35" s="15" t="b">
        <f>AND(Trans!A493,"AAAAAF9b3nQ=")</f>
        <v>1</v>
      </c>
      <c r="DN35" s="15" t="str">
        <f>AND(Trans!B493,"AAAAAF9b3nU=")</f>
        <v>#VALUE!:noResult:No valid cells found for operation.</v>
      </c>
      <c r="DO35" s="15" t="b">
        <f>AND(Trans!C493,"AAAAAF9b3nY=")</f>
        <v>1</v>
      </c>
      <c r="DP35" s="15" t="b">
        <f>AND(Trans!D493,"AAAAAF9b3nc=")</f>
        <v>1</v>
      </c>
      <c r="DQ35" s="15" t="str">
        <f>AND(Trans!E493,"AAAAAF9b3ng=")</f>
        <v>#VALUE!:noResult:No valid cells found for operation.</v>
      </c>
      <c r="DR35" s="15" t="str">
        <f>AND(Trans!F493,"AAAAAF9b3nk=")</f>
        <v>#VALUE!:noResult:No valid cells found for operation.</v>
      </c>
      <c r="DS35" s="15" t="str">
        <f>AND(Trans!G493,"AAAAAF9b3no=")</f>
        <v>#VALUE!:noResult:No valid cells found for operation.</v>
      </c>
      <c r="DT35" s="15" t="str">
        <f>#REF!</f>
        <v>#VALUE!:noResult:No valid cells found for operation.</v>
      </c>
      <c r="DU35" s="15" t="str">
        <f>AND(Trans!H493,"AAAAAF9b3nw=")</f>
        <v>#VALUE!:noResult:No valid cells found for operation.</v>
      </c>
      <c r="DV35" s="15" t="str">
        <f>#REF!</f>
        <v>#VALUE!:noResult:No valid cells found for operation.</v>
      </c>
      <c r="DW35" s="15" t="str">
        <f>#REF!</f>
        <v>#VALUE!:noResult:No valid cells found for operation.</v>
      </c>
      <c r="DX35" s="15" t="str">
        <f>#REF!</f>
        <v>#VALUE!:noResult:No valid cells found for operation.</v>
      </c>
      <c r="DY35" s="15" t="str">
        <f>#REF!</f>
        <v>#VALUE!:noResult:No valid cells found for operation.</v>
      </c>
      <c r="DZ35" s="15" t="str">
        <f>#REF!</f>
        <v>#VALUE!:noResult:No valid cells found for operation.</v>
      </c>
      <c r="EA35" s="15" t="str">
        <f>#REF!</f>
        <v>#VALUE!:noResult:No valid cells found for operation.</v>
      </c>
      <c r="EB35" s="15">
        <f>IF(Trans!R[459],"AAAAAF9b3oM=",0)</f>
        <v>0</v>
      </c>
      <c r="EC35" s="15" t="b">
        <f>AND(Trans!A494,"AAAAAF9b3oQ=")</f>
        <v>1</v>
      </c>
      <c r="ED35" s="15" t="str">
        <f>AND(Trans!B494,"AAAAAF9b3oU=")</f>
        <v>#VALUE!:noResult:No valid cells found for operation.</v>
      </c>
      <c r="EE35" s="15" t="b">
        <f>AND(Trans!C494,"AAAAAF9b3oY=")</f>
        <v>1</v>
      </c>
      <c r="EF35" s="15" t="b">
        <f>AND(Trans!D494,"AAAAAF9b3oc=")</f>
        <v>1</v>
      </c>
      <c r="EG35" s="15" t="str">
        <f>AND(Trans!E494,"AAAAAF9b3og=")</f>
        <v>#VALUE!:noResult:No valid cells found for operation.</v>
      </c>
      <c r="EH35" s="15" t="str">
        <f>AND(Trans!F494,"AAAAAF9b3ok=")</f>
        <v>#VALUE!:noResult:No valid cells found for operation.</v>
      </c>
      <c r="EI35" s="15" t="str">
        <f>AND(Trans!G494,"AAAAAF9b3oo=")</f>
        <v>#VALUE!:noResult:No valid cells found for operation.</v>
      </c>
      <c r="EJ35" s="15" t="str">
        <f>#REF!</f>
        <v>#VALUE!:noResult:No valid cells found for operation.</v>
      </c>
      <c r="EK35" s="15" t="str">
        <f>AND(Trans!H494,"AAAAAF9b3ow=")</f>
        <v>#VALUE!:noResult:No valid cells found for operation.</v>
      </c>
      <c r="EL35" s="15" t="str">
        <f>#REF!</f>
        <v>#VALUE!:noResult:No valid cells found for operation.</v>
      </c>
      <c r="EM35" s="15" t="str">
        <f>#REF!</f>
        <v>#VALUE!:noResult:No valid cells found for operation.</v>
      </c>
      <c r="EN35" s="15" t="str">
        <f>#REF!</f>
        <v>#VALUE!:noResult:No valid cells found for operation.</v>
      </c>
      <c r="EO35" s="15" t="str">
        <f>#REF!</f>
        <v>#VALUE!:noResult:No valid cells found for operation.</v>
      </c>
      <c r="EP35" s="15" t="str">
        <f>#REF!</f>
        <v>#VALUE!:noResult:No valid cells found for operation.</v>
      </c>
      <c r="EQ35" s="15" t="str">
        <f>#REF!</f>
        <v>#VALUE!:noResult:No valid cells found for operation.</v>
      </c>
      <c r="ER35" s="15">
        <f>IF(Trans!R[460],"AAAAAF9b3pM=",0)</f>
        <v>0</v>
      </c>
      <c r="ES35" s="15" t="b">
        <f>AND(Trans!A495,"AAAAAF9b3pQ=")</f>
        <v>1</v>
      </c>
      <c r="ET35" s="15" t="str">
        <f>AND(Trans!B495,"AAAAAF9b3pU=")</f>
        <v>#VALUE!:noResult:No valid cells found for operation.</v>
      </c>
      <c r="EU35" s="15" t="b">
        <f>AND(Trans!C495,"AAAAAF9b3pY=")</f>
        <v>1</v>
      </c>
      <c r="EV35" s="15" t="b">
        <f>AND(Trans!D495,"AAAAAF9b3pc=")</f>
        <v>1</v>
      </c>
      <c r="EW35" s="15" t="str">
        <f>AND(Trans!E495,"AAAAAF9b3pg=")</f>
        <v>#VALUE!:noResult:No valid cells found for operation.</v>
      </c>
      <c r="EX35" s="15" t="str">
        <f>AND(Trans!F495,"AAAAAF9b3pk=")</f>
        <v>#VALUE!:noResult:No valid cells found for operation.</v>
      </c>
      <c r="EY35" s="15" t="str">
        <f>AND(Trans!G495,"AAAAAF9b3po=")</f>
        <v>#VALUE!:noResult:No valid cells found for operation.</v>
      </c>
      <c r="EZ35" s="15" t="str">
        <f>#REF!</f>
        <v>#VALUE!:noResult:No valid cells found for operation.</v>
      </c>
      <c r="FA35" s="15" t="str">
        <f>AND(Trans!H495,"AAAAAF9b3pw=")</f>
        <v>#VALUE!:noResult:No valid cells found for operation.</v>
      </c>
      <c r="FB35" s="15" t="str">
        <f>#REF!</f>
        <v>#VALUE!:noResult:No valid cells found for operation.</v>
      </c>
      <c r="FC35" s="15" t="str">
        <f>#REF!</f>
        <v>#VALUE!:noResult:No valid cells found for operation.</v>
      </c>
      <c r="FD35" s="15" t="str">
        <f>#REF!</f>
        <v>#VALUE!:noResult:No valid cells found for operation.</v>
      </c>
      <c r="FE35" s="15" t="str">
        <f>#REF!</f>
        <v>#VALUE!:noResult:No valid cells found for operation.</v>
      </c>
      <c r="FF35" s="15" t="str">
        <f>#REF!</f>
        <v>#VALUE!:noResult:No valid cells found for operation.</v>
      </c>
      <c r="FG35" s="15" t="str">
        <f>#REF!</f>
        <v>#VALUE!:noResult:No valid cells found for operation.</v>
      </c>
      <c r="FH35" s="15">
        <f>IF(Trans!R[461],"AAAAAF9b3qM=",0)</f>
        <v>0</v>
      </c>
      <c r="FI35" s="15" t="b">
        <f>AND(Trans!A496,"AAAAAF9b3qQ=")</f>
        <v>1</v>
      </c>
      <c r="FJ35" s="15" t="str">
        <f>AND(Trans!B496,"AAAAAF9b3qU=")</f>
        <v>#VALUE!:noResult:No valid cells found for operation.</v>
      </c>
      <c r="FK35" s="15" t="b">
        <f>AND(Trans!C496,"AAAAAF9b3qY=")</f>
        <v>1</v>
      </c>
      <c r="FL35" s="15" t="b">
        <f>AND(Trans!D496,"AAAAAF9b3qc=")</f>
        <v>1</v>
      </c>
      <c r="FM35" s="15" t="str">
        <f>AND(Trans!E496,"AAAAAF9b3qg=")</f>
        <v>#VALUE!:noResult:No valid cells found for operation.</v>
      </c>
      <c r="FN35" s="15" t="str">
        <f>AND(Trans!F496,"AAAAAF9b3qk=")</f>
        <v>#VALUE!:noResult:No valid cells found for operation.</v>
      </c>
      <c r="FO35" s="15" t="str">
        <f>AND(Trans!G496,"AAAAAF9b3qo=")</f>
        <v>#VALUE!:noResult:No valid cells found for operation.</v>
      </c>
      <c r="FP35" s="15" t="str">
        <f>#REF!</f>
        <v>#VALUE!:noResult:No valid cells found for operation.</v>
      </c>
      <c r="FQ35" s="15" t="str">
        <f>AND(Trans!H496,"AAAAAF9b3qw=")</f>
        <v>#VALUE!:noResult:No valid cells found for operation.</v>
      </c>
      <c r="FR35" s="15" t="str">
        <f>#REF!</f>
        <v>#VALUE!:noResult:No valid cells found for operation.</v>
      </c>
      <c r="FS35" s="15" t="str">
        <f>#REF!</f>
        <v>#VALUE!:noResult:No valid cells found for operation.</v>
      </c>
      <c r="FT35" s="15" t="str">
        <f>#REF!</f>
        <v>#VALUE!:noResult:No valid cells found for operation.</v>
      </c>
      <c r="FU35" s="15" t="str">
        <f>#REF!</f>
        <v>#VALUE!:noResult:No valid cells found for operation.</v>
      </c>
      <c r="FV35" s="15" t="str">
        <f>#REF!</f>
        <v>#VALUE!:noResult:No valid cells found for operation.</v>
      </c>
      <c r="FW35" s="15" t="str">
        <f>#REF!</f>
        <v>#VALUE!:noResult:No valid cells found for operation.</v>
      </c>
      <c r="FX35" s="15">
        <f>IF(Trans!R[462],"AAAAAF9b3rM=",0)</f>
        <v>0</v>
      </c>
      <c r="FY35" s="15" t="b">
        <f>AND(Trans!A497,"AAAAAF9b3rQ=")</f>
        <v>1</v>
      </c>
      <c r="FZ35" s="15" t="str">
        <f>AND(Trans!B497,"AAAAAF9b3rU=")</f>
        <v>#VALUE!:noResult:No valid cells found for operation.</v>
      </c>
      <c r="GA35" s="15" t="b">
        <f>AND(Trans!C497,"AAAAAF9b3rY=")</f>
        <v>1</v>
      </c>
      <c r="GB35" s="15" t="b">
        <f>AND(Trans!D497,"AAAAAF9b3rc=")</f>
        <v>1</v>
      </c>
      <c r="GC35" s="15" t="str">
        <f>AND(Trans!E497,"AAAAAF9b3rg=")</f>
        <v>#VALUE!:noResult:No valid cells found for operation.</v>
      </c>
      <c r="GD35" s="15" t="str">
        <f>AND(Trans!F497,"AAAAAF9b3rk=")</f>
        <v>#VALUE!:noResult:No valid cells found for operation.</v>
      </c>
      <c r="GE35" s="15" t="str">
        <f>AND(Trans!G497,"AAAAAF9b3ro=")</f>
        <v>#VALUE!:noResult:No valid cells found for operation.</v>
      </c>
      <c r="GF35" s="15" t="str">
        <f>#REF!</f>
        <v>#VALUE!:noResult:No valid cells found for operation.</v>
      </c>
      <c r="GG35" s="15" t="str">
        <f>AND(Trans!H497,"AAAAAF9b3rw=")</f>
        <v>#VALUE!:noResult:No valid cells found for operation.</v>
      </c>
      <c r="GH35" s="15" t="str">
        <f>#REF!</f>
        <v>#VALUE!:noResult:No valid cells found for operation.</v>
      </c>
      <c r="GI35" s="15" t="str">
        <f>#REF!</f>
        <v>#VALUE!:noResult:No valid cells found for operation.</v>
      </c>
      <c r="GJ35" s="15" t="str">
        <f>#REF!</f>
        <v>#VALUE!:noResult:No valid cells found for operation.</v>
      </c>
      <c r="GK35" s="15" t="str">
        <f>#REF!</f>
        <v>#VALUE!:noResult:No valid cells found for operation.</v>
      </c>
      <c r="GL35" s="15" t="str">
        <f>#REF!</f>
        <v>#VALUE!:noResult:No valid cells found for operation.</v>
      </c>
      <c r="GM35" s="15" t="str">
        <f>#REF!</f>
        <v>#VALUE!:noResult:No valid cells found for operation.</v>
      </c>
      <c r="GN35" s="15">
        <f>IF(Trans!R[463],"AAAAAF9b3sM=",0)</f>
        <v>0</v>
      </c>
      <c r="GO35" s="15" t="b">
        <f>AND(Trans!A498,"AAAAAF9b3sQ=")</f>
        <v>1</v>
      </c>
      <c r="GP35" s="15" t="str">
        <f>AND(Trans!B498,"AAAAAF9b3sU=")</f>
        <v>#VALUE!:noResult:No valid cells found for operation.</v>
      </c>
      <c r="GQ35" s="15" t="b">
        <f>AND(Trans!C498,"AAAAAF9b3sY=")</f>
        <v>1</v>
      </c>
      <c r="GR35" s="15" t="b">
        <f>AND(Trans!D498,"AAAAAF9b3sc=")</f>
        <v>1</v>
      </c>
      <c r="GS35" s="15" t="str">
        <f>AND(Trans!E498,"AAAAAF9b3sg=")</f>
        <v>#VALUE!:noResult:No valid cells found for operation.</v>
      </c>
      <c r="GT35" s="15" t="str">
        <f>AND(Trans!F498,"AAAAAF9b3sk=")</f>
        <v>#VALUE!:noResult:No valid cells found for operation.</v>
      </c>
      <c r="GU35" s="15" t="str">
        <f>AND(Trans!G498,"AAAAAF9b3so=")</f>
        <v>#VALUE!:noResult:No valid cells found for operation.</v>
      </c>
      <c r="GV35" s="15" t="str">
        <f>#REF!</f>
        <v>#VALUE!:noResult:No valid cells found for operation.</v>
      </c>
      <c r="GW35" s="15" t="str">
        <f>AND(Trans!H498,"AAAAAF9b3sw=")</f>
        <v>#VALUE!:noResult:No valid cells found for operation.</v>
      </c>
      <c r="GX35" s="15" t="str">
        <f>#REF!</f>
        <v>#VALUE!:noResult:No valid cells found for operation.</v>
      </c>
      <c r="GY35" s="15" t="str">
        <f>#REF!</f>
        <v>#VALUE!:noResult:No valid cells found for operation.</v>
      </c>
      <c r="GZ35" s="15" t="str">
        <f>#REF!</f>
        <v>#VALUE!:noResult:No valid cells found for operation.</v>
      </c>
      <c r="HA35" s="15" t="str">
        <f>#REF!</f>
        <v>#VALUE!:noResult:No valid cells found for operation.</v>
      </c>
      <c r="HB35" s="15" t="str">
        <f>#REF!</f>
        <v>#VALUE!:noResult:No valid cells found for operation.</v>
      </c>
      <c r="HC35" s="15" t="str">
        <f>#REF!</f>
        <v>#VALUE!:noResult:No valid cells found for operation.</v>
      </c>
      <c r="HD35" s="15">
        <f>IF(Trans!R[464],"AAAAAF9b3tM=",0)</f>
        <v>0</v>
      </c>
      <c r="HE35" s="15" t="b">
        <f>AND(Trans!A499,"AAAAAF9b3tQ=")</f>
        <v>1</v>
      </c>
      <c r="HF35" s="15" t="str">
        <f>AND(Trans!B499,"AAAAAF9b3tU=")</f>
        <v>#VALUE!:noResult:No valid cells found for operation.</v>
      </c>
      <c r="HG35" s="15" t="b">
        <f>AND(Trans!C499,"AAAAAF9b3tY=")</f>
        <v>1</v>
      </c>
      <c r="HH35" s="15" t="b">
        <f>AND(Trans!D499,"AAAAAF9b3tc=")</f>
        <v>1</v>
      </c>
      <c r="HI35" s="15" t="str">
        <f>AND(Trans!E499,"AAAAAF9b3tg=")</f>
        <v>#VALUE!:noResult:No valid cells found for operation.</v>
      </c>
      <c r="HJ35" s="15" t="str">
        <f>AND(Trans!F499,"AAAAAF9b3tk=")</f>
        <v>#VALUE!:noResult:No valid cells found for operation.</v>
      </c>
      <c r="HK35" s="15" t="str">
        <f>AND(Trans!G499,"AAAAAF9b3to=")</f>
        <v>#VALUE!:noResult:No valid cells found for operation.</v>
      </c>
      <c r="HL35" s="15" t="str">
        <f>#REF!</f>
        <v>#VALUE!:noResult:No valid cells found for operation.</v>
      </c>
      <c r="HM35" s="15" t="str">
        <f>AND(Trans!H499,"AAAAAF9b3tw=")</f>
        <v>#VALUE!:noResult:No valid cells found for operation.</v>
      </c>
      <c r="HN35" s="15" t="str">
        <f>#REF!</f>
        <v>#VALUE!:noResult:No valid cells found for operation.</v>
      </c>
      <c r="HO35" s="15" t="str">
        <f>#REF!</f>
        <v>#VALUE!:noResult:No valid cells found for operation.</v>
      </c>
      <c r="HP35" s="15" t="str">
        <f>#REF!</f>
        <v>#VALUE!:noResult:No valid cells found for operation.</v>
      </c>
      <c r="HQ35" s="15" t="str">
        <f>#REF!</f>
        <v>#VALUE!:noResult:No valid cells found for operation.</v>
      </c>
      <c r="HR35" s="15" t="str">
        <f>#REF!</f>
        <v>#VALUE!:noResult:No valid cells found for operation.</v>
      </c>
      <c r="HS35" s="15" t="str">
        <f>#REF!</f>
        <v>#VALUE!:noResult:No valid cells found for operation.</v>
      </c>
      <c r="HT35" s="15">
        <f>IF(Trans!R[465],"AAAAAF9b3uM=",0)</f>
        <v>0</v>
      </c>
      <c r="HU35" s="15" t="b">
        <f>AND(Trans!A500,"AAAAAF9b3uQ=")</f>
        <v>1</v>
      </c>
      <c r="HV35" s="15" t="str">
        <f>AND(Trans!B500,"AAAAAF9b3uU=")</f>
        <v>#VALUE!:noResult:No valid cells found for operation.</v>
      </c>
      <c r="HW35" s="15" t="b">
        <f>AND(Trans!C500,"AAAAAF9b3uY=")</f>
        <v>1</v>
      </c>
      <c r="HX35" s="15" t="b">
        <f>AND(Trans!D500,"AAAAAF9b3uc=")</f>
        <v>1</v>
      </c>
      <c r="HY35" s="15" t="str">
        <f>AND(Trans!E500,"AAAAAF9b3ug=")</f>
        <v>#VALUE!:noResult:No valid cells found for operation.</v>
      </c>
      <c r="HZ35" s="15" t="str">
        <f>AND(Trans!F500,"AAAAAF9b3uk=")</f>
        <v>#VALUE!:noResult:No valid cells found for operation.</v>
      </c>
      <c r="IA35" s="15" t="str">
        <f>AND(Trans!G500,"AAAAAF9b3uo=")</f>
        <v>#VALUE!:noResult:No valid cells found for operation.</v>
      </c>
      <c r="IB35" s="15" t="str">
        <f>#REF!</f>
        <v>#VALUE!:noResult:No valid cells found for operation.</v>
      </c>
      <c r="IC35" s="15" t="str">
        <f>AND(Trans!H500,"AAAAAF9b3uw=")</f>
        <v>#VALUE!:noResult:No valid cells found for operation.</v>
      </c>
      <c r="ID35" s="15" t="str">
        <f>#REF!</f>
        <v>#VALUE!:noResult:No valid cells found for operation.</v>
      </c>
      <c r="IE35" s="15" t="str">
        <f>#REF!</f>
        <v>#VALUE!:noResult:No valid cells found for operation.</v>
      </c>
      <c r="IF35" s="15" t="str">
        <f>#REF!</f>
        <v>#VALUE!:noResult:No valid cells found for operation.</v>
      </c>
      <c r="IG35" s="15" t="str">
        <f>#REF!</f>
        <v>#VALUE!:noResult:No valid cells found for operation.</v>
      </c>
      <c r="IH35" s="15" t="str">
        <f>#REF!</f>
        <v>#VALUE!:noResult:No valid cells found for operation.</v>
      </c>
      <c r="II35" s="15" t="str">
        <f>#REF!</f>
        <v>#VALUE!:noResult:No valid cells found for operation.</v>
      </c>
      <c r="IJ35" s="15">
        <f>IF(Trans!R[466],"AAAAAF9b3vM=",0)</f>
        <v>0</v>
      </c>
      <c r="IK35" s="15" t="b">
        <f>AND(Trans!A501,"AAAAAF9b3vQ=")</f>
        <v>1</v>
      </c>
      <c r="IL35" s="15" t="str">
        <f>AND(Trans!B501,"AAAAAF9b3vU=")</f>
        <v>#VALUE!:noResult:No valid cells found for operation.</v>
      </c>
      <c r="IM35" s="15" t="b">
        <f>AND(Trans!C501,"AAAAAF9b3vY=")</f>
        <v>1</v>
      </c>
      <c r="IN35" s="15" t="b">
        <f>AND(Trans!D501,"AAAAAF9b3vc=")</f>
        <v>1</v>
      </c>
      <c r="IO35" s="15" t="str">
        <f>AND(Trans!E501,"AAAAAF9b3vg=")</f>
        <v>#VALUE!:noResult:No valid cells found for operation.</v>
      </c>
      <c r="IP35" s="15" t="str">
        <f>AND(Trans!F501,"AAAAAF9b3vk=")</f>
        <v>#VALUE!:noResult:No valid cells found for operation.</v>
      </c>
      <c r="IQ35" s="15" t="str">
        <f>AND(Trans!G501,"AAAAAF9b3vo=")</f>
        <v>#VALUE!:noResult:No valid cells found for operation.</v>
      </c>
      <c r="IR35" s="15" t="str">
        <f>#REF!</f>
        <v>#VALUE!:noResult:No valid cells found for operation.</v>
      </c>
      <c r="IS35" s="15" t="str">
        <f>AND(Trans!H501,"AAAAAF9b3vw=")</f>
        <v>#VALUE!:noResult:No valid cells found for operation.</v>
      </c>
      <c r="IT35" s="15" t="str">
        <f>#REF!</f>
        <v>#VALUE!:noResult:No valid cells found for operation.</v>
      </c>
      <c r="IU35" s="15" t="str">
        <f>#REF!</f>
        <v>#VALUE!:noResult:No valid cells found for operation.</v>
      </c>
      <c r="IV35" s="15" t="str">
        <f>#REF!</f>
        <v>#VALUE!:noResult:No valid cells found for operation.</v>
      </c>
    </row>
    <row r="36">
      <c r="A36" s="15" t="str">
        <f>#REF!</f>
        <v>#VALUE!:noResult:No valid cells found for operation.</v>
      </c>
      <c r="B36" s="15" t="str">
        <f>#REF!</f>
        <v>#VALUE!:noResult:No valid cells found for operation.</v>
      </c>
      <c r="C36" s="15" t="str">
        <f>#REF!</f>
        <v>#VALUE!:noResult:No valid cells found for operation.</v>
      </c>
      <c r="D36" s="15" t="str">
        <f>IF(Trans!R[466],"AAAAAHee9wM=",0)</f>
        <v>AAAAAHee9wM=</v>
      </c>
      <c r="E36" s="15" t="b">
        <f>AND(Trans!A502,"AAAAAHee9wQ=")</f>
        <v>1</v>
      </c>
      <c r="F36" s="15" t="str">
        <f>AND(Trans!B502,"AAAAAHee9wU=")</f>
        <v>#VALUE!:noResult:No valid cells found for operation.</v>
      </c>
      <c r="G36" s="15" t="b">
        <f>AND(Trans!C502,"AAAAAHee9wY=")</f>
        <v>1</v>
      </c>
      <c r="H36" s="15" t="b">
        <f>AND(Trans!D502,"AAAAAHee9wc=")</f>
        <v>1</v>
      </c>
      <c r="I36" s="15" t="str">
        <f>AND(Trans!E502,"AAAAAHee9wg=")</f>
        <v>#VALUE!:noResult:No valid cells found for operation.</v>
      </c>
      <c r="J36" s="15" t="str">
        <f>AND(Trans!F502,"AAAAAHee9wk=")</f>
        <v>#VALUE!:noResult:No valid cells found for operation.</v>
      </c>
      <c r="K36" s="15" t="str">
        <f>AND(Trans!G502,"AAAAAHee9wo=")</f>
        <v>#VALUE!:noResult:No valid cells found for operation.</v>
      </c>
      <c r="L36" s="15" t="str">
        <f>#REF!</f>
        <v>#VALUE!:noResult:No valid cells found for operation.</v>
      </c>
      <c r="M36" s="15" t="str">
        <f>AND(Trans!H502,"AAAAAHee9ww=")</f>
        <v>#VALUE!:noResult:No valid cells found for operation.</v>
      </c>
      <c r="N36" s="15" t="str">
        <f>#REF!</f>
        <v>#VALUE!:noResult:No valid cells found for operation.</v>
      </c>
      <c r="O36" s="15" t="str">
        <f>#REF!</f>
        <v>#VALUE!:noResult:No valid cells found for operation.</v>
      </c>
      <c r="P36" s="15" t="str">
        <f>#REF!</f>
        <v>#VALUE!:noResult:No valid cells found for operation.</v>
      </c>
      <c r="Q36" s="15" t="str">
        <f>#REF!</f>
        <v>#VALUE!:noResult:No valid cells found for operation.</v>
      </c>
      <c r="R36" s="15" t="str">
        <f>#REF!</f>
        <v>#VALUE!:noResult:No valid cells found for operation.</v>
      </c>
      <c r="S36" s="15" t="str">
        <f>#REF!</f>
        <v>#VALUE!:noResult:No valid cells found for operation.</v>
      </c>
      <c r="T36" s="15">
        <f>IF(Trans!R[467],"AAAAAHee9xM=",0)</f>
        <v>0</v>
      </c>
      <c r="U36" s="15" t="b">
        <f>AND(Trans!A503,"AAAAAHee9xQ=")</f>
        <v>1</v>
      </c>
      <c r="V36" s="15" t="str">
        <f>AND(Trans!B503,"AAAAAHee9xU=")</f>
        <v>#VALUE!:noResult:No valid cells found for operation.</v>
      </c>
      <c r="W36" s="15" t="b">
        <f>AND(Trans!C503,"AAAAAHee9xY=")</f>
        <v>1</v>
      </c>
      <c r="X36" s="15" t="b">
        <f>AND(Trans!D503,"AAAAAHee9xc=")</f>
        <v>1</v>
      </c>
      <c r="Y36" s="15" t="str">
        <f>AND(Trans!E503,"AAAAAHee9xg=")</f>
        <v>#VALUE!:noResult:No valid cells found for operation.</v>
      </c>
      <c r="Z36" s="15" t="str">
        <f>AND(Trans!F503,"AAAAAHee9xk=")</f>
        <v>#VALUE!:noResult:No valid cells found for operation.</v>
      </c>
      <c r="AA36" s="15" t="str">
        <f>AND(Trans!G503,"AAAAAHee9xo=")</f>
        <v>#VALUE!:noResult:No valid cells found for operation.</v>
      </c>
      <c r="AB36" s="15" t="str">
        <f>#REF!</f>
        <v>#VALUE!:noResult:No valid cells found for operation.</v>
      </c>
      <c r="AC36" s="15" t="str">
        <f>AND(Trans!H503,"AAAAAHee9xw=")</f>
        <v>#VALUE!:noResult:No valid cells found for operation.</v>
      </c>
      <c r="AD36" s="15" t="str">
        <f>#REF!</f>
        <v>#VALUE!:noResult:No valid cells found for operation.</v>
      </c>
      <c r="AE36" s="15" t="str">
        <f>#REF!</f>
        <v>#VALUE!:noResult:No valid cells found for operation.</v>
      </c>
      <c r="AF36" s="15" t="str">
        <f>#REF!</f>
        <v>#VALUE!:noResult:No valid cells found for operation.</v>
      </c>
      <c r="AG36" s="15" t="str">
        <f>#REF!</f>
        <v>#VALUE!:noResult:No valid cells found for operation.</v>
      </c>
      <c r="AH36" s="15" t="str">
        <f>#REF!</f>
        <v>#VALUE!:noResult:No valid cells found for operation.</v>
      </c>
      <c r="AI36" s="15" t="str">
        <f>#REF!</f>
        <v>#VALUE!:noResult:No valid cells found for operation.</v>
      </c>
      <c r="AJ36" s="15">
        <f>IF(Trans!R[468],"AAAAAHee9yM=",0)</f>
        <v>0</v>
      </c>
      <c r="AK36" s="15" t="b">
        <f>AND(Trans!A504,"AAAAAHee9yQ=")</f>
        <v>1</v>
      </c>
      <c r="AL36" s="15" t="str">
        <f>AND(Trans!B504,"AAAAAHee9yU=")</f>
        <v>#VALUE!:noResult:No valid cells found for operation.</v>
      </c>
      <c r="AM36" s="15" t="b">
        <f>AND(Trans!C504,"AAAAAHee9yY=")</f>
        <v>1</v>
      </c>
      <c r="AN36" s="15" t="b">
        <f>AND(Trans!D504,"AAAAAHee9yc=")</f>
        <v>1</v>
      </c>
      <c r="AO36" s="15" t="str">
        <f>AND(Trans!E504,"AAAAAHee9yg=")</f>
        <v>#VALUE!:noResult:No valid cells found for operation.</v>
      </c>
      <c r="AP36" s="15" t="str">
        <f>AND(Trans!F504,"AAAAAHee9yk=")</f>
        <v>#VALUE!:noResult:No valid cells found for operation.</v>
      </c>
      <c r="AQ36" s="15" t="str">
        <f>AND(Trans!G504,"AAAAAHee9yo=")</f>
        <v>#VALUE!:noResult:No valid cells found for operation.</v>
      </c>
      <c r="AR36" s="15" t="str">
        <f>#REF!</f>
        <v>#VALUE!:noResult:No valid cells found for operation.</v>
      </c>
      <c r="AS36" s="15" t="str">
        <f>AND(Trans!H504,"AAAAAHee9yw=")</f>
        <v>#VALUE!:noResult:No valid cells found for operation.</v>
      </c>
      <c r="AT36" s="15" t="str">
        <f>#REF!</f>
        <v>#VALUE!:noResult:No valid cells found for operation.</v>
      </c>
      <c r="AU36" s="15" t="str">
        <f>#REF!</f>
        <v>#VALUE!:noResult:No valid cells found for operation.</v>
      </c>
      <c r="AV36" s="15" t="str">
        <f>#REF!</f>
        <v>#VALUE!:noResult:No valid cells found for operation.</v>
      </c>
      <c r="AW36" s="15" t="str">
        <f>#REF!</f>
        <v>#VALUE!:noResult:No valid cells found for operation.</v>
      </c>
      <c r="AX36" s="15" t="str">
        <f>#REF!</f>
        <v>#VALUE!:noResult:No valid cells found for operation.</v>
      </c>
      <c r="AY36" s="15" t="str">
        <f>#REF!</f>
        <v>#VALUE!:noResult:No valid cells found for operation.</v>
      </c>
      <c r="AZ36" s="15">
        <f>IF(Trans!R[469],"AAAAAHee9zM=",0)</f>
        <v>0</v>
      </c>
      <c r="BA36" s="15" t="b">
        <f>AND(Trans!A505,"AAAAAHee9zQ=")</f>
        <v>1</v>
      </c>
      <c r="BB36" s="15" t="str">
        <f>AND(Trans!B505,"AAAAAHee9zU=")</f>
        <v>#VALUE!:noResult:No valid cells found for operation.</v>
      </c>
      <c r="BC36" s="15" t="b">
        <f>AND(Trans!C505,"AAAAAHee9zY=")</f>
        <v>1</v>
      </c>
      <c r="BD36" s="15" t="b">
        <f>AND(Trans!D505,"AAAAAHee9zc=")</f>
        <v>1</v>
      </c>
      <c r="BE36" s="15" t="str">
        <f>AND(Trans!E505,"AAAAAHee9zg=")</f>
        <v>#VALUE!:noResult:No valid cells found for operation.</v>
      </c>
      <c r="BF36" s="15" t="str">
        <f>AND(Trans!F505,"AAAAAHee9zk=")</f>
        <v>#VALUE!:noResult:No valid cells found for operation.</v>
      </c>
      <c r="BG36" s="15" t="str">
        <f>AND(Trans!G505,"AAAAAHee9zo=")</f>
        <v>#VALUE!:noResult:No valid cells found for operation.</v>
      </c>
      <c r="BH36" s="15" t="str">
        <f>#REF!</f>
        <v>#VALUE!:noResult:No valid cells found for operation.</v>
      </c>
      <c r="BI36" s="15" t="str">
        <f>AND(Trans!H505,"AAAAAHee9zw=")</f>
        <v>#VALUE!:noResult:No valid cells found for operation.</v>
      </c>
      <c r="BJ36" s="15" t="str">
        <f>#REF!</f>
        <v>#VALUE!:noResult:No valid cells found for operation.</v>
      </c>
      <c r="BK36" s="15" t="str">
        <f>#REF!</f>
        <v>#VALUE!:noResult:No valid cells found for operation.</v>
      </c>
      <c r="BL36" s="15" t="str">
        <f>#REF!</f>
        <v>#VALUE!:noResult:No valid cells found for operation.</v>
      </c>
      <c r="BM36" s="15" t="str">
        <f>#REF!</f>
        <v>#VALUE!:noResult:No valid cells found for operation.</v>
      </c>
      <c r="BN36" s="15" t="str">
        <f>#REF!</f>
        <v>#VALUE!:noResult:No valid cells found for operation.</v>
      </c>
      <c r="BO36" s="15" t="str">
        <f>#REF!</f>
        <v>#VALUE!:noResult:No valid cells found for operation.</v>
      </c>
      <c r="BP36" s="15">
        <f>IF(Trans!R[470],"AAAAAHee90M=",0)</f>
        <v>0</v>
      </c>
      <c r="BQ36" s="15" t="b">
        <f>AND(Trans!A506,"AAAAAHee90Q=")</f>
        <v>1</v>
      </c>
      <c r="BR36" s="15" t="str">
        <f>AND(Trans!B506,"AAAAAHee90U=")</f>
        <v>#VALUE!:noResult:No valid cells found for operation.</v>
      </c>
      <c r="BS36" s="15" t="b">
        <f>AND(Trans!C506,"AAAAAHee90Y=")</f>
        <v>1</v>
      </c>
      <c r="BT36" s="15" t="b">
        <f>AND(Trans!D506,"AAAAAHee90c=")</f>
        <v>1</v>
      </c>
      <c r="BU36" s="15" t="str">
        <f>AND(Trans!E506,"AAAAAHee90g=")</f>
        <v>#VALUE!:noResult:No valid cells found for operation.</v>
      </c>
      <c r="BV36" s="15" t="str">
        <f>AND(Trans!F506,"AAAAAHee90k=")</f>
        <v>#VALUE!:noResult:No valid cells found for operation.</v>
      </c>
      <c r="BW36" s="15" t="str">
        <f>AND(Trans!G506,"AAAAAHee90o=")</f>
        <v>#VALUE!:noResult:No valid cells found for operation.</v>
      </c>
      <c r="BX36" s="15" t="str">
        <f>#REF!</f>
        <v>#VALUE!:noResult:No valid cells found for operation.</v>
      </c>
      <c r="BY36" s="15" t="str">
        <f>AND(Trans!H506,"AAAAAHee90w=")</f>
        <v>#VALUE!:noResult:No valid cells found for operation.</v>
      </c>
      <c r="BZ36" s="15" t="str">
        <f>#REF!</f>
        <v>#VALUE!:noResult:No valid cells found for operation.</v>
      </c>
      <c r="CA36" s="15" t="str">
        <f>#REF!</f>
        <v>#VALUE!:noResult:No valid cells found for operation.</v>
      </c>
      <c r="CB36" s="15" t="str">
        <f>#REF!</f>
        <v>#VALUE!:noResult:No valid cells found for operation.</v>
      </c>
      <c r="CC36" s="15" t="str">
        <f>#REF!</f>
        <v>#VALUE!:noResult:No valid cells found for operation.</v>
      </c>
      <c r="CD36" s="15" t="str">
        <f>#REF!</f>
        <v>#VALUE!:noResult:No valid cells found for operation.</v>
      </c>
      <c r="CE36" s="15" t="str">
        <f>#REF!</f>
        <v>#VALUE!:noResult:No valid cells found for operation.</v>
      </c>
      <c r="CF36" s="15">
        <f>IF(Trans!R[471],"AAAAAHee91M=",0)</f>
        <v>0</v>
      </c>
      <c r="CG36" s="15" t="b">
        <f>AND(Trans!A507,"AAAAAHee91Q=")</f>
        <v>1</v>
      </c>
      <c r="CH36" s="15" t="str">
        <f>AND(Trans!B507,"AAAAAHee91U=")</f>
        <v>#VALUE!:noResult:No valid cells found for operation.</v>
      </c>
      <c r="CI36" s="15" t="b">
        <f>AND(Trans!C507,"AAAAAHee91Y=")</f>
        <v>1</v>
      </c>
      <c r="CJ36" s="15" t="b">
        <f>AND(Trans!D507,"AAAAAHee91c=")</f>
        <v>1</v>
      </c>
      <c r="CK36" s="15" t="str">
        <f>AND(Trans!E507,"AAAAAHee91g=")</f>
        <v>#VALUE!:noResult:No valid cells found for operation.</v>
      </c>
      <c r="CL36" s="15" t="str">
        <f>AND(Trans!F507,"AAAAAHee91k=")</f>
        <v>#VALUE!:noResult:No valid cells found for operation.</v>
      </c>
      <c r="CM36" s="15" t="str">
        <f>AND(Trans!G507,"AAAAAHee91o=")</f>
        <v>#VALUE!:noResult:No valid cells found for operation.</v>
      </c>
      <c r="CN36" s="15" t="str">
        <f>#REF!</f>
        <v>#VALUE!:noResult:No valid cells found for operation.</v>
      </c>
      <c r="CO36" s="15" t="str">
        <f>AND(Trans!H507,"AAAAAHee91w=")</f>
        <v>#VALUE!:noResult:No valid cells found for operation.</v>
      </c>
      <c r="CP36" s="15" t="str">
        <f>#REF!</f>
        <v>#VALUE!:noResult:No valid cells found for operation.</v>
      </c>
      <c r="CQ36" s="15" t="str">
        <f>#REF!</f>
        <v>#VALUE!:noResult:No valid cells found for operation.</v>
      </c>
      <c r="CR36" s="15" t="str">
        <f>#REF!</f>
        <v>#VALUE!:noResult:No valid cells found for operation.</v>
      </c>
      <c r="CS36" s="15" t="str">
        <f>#REF!</f>
        <v>#VALUE!:noResult:No valid cells found for operation.</v>
      </c>
      <c r="CT36" s="15" t="str">
        <f>#REF!</f>
        <v>#VALUE!:noResult:No valid cells found for operation.</v>
      </c>
      <c r="CU36" s="15" t="str">
        <f>#REF!</f>
        <v>#VALUE!:noResult:No valid cells found for operation.</v>
      </c>
      <c r="CV36" s="15">
        <f>IF(Trans!R[472],"AAAAAHee92M=",0)</f>
        <v>0</v>
      </c>
      <c r="CW36" s="15" t="b">
        <f>AND(Trans!A508,"AAAAAHee92Q=")</f>
        <v>1</v>
      </c>
      <c r="CX36" s="15" t="str">
        <f>AND(Trans!B508,"AAAAAHee92U=")</f>
        <v>#VALUE!:noResult:No valid cells found for operation.</v>
      </c>
      <c r="CY36" s="15" t="b">
        <f>AND(Trans!C508,"AAAAAHee92Y=")</f>
        <v>1</v>
      </c>
      <c r="CZ36" s="15" t="b">
        <f>AND(Trans!D508,"AAAAAHee92c=")</f>
        <v>1</v>
      </c>
      <c r="DA36" s="15" t="str">
        <f>AND(Trans!E508,"AAAAAHee92g=")</f>
        <v>#VALUE!:noResult:No valid cells found for operation.</v>
      </c>
      <c r="DB36" s="15" t="str">
        <f>AND(Trans!F508,"AAAAAHee92k=")</f>
        <v>#VALUE!:noResult:No valid cells found for operation.</v>
      </c>
      <c r="DC36" s="15" t="str">
        <f>AND(Trans!G508,"AAAAAHee92o=")</f>
        <v>#VALUE!:noResult:No valid cells found for operation.</v>
      </c>
      <c r="DD36" s="15" t="str">
        <f>#REF!</f>
        <v>#VALUE!:noResult:No valid cells found for operation.</v>
      </c>
      <c r="DE36" s="15" t="str">
        <f>AND(Trans!H508,"AAAAAHee92w=")</f>
        <v>#VALUE!:noResult:No valid cells found for operation.</v>
      </c>
      <c r="DF36" s="15" t="str">
        <f>#REF!</f>
        <v>#VALUE!:noResult:No valid cells found for operation.</v>
      </c>
      <c r="DG36" s="15" t="str">
        <f>#REF!</f>
        <v>#VALUE!:noResult:No valid cells found for operation.</v>
      </c>
      <c r="DH36" s="15" t="str">
        <f>#REF!</f>
        <v>#VALUE!:noResult:No valid cells found for operation.</v>
      </c>
      <c r="DI36" s="15" t="str">
        <f>#REF!</f>
        <v>#VALUE!:noResult:No valid cells found for operation.</v>
      </c>
      <c r="DJ36" s="15" t="str">
        <f>#REF!</f>
        <v>#VALUE!:noResult:No valid cells found for operation.</v>
      </c>
      <c r="DK36" s="15" t="str">
        <f>#REF!</f>
        <v>#VALUE!:noResult:No valid cells found for operation.</v>
      </c>
      <c r="DL36" s="15">
        <f>IF(Trans!R[473],"AAAAAHee93M=",0)</f>
        <v>0</v>
      </c>
      <c r="DM36" s="15" t="b">
        <f>AND(Trans!A509,"AAAAAHee93Q=")</f>
        <v>1</v>
      </c>
      <c r="DN36" s="15" t="str">
        <f>AND(Trans!B509,"AAAAAHee93U=")</f>
        <v>#VALUE!:noResult:No valid cells found for operation.</v>
      </c>
      <c r="DO36" s="15" t="b">
        <f>AND(Trans!C509,"AAAAAHee93Y=")</f>
        <v>1</v>
      </c>
      <c r="DP36" s="15" t="b">
        <f>AND(Trans!D509,"AAAAAHee93c=")</f>
        <v>1</v>
      </c>
      <c r="DQ36" s="15" t="str">
        <f>AND(Trans!E509,"AAAAAHee93g=")</f>
        <v>#VALUE!:noResult:No valid cells found for operation.</v>
      </c>
      <c r="DR36" s="15" t="str">
        <f>AND(Trans!F509,"AAAAAHee93k=")</f>
        <v>#VALUE!:noResult:No valid cells found for operation.</v>
      </c>
      <c r="DS36" s="15" t="str">
        <f>AND(Trans!G509,"AAAAAHee93o=")</f>
        <v>#VALUE!:noResult:No valid cells found for operation.</v>
      </c>
      <c r="DT36" s="15" t="str">
        <f>#REF!</f>
        <v>#VALUE!:noResult:No valid cells found for operation.</v>
      </c>
      <c r="DU36" s="15" t="str">
        <f>AND(Trans!H509,"AAAAAHee93w=")</f>
        <v>#VALUE!:noResult:No valid cells found for operation.</v>
      </c>
      <c r="DV36" s="15" t="str">
        <f>#REF!</f>
        <v>#VALUE!:noResult:No valid cells found for operation.</v>
      </c>
      <c r="DW36" s="15" t="str">
        <f>#REF!</f>
        <v>#VALUE!:noResult:No valid cells found for operation.</v>
      </c>
      <c r="DX36" s="15" t="str">
        <f>#REF!</f>
        <v>#VALUE!:noResult:No valid cells found for operation.</v>
      </c>
      <c r="DY36" s="15" t="str">
        <f>#REF!</f>
        <v>#VALUE!:noResult:No valid cells found for operation.</v>
      </c>
      <c r="DZ36" s="15" t="str">
        <f>#REF!</f>
        <v>#VALUE!:noResult:No valid cells found for operation.</v>
      </c>
      <c r="EA36" s="15" t="str">
        <f>#REF!</f>
        <v>#VALUE!:noResult:No valid cells found for operation.</v>
      </c>
      <c r="EB36" s="15">
        <f>IF(Trans!R[474],"AAAAAHee94M=",0)</f>
        <v>0</v>
      </c>
      <c r="EC36" s="15" t="b">
        <f>AND(Trans!A510,"AAAAAHee94Q=")</f>
        <v>1</v>
      </c>
      <c r="ED36" s="15" t="str">
        <f>AND(Trans!B510,"AAAAAHee94U=")</f>
        <v>#VALUE!:noResult:No valid cells found for operation.</v>
      </c>
      <c r="EE36" s="15" t="b">
        <f>AND(Trans!C510,"AAAAAHee94Y=")</f>
        <v>1</v>
      </c>
      <c r="EF36" s="15" t="b">
        <f>AND(Trans!D510,"AAAAAHee94c=")</f>
        <v>1</v>
      </c>
      <c r="EG36" s="15" t="str">
        <f>AND(Trans!E510,"AAAAAHee94g=")</f>
        <v>#VALUE!:noResult:No valid cells found for operation.</v>
      </c>
      <c r="EH36" s="15" t="str">
        <f>AND(Trans!F510,"AAAAAHee94k=")</f>
        <v>#VALUE!:noResult:No valid cells found for operation.</v>
      </c>
      <c r="EI36" s="15" t="str">
        <f>AND(Trans!G510,"AAAAAHee94o=")</f>
        <v>#VALUE!:noResult:No valid cells found for operation.</v>
      </c>
      <c r="EJ36" s="15" t="str">
        <f>#REF!</f>
        <v>#VALUE!:noResult:No valid cells found for operation.</v>
      </c>
      <c r="EK36" s="15" t="str">
        <f>AND(Trans!H510,"AAAAAHee94w=")</f>
        <v>#VALUE!:noResult:No valid cells found for operation.</v>
      </c>
      <c r="EL36" s="15" t="str">
        <f>#REF!</f>
        <v>#VALUE!:noResult:No valid cells found for operation.</v>
      </c>
      <c r="EM36" s="15" t="str">
        <f>#REF!</f>
        <v>#VALUE!:noResult:No valid cells found for operation.</v>
      </c>
      <c r="EN36" s="15" t="str">
        <f>#REF!</f>
        <v>#VALUE!:noResult:No valid cells found for operation.</v>
      </c>
      <c r="EO36" s="15" t="str">
        <f>#REF!</f>
        <v>#VALUE!:noResult:No valid cells found for operation.</v>
      </c>
      <c r="EP36" s="15" t="str">
        <f>#REF!</f>
        <v>#VALUE!:noResult:No valid cells found for operation.</v>
      </c>
      <c r="EQ36" s="15" t="str">
        <f>#REF!</f>
        <v>#VALUE!:noResult:No valid cells found for operation.</v>
      </c>
      <c r="ER36" s="15">
        <f>IF(Trans!R[475],"AAAAAHee95M=",0)</f>
        <v>0</v>
      </c>
      <c r="ES36" s="15" t="b">
        <f>AND(Trans!A511,"AAAAAHee95Q=")</f>
        <v>1</v>
      </c>
      <c r="ET36" s="15" t="str">
        <f>AND(Trans!B511,"AAAAAHee95U=")</f>
        <v>#VALUE!:noResult:No valid cells found for operation.</v>
      </c>
      <c r="EU36" s="15" t="b">
        <f>AND(Trans!C511,"AAAAAHee95Y=")</f>
        <v>1</v>
      </c>
      <c r="EV36" s="15" t="b">
        <f>AND(Trans!D511,"AAAAAHee95c=")</f>
        <v>1</v>
      </c>
      <c r="EW36" s="15" t="str">
        <f>AND(Trans!E511,"AAAAAHee95g=")</f>
        <v>#VALUE!:noResult:No valid cells found for operation.</v>
      </c>
      <c r="EX36" s="15" t="str">
        <f>AND(Trans!F511,"AAAAAHee95k=")</f>
        <v>#VALUE!:noResult:No valid cells found for operation.</v>
      </c>
      <c r="EY36" s="15" t="str">
        <f>AND(Trans!G511,"AAAAAHee95o=")</f>
        <v>#VALUE!:noResult:No valid cells found for operation.</v>
      </c>
      <c r="EZ36" s="15" t="str">
        <f>#REF!</f>
        <v>#VALUE!:noResult:No valid cells found for operation.</v>
      </c>
      <c r="FA36" s="15" t="str">
        <f>AND(Trans!H511,"AAAAAHee95w=")</f>
        <v>#VALUE!:noResult:No valid cells found for operation.</v>
      </c>
      <c r="FB36" s="15" t="str">
        <f>#REF!</f>
        <v>#VALUE!:noResult:No valid cells found for operation.</v>
      </c>
      <c r="FC36" s="15" t="str">
        <f>#REF!</f>
        <v>#VALUE!:noResult:No valid cells found for operation.</v>
      </c>
      <c r="FD36" s="15" t="str">
        <f>#REF!</f>
        <v>#VALUE!:noResult:No valid cells found for operation.</v>
      </c>
      <c r="FE36" s="15" t="str">
        <f>#REF!</f>
        <v>#VALUE!:noResult:No valid cells found for operation.</v>
      </c>
      <c r="FF36" s="15" t="str">
        <f>#REF!</f>
        <v>#VALUE!:noResult:No valid cells found for operation.</v>
      </c>
      <c r="FG36" s="15" t="str">
        <f>#REF!</f>
        <v>#VALUE!:noResult:No valid cells found for operation.</v>
      </c>
      <c r="FH36" s="15">
        <f>IF(Trans!R[476],"AAAAAHee96M=",0)</f>
        <v>0</v>
      </c>
      <c r="FI36" s="15" t="b">
        <f>AND(Trans!A512,"AAAAAHee96Q=")</f>
        <v>1</v>
      </c>
      <c r="FJ36" s="15" t="str">
        <f>AND(Trans!B512,"AAAAAHee96U=")</f>
        <v>#VALUE!:noResult:No valid cells found for operation.</v>
      </c>
      <c r="FK36" s="15" t="b">
        <f>AND(Trans!C512,"AAAAAHee96Y=")</f>
        <v>1</v>
      </c>
      <c r="FL36" s="15" t="b">
        <f>AND(Trans!D512,"AAAAAHee96c=")</f>
        <v>1</v>
      </c>
      <c r="FM36" s="15" t="str">
        <f>AND(Trans!E512,"AAAAAHee96g=")</f>
        <v>#VALUE!:noResult:No valid cells found for operation.</v>
      </c>
      <c r="FN36" s="15" t="str">
        <f>AND(Trans!F512,"AAAAAHee96k=")</f>
        <v>#VALUE!:noResult:No valid cells found for operation.</v>
      </c>
      <c r="FO36" s="15" t="str">
        <f>AND(Trans!G512,"AAAAAHee96o=")</f>
        <v>#VALUE!:noResult:No valid cells found for operation.</v>
      </c>
      <c r="FP36" s="15" t="str">
        <f>#REF!</f>
        <v>#VALUE!:noResult:No valid cells found for operation.</v>
      </c>
      <c r="FQ36" s="15" t="str">
        <f>AND(Trans!H512,"AAAAAHee96w=")</f>
        <v>#VALUE!:noResult:No valid cells found for operation.</v>
      </c>
      <c r="FR36" s="15" t="str">
        <f>#REF!</f>
        <v>#VALUE!:noResult:No valid cells found for operation.</v>
      </c>
      <c r="FS36" s="15" t="str">
        <f>#REF!</f>
        <v>#VALUE!:noResult:No valid cells found for operation.</v>
      </c>
      <c r="FT36" s="15" t="str">
        <f>#REF!</f>
        <v>#VALUE!:noResult:No valid cells found for operation.</v>
      </c>
      <c r="FU36" s="15" t="str">
        <f>#REF!</f>
        <v>#VALUE!:noResult:No valid cells found for operation.</v>
      </c>
      <c r="FV36" s="15" t="str">
        <f>#REF!</f>
        <v>#VALUE!:noResult:No valid cells found for operation.</v>
      </c>
      <c r="FW36" s="15" t="str">
        <f>#REF!</f>
        <v>#VALUE!:noResult:No valid cells found for operation.</v>
      </c>
      <c r="FX36" s="15">
        <f>IF(Trans!R[477],"AAAAAHee97M=",0)</f>
        <v>0</v>
      </c>
      <c r="FY36" s="15" t="b">
        <f>AND(Trans!A513,"AAAAAHee97Q=")</f>
        <v>1</v>
      </c>
      <c r="FZ36" s="15" t="str">
        <f>AND(Trans!B513,"AAAAAHee97U=")</f>
        <v>#VALUE!:noResult:No valid cells found for operation.</v>
      </c>
      <c r="GA36" s="15" t="b">
        <f>AND(Trans!C513,"AAAAAHee97Y=")</f>
        <v>1</v>
      </c>
      <c r="GB36" s="15" t="b">
        <f>AND(Trans!D513,"AAAAAHee97c=")</f>
        <v>1</v>
      </c>
      <c r="GC36" s="15" t="str">
        <f>AND(Trans!E513,"AAAAAHee97g=")</f>
        <v>#VALUE!:noResult:No valid cells found for operation.</v>
      </c>
      <c r="GD36" s="15" t="str">
        <f>AND(Trans!F513,"AAAAAHee97k=")</f>
        <v>#VALUE!:noResult:No valid cells found for operation.</v>
      </c>
      <c r="GE36" s="15" t="str">
        <f>AND(Trans!G513,"AAAAAHee97o=")</f>
        <v>#VALUE!:noResult:No valid cells found for operation.</v>
      </c>
      <c r="GF36" s="15" t="str">
        <f>#REF!</f>
        <v>#VALUE!:noResult:No valid cells found for operation.</v>
      </c>
      <c r="GG36" s="15" t="str">
        <f>AND(Trans!H513,"AAAAAHee97w=")</f>
        <v>#VALUE!:noResult:No valid cells found for operation.</v>
      </c>
      <c r="GH36" s="15" t="str">
        <f>#REF!</f>
        <v>#VALUE!:noResult:No valid cells found for operation.</v>
      </c>
      <c r="GI36" s="15" t="str">
        <f>#REF!</f>
        <v>#VALUE!:noResult:No valid cells found for operation.</v>
      </c>
      <c r="GJ36" s="15" t="str">
        <f>#REF!</f>
        <v>#VALUE!:noResult:No valid cells found for operation.</v>
      </c>
      <c r="GK36" s="15" t="str">
        <f>#REF!</f>
        <v>#VALUE!:noResult:No valid cells found for operation.</v>
      </c>
      <c r="GL36" s="15" t="str">
        <f>#REF!</f>
        <v>#VALUE!:noResult:No valid cells found for operation.</v>
      </c>
      <c r="GM36" s="15" t="str">
        <f>#REF!</f>
        <v>#VALUE!:noResult:No valid cells found for operation.</v>
      </c>
      <c r="GN36" s="15">
        <f>IF(Trans!R[478],"AAAAAHee98M=",0)</f>
        <v>0</v>
      </c>
      <c r="GO36" s="15" t="b">
        <f>AND(Trans!A514,"AAAAAHee98Q=")</f>
        <v>1</v>
      </c>
      <c r="GP36" s="15" t="str">
        <f>AND(Trans!B514,"AAAAAHee98U=")</f>
        <v>#VALUE!:noResult:No valid cells found for operation.</v>
      </c>
      <c r="GQ36" s="15" t="b">
        <f>AND(Trans!C514,"AAAAAHee98Y=")</f>
        <v>1</v>
      </c>
      <c r="GR36" s="15" t="b">
        <f>AND(Trans!D514,"AAAAAHee98c=")</f>
        <v>1</v>
      </c>
      <c r="GS36" s="15" t="str">
        <f>AND(Trans!E514,"AAAAAHee98g=")</f>
        <v>#VALUE!:noResult:No valid cells found for operation.</v>
      </c>
      <c r="GT36" s="15" t="str">
        <f>AND(Trans!F514,"AAAAAHee98k=")</f>
        <v>#VALUE!:noResult:No valid cells found for operation.</v>
      </c>
      <c r="GU36" s="15" t="str">
        <f>AND(Trans!G514,"AAAAAHee98o=")</f>
        <v>#VALUE!:noResult:No valid cells found for operation.</v>
      </c>
      <c r="GV36" s="15" t="str">
        <f>#REF!</f>
        <v>#VALUE!:noResult:No valid cells found for operation.</v>
      </c>
      <c r="GW36" s="15" t="str">
        <f>AND(Trans!H514,"AAAAAHee98w=")</f>
        <v>#VALUE!:noResult:No valid cells found for operation.</v>
      </c>
      <c r="GX36" s="15" t="str">
        <f>#REF!</f>
        <v>#VALUE!:noResult:No valid cells found for operation.</v>
      </c>
      <c r="GY36" s="15" t="str">
        <f>#REF!</f>
        <v>#VALUE!:noResult:No valid cells found for operation.</v>
      </c>
      <c r="GZ36" s="15" t="str">
        <f>#REF!</f>
        <v>#VALUE!:noResult:No valid cells found for operation.</v>
      </c>
      <c r="HA36" s="15" t="str">
        <f>#REF!</f>
        <v>#VALUE!:noResult:No valid cells found for operation.</v>
      </c>
      <c r="HB36" s="15" t="str">
        <f>#REF!</f>
        <v>#VALUE!:noResult:No valid cells found for operation.</v>
      </c>
      <c r="HC36" s="15" t="str">
        <f>#REF!</f>
        <v>#VALUE!:noResult:No valid cells found for operation.</v>
      </c>
      <c r="HD36" s="15">
        <f>IF(Trans!R[479],"AAAAAHee99M=",0)</f>
        <v>0</v>
      </c>
      <c r="HE36" s="15" t="b">
        <f>AND(Trans!A515,"AAAAAHee99Q=")</f>
        <v>1</v>
      </c>
      <c r="HF36" s="15" t="str">
        <f>AND(Trans!B515,"AAAAAHee99U=")</f>
        <v>#VALUE!:noResult:No valid cells found for operation.</v>
      </c>
      <c r="HG36" s="15" t="b">
        <f>AND(Trans!C515,"AAAAAHee99Y=")</f>
        <v>1</v>
      </c>
      <c r="HH36" s="15" t="b">
        <f>AND(Trans!D515,"AAAAAHee99c=")</f>
        <v>1</v>
      </c>
      <c r="HI36" s="15" t="str">
        <f>AND(Trans!E515,"AAAAAHee99g=")</f>
        <v>#VALUE!:noResult:No valid cells found for operation.</v>
      </c>
      <c r="HJ36" s="15" t="str">
        <f>AND(Trans!F515,"AAAAAHee99k=")</f>
        <v>#VALUE!:noResult:No valid cells found for operation.</v>
      </c>
      <c r="HK36" s="15" t="str">
        <f>AND(Trans!G515,"AAAAAHee99o=")</f>
        <v>#VALUE!:noResult:No valid cells found for operation.</v>
      </c>
      <c r="HL36" s="15" t="str">
        <f>#REF!</f>
        <v>#VALUE!:noResult:No valid cells found for operation.</v>
      </c>
      <c r="HM36" s="15" t="str">
        <f>AND(Trans!H515,"AAAAAHee99w=")</f>
        <v>#VALUE!:noResult:No valid cells found for operation.</v>
      </c>
      <c r="HN36" s="15" t="str">
        <f>#REF!</f>
        <v>#VALUE!:noResult:No valid cells found for operation.</v>
      </c>
      <c r="HO36" s="15" t="str">
        <f>#REF!</f>
        <v>#VALUE!:noResult:No valid cells found for operation.</v>
      </c>
      <c r="HP36" s="15" t="str">
        <f>#REF!</f>
        <v>#VALUE!:noResult:No valid cells found for operation.</v>
      </c>
      <c r="HQ36" s="15" t="str">
        <f>#REF!</f>
        <v>#VALUE!:noResult:No valid cells found for operation.</v>
      </c>
      <c r="HR36" s="15" t="str">
        <f>#REF!</f>
        <v>#VALUE!:noResult:No valid cells found for operation.</v>
      </c>
      <c r="HS36" s="15" t="str">
        <f>#REF!</f>
        <v>#VALUE!:noResult:No valid cells found for operation.</v>
      </c>
      <c r="HT36" s="15">
        <f>IF(Trans!R[480],"AAAAAHee9+M=",0)</f>
        <v>0</v>
      </c>
      <c r="HU36" s="15" t="b">
        <f>AND(Trans!A516,"AAAAAHee9+Q=")</f>
        <v>1</v>
      </c>
      <c r="HV36" s="15" t="str">
        <f>AND(Trans!B516,"AAAAAHee9+U=")</f>
        <v>#VALUE!:noResult:No valid cells found for operation.</v>
      </c>
      <c r="HW36" s="15" t="b">
        <f>AND(Trans!C516,"AAAAAHee9+Y=")</f>
        <v>1</v>
      </c>
      <c r="HX36" s="15" t="b">
        <f>AND(Trans!D516,"AAAAAHee9+c=")</f>
        <v>1</v>
      </c>
      <c r="HY36" s="15" t="str">
        <f>AND(Trans!E516,"AAAAAHee9+g=")</f>
        <v>#VALUE!:noResult:No valid cells found for operation.</v>
      </c>
      <c r="HZ36" s="15" t="str">
        <f>AND(Trans!F516,"AAAAAHee9+k=")</f>
        <v>#VALUE!:noResult:No valid cells found for operation.</v>
      </c>
      <c r="IA36" s="15" t="str">
        <f>AND(Trans!G516,"AAAAAHee9+o=")</f>
        <v>#VALUE!:noResult:No valid cells found for operation.</v>
      </c>
      <c r="IB36" s="15" t="str">
        <f>#REF!</f>
        <v>#VALUE!:noResult:No valid cells found for operation.</v>
      </c>
      <c r="IC36" s="15" t="str">
        <f>AND(Trans!H516,"AAAAAHee9+w=")</f>
        <v>#VALUE!:noResult:No valid cells found for operation.</v>
      </c>
      <c r="ID36" s="15" t="str">
        <f>#REF!</f>
        <v>#VALUE!:noResult:No valid cells found for operation.</v>
      </c>
      <c r="IE36" s="15" t="str">
        <f>#REF!</f>
        <v>#VALUE!:noResult:No valid cells found for operation.</v>
      </c>
      <c r="IF36" s="15" t="str">
        <f>#REF!</f>
        <v>#VALUE!:noResult:No valid cells found for operation.</v>
      </c>
      <c r="IG36" s="15" t="str">
        <f>#REF!</f>
        <v>#VALUE!:noResult:No valid cells found for operation.</v>
      </c>
      <c r="IH36" s="15" t="str">
        <f>#REF!</f>
        <v>#VALUE!:noResult:No valid cells found for operation.</v>
      </c>
      <c r="II36" s="15" t="str">
        <f>#REF!</f>
        <v>#VALUE!:noResult:No valid cells found for operation.</v>
      </c>
      <c r="IJ36" s="15">
        <f>IF(Trans!R[481],"AAAAAHee9/M=",0)</f>
        <v>0</v>
      </c>
      <c r="IK36" s="15" t="b">
        <f>AND(Trans!A517,"AAAAAHee9/Q=")</f>
        <v>1</v>
      </c>
      <c r="IL36" s="15" t="str">
        <f>AND(Trans!B517,"AAAAAHee9/U=")</f>
        <v>#VALUE!:noResult:No valid cells found for operation.</v>
      </c>
      <c r="IM36" s="15" t="b">
        <f>AND(Trans!C517,"AAAAAHee9/Y=")</f>
        <v>1</v>
      </c>
      <c r="IN36" s="15" t="b">
        <f>AND(Trans!D517,"AAAAAHee9/c=")</f>
        <v>1</v>
      </c>
      <c r="IO36" s="15" t="str">
        <f>AND(Trans!E517,"AAAAAHee9/g=")</f>
        <v>#VALUE!:noResult:No valid cells found for operation.</v>
      </c>
      <c r="IP36" s="15" t="str">
        <f>AND(Trans!F517,"AAAAAHee9/k=")</f>
        <v>#VALUE!:noResult:No valid cells found for operation.</v>
      </c>
      <c r="IQ36" s="15" t="str">
        <f>AND(Trans!G517,"AAAAAHee9/o=")</f>
        <v>#VALUE!:noResult:No valid cells found for operation.</v>
      </c>
      <c r="IR36" s="15" t="str">
        <f>#REF!</f>
        <v>#VALUE!:noResult:No valid cells found for operation.</v>
      </c>
      <c r="IS36" s="15" t="str">
        <f>AND(Trans!H517,"AAAAAHee9/w=")</f>
        <v>#VALUE!:noResult:No valid cells found for operation.</v>
      </c>
      <c r="IT36" s="15" t="str">
        <f>#REF!</f>
        <v>#VALUE!:noResult:No valid cells found for operation.</v>
      </c>
      <c r="IU36" s="15" t="str">
        <f>#REF!</f>
        <v>#VALUE!:noResult:No valid cells found for operation.</v>
      </c>
      <c r="IV36" s="15" t="str">
        <f>#REF!</f>
        <v>#VALUE!:noResult:No valid cells found for operation.</v>
      </c>
    </row>
    <row r="37">
      <c r="A37" s="15" t="str">
        <f>#REF!</f>
        <v>#VALUE!:noResult:No valid cells found for operation.</v>
      </c>
      <c r="B37" s="15" t="str">
        <f>#REF!</f>
        <v>#VALUE!:noResult:No valid cells found for operation.</v>
      </c>
      <c r="C37" s="15" t="str">
        <f>#REF!</f>
        <v>#VALUE!:noResult:No valid cells found for operation.</v>
      </c>
      <c r="D37" s="15" t="str">
        <f>IF(Trans!R[481],"AAAAAG9n/wM=",0)</f>
        <v>AAAAAG9n/wM=</v>
      </c>
      <c r="E37" s="15" t="b">
        <f>AND(Trans!A518,"AAAAAG9n/wQ=")</f>
        <v>1</v>
      </c>
      <c r="F37" s="15" t="str">
        <f>AND(Trans!B518,"AAAAAG9n/wU=")</f>
        <v>#VALUE!:noResult:No valid cells found for operation.</v>
      </c>
      <c r="G37" s="15" t="b">
        <f>AND(Trans!C518,"AAAAAG9n/wY=")</f>
        <v>1</v>
      </c>
      <c r="H37" s="15" t="b">
        <f>AND(Trans!D518,"AAAAAG9n/wc=")</f>
        <v>1</v>
      </c>
      <c r="I37" s="15" t="str">
        <f>AND(Trans!E518,"AAAAAG9n/wg=")</f>
        <v>#VALUE!:noResult:No valid cells found for operation.</v>
      </c>
      <c r="J37" s="15" t="str">
        <f>AND(Trans!F518,"AAAAAG9n/wk=")</f>
        <v>#VALUE!:noResult:No valid cells found for operation.</v>
      </c>
      <c r="K37" s="15" t="str">
        <f>AND(Trans!G518,"AAAAAG9n/wo=")</f>
        <v>#VALUE!:noResult:No valid cells found for operation.</v>
      </c>
      <c r="L37" s="15" t="str">
        <f>#REF!</f>
        <v>#VALUE!:noResult:No valid cells found for operation.</v>
      </c>
      <c r="M37" s="15" t="str">
        <f>AND(Trans!H518,"AAAAAG9n/ww=")</f>
        <v>#VALUE!:noResult:No valid cells found for operation.</v>
      </c>
      <c r="N37" s="15" t="str">
        <f>#REF!</f>
        <v>#VALUE!:noResult:No valid cells found for operation.</v>
      </c>
      <c r="O37" s="15" t="str">
        <f>#REF!</f>
        <v>#VALUE!:noResult:No valid cells found for operation.</v>
      </c>
      <c r="P37" s="15" t="str">
        <f>#REF!</f>
        <v>#VALUE!:noResult:No valid cells found for operation.</v>
      </c>
      <c r="Q37" s="15" t="str">
        <f>#REF!</f>
        <v>#VALUE!:noResult:No valid cells found for operation.</v>
      </c>
      <c r="R37" s="15" t="str">
        <f>#REF!</f>
        <v>#VALUE!:noResult:No valid cells found for operation.</v>
      </c>
      <c r="S37" s="15" t="str">
        <f>#REF!</f>
        <v>#VALUE!:noResult:No valid cells found for operation.</v>
      </c>
      <c r="T37" s="15">
        <f>IF(Trans!R[482],"AAAAAG9n/xM=",0)</f>
        <v>0</v>
      </c>
      <c r="U37" s="15" t="b">
        <f>AND(Trans!A519,"AAAAAG9n/xQ=")</f>
        <v>1</v>
      </c>
      <c r="V37" s="15" t="str">
        <f>AND(Trans!B519,"AAAAAG9n/xU=")</f>
        <v>#VALUE!:noResult:No valid cells found for operation.</v>
      </c>
      <c r="W37" s="15" t="b">
        <f>AND(Trans!C519,"AAAAAG9n/xY=")</f>
        <v>1</v>
      </c>
      <c r="X37" s="15" t="b">
        <f>AND(Trans!D519,"AAAAAG9n/xc=")</f>
        <v>1</v>
      </c>
      <c r="Y37" s="15" t="str">
        <f>AND(Trans!E519,"AAAAAG9n/xg=")</f>
        <v>#VALUE!:noResult:No valid cells found for operation.</v>
      </c>
      <c r="Z37" s="15" t="str">
        <f>AND(Trans!F519,"AAAAAG9n/xk=")</f>
        <v>#VALUE!:noResult:No valid cells found for operation.</v>
      </c>
      <c r="AA37" s="15" t="str">
        <f>AND(Trans!G519,"AAAAAG9n/xo=")</f>
        <v>#VALUE!:noResult:No valid cells found for operation.</v>
      </c>
      <c r="AB37" s="15" t="str">
        <f>#REF!</f>
        <v>#VALUE!:noResult:No valid cells found for operation.</v>
      </c>
      <c r="AC37" s="15" t="str">
        <f>AND(Trans!H519,"AAAAAG9n/xw=")</f>
        <v>#VALUE!:noResult:No valid cells found for operation.</v>
      </c>
      <c r="AD37" s="15" t="str">
        <f>#REF!</f>
        <v>#VALUE!:noResult:No valid cells found for operation.</v>
      </c>
      <c r="AE37" s="15" t="str">
        <f>#REF!</f>
        <v>#VALUE!:noResult:No valid cells found for operation.</v>
      </c>
      <c r="AF37" s="15" t="str">
        <f>#REF!</f>
        <v>#VALUE!:noResult:No valid cells found for operation.</v>
      </c>
      <c r="AG37" s="15" t="str">
        <f>#REF!</f>
        <v>#VALUE!:noResult:No valid cells found for operation.</v>
      </c>
      <c r="AH37" s="15" t="str">
        <f>#REF!</f>
        <v>#VALUE!:noResult:No valid cells found for operation.</v>
      </c>
      <c r="AI37" s="15" t="str">
        <f>#REF!</f>
        <v>#VALUE!:noResult:No valid cells found for operation.</v>
      </c>
      <c r="AJ37" s="15">
        <f>IF(Trans!R[483],"AAAAAG9n/yM=",0)</f>
        <v>0</v>
      </c>
      <c r="AK37" s="15" t="b">
        <f>AND(Trans!A520,"AAAAAG9n/yQ=")</f>
        <v>1</v>
      </c>
      <c r="AL37" s="15" t="str">
        <f>AND(Trans!B520,"AAAAAG9n/yU=")</f>
        <v>#VALUE!:noResult:No valid cells found for operation.</v>
      </c>
      <c r="AM37" s="15" t="b">
        <f>AND(Trans!C520,"AAAAAG9n/yY=")</f>
        <v>1</v>
      </c>
      <c r="AN37" s="15" t="b">
        <f>AND(Trans!D520,"AAAAAG9n/yc=")</f>
        <v>1</v>
      </c>
      <c r="AO37" s="15" t="str">
        <f>AND(Trans!E520,"AAAAAG9n/yg=")</f>
        <v>#VALUE!:noResult:No valid cells found for operation.</v>
      </c>
      <c r="AP37" s="15" t="str">
        <f>AND(Trans!F520,"AAAAAG9n/yk=")</f>
        <v>#VALUE!:noResult:No valid cells found for operation.</v>
      </c>
      <c r="AQ37" s="15" t="str">
        <f>AND(Trans!G520,"AAAAAG9n/yo=")</f>
        <v>#VALUE!:noResult:No valid cells found for operation.</v>
      </c>
      <c r="AR37" s="15" t="str">
        <f>#REF!</f>
        <v>#VALUE!:noResult:No valid cells found for operation.</v>
      </c>
      <c r="AS37" s="15" t="str">
        <f>AND(Trans!H520,"AAAAAG9n/yw=")</f>
        <v>#VALUE!:noResult:No valid cells found for operation.</v>
      </c>
      <c r="AT37" s="15" t="str">
        <f>#REF!</f>
        <v>#VALUE!:noResult:No valid cells found for operation.</v>
      </c>
      <c r="AU37" s="15" t="str">
        <f>#REF!</f>
        <v>#VALUE!:noResult:No valid cells found for operation.</v>
      </c>
      <c r="AV37" s="15" t="str">
        <f>#REF!</f>
        <v>#VALUE!:noResult:No valid cells found for operation.</v>
      </c>
      <c r="AW37" s="15" t="str">
        <f>#REF!</f>
        <v>#VALUE!:noResult:No valid cells found for operation.</v>
      </c>
      <c r="AX37" s="15" t="str">
        <f>#REF!</f>
        <v>#VALUE!:noResult:No valid cells found for operation.</v>
      </c>
      <c r="AY37" s="15" t="str">
        <f>#REF!</f>
        <v>#VALUE!:noResult:No valid cells found for operation.</v>
      </c>
      <c r="AZ37" s="15">
        <f>IF(Trans!R[484],"AAAAAG9n/zM=",0)</f>
        <v>0</v>
      </c>
      <c r="BA37" s="15" t="b">
        <f>AND(Trans!A521,"AAAAAG9n/zQ=")</f>
        <v>1</v>
      </c>
      <c r="BB37" s="15" t="str">
        <f>AND(Trans!B521,"AAAAAG9n/zU=")</f>
        <v>#VALUE!:noResult:No valid cells found for operation.</v>
      </c>
      <c r="BC37" s="15" t="b">
        <f>AND(Trans!C521,"AAAAAG9n/zY=")</f>
        <v>1</v>
      </c>
      <c r="BD37" s="15" t="b">
        <f>AND(Trans!D521,"AAAAAG9n/zc=")</f>
        <v>1</v>
      </c>
      <c r="BE37" s="15" t="str">
        <f>AND(Trans!E521,"AAAAAG9n/zg=")</f>
        <v>#VALUE!:noResult:No valid cells found for operation.</v>
      </c>
      <c r="BF37" s="15" t="str">
        <f>AND(Trans!F521,"AAAAAG9n/zk=")</f>
        <v>#VALUE!:noResult:No valid cells found for operation.</v>
      </c>
      <c r="BG37" s="15" t="str">
        <f>AND(Trans!G521,"AAAAAG9n/zo=")</f>
        <v>#VALUE!:noResult:No valid cells found for operation.</v>
      </c>
      <c r="BH37" s="15" t="str">
        <f>#REF!</f>
        <v>#VALUE!:noResult:No valid cells found for operation.</v>
      </c>
      <c r="BI37" s="15" t="str">
        <f>AND(Trans!H521,"AAAAAG9n/zw=")</f>
        <v>#VALUE!:noResult:No valid cells found for operation.</v>
      </c>
      <c r="BJ37" s="15" t="str">
        <f>#REF!</f>
        <v>#VALUE!:noResult:No valid cells found for operation.</v>
      </c>
      <c r="BK37" s="15" t="str">
        <f>#REF!</f>
        <v>#VALUE!:noResult:No valid cells found for operation.</v>
      </c>
      <c r="BL37" s="15" t="str">
        <f>#REF!</f>
        <v>#VALUE!:noResult:No valid cells found for operation.</v>
      </c>
      <c r="BM37" s="15" t="str">
        <f>#REF!</f>
        <v>#VALUE!:noResult:No valid cells found for operation.</v>
      </c>
      <c r="BN37" s="15" t="str">
        <f>#REF!</f>
        <v>#VALUE!:noResult:No valid cells found for operation.</v>
      </c>
      <c r="BO37" s="15" t="str">
        <f>#REF!</f>
        <v>#VALUE!:noResult:No valid cells found for operation.</v>
      </c>
      <c r="BP37" s="15">
        <f>IF(Trans!R[485],"AAAAAG9n/0M=",0)</f>
        <v>0</v>
      </c>
      <c r="BQ37" s="15" t="b">
        <f>AND(Trans!A522,"AAAAAG9n/0Q=")</f>
        <v>1</v>
      </c>
      <c r="BR37" s="15" t="str">
        <f>AND(Trans!B522,"AAAAAG9n/0U=")</f>
        <v>#VALUE!:noResult:No valid cells found for operation.</v>
      </c>
      <c r="BS37" s="15" t="b">
        <f>AND(Trans!C522,"AAAAAG9n/0Y=")</f>
        <v>1</v>
      </c>
      <c r="BT37" s="15" t="b">
        <f>AND(Trans!D522,"AAAAAG9n/0c=")</f>
        <v>1</v>
      </c>
      <c r="BU37" s="15" t="str">
        <f>AND(Trans!E522,"AAAAAG9n/0g=")</f>
        <v>#VALUE!:noResult:No valid cells found for operation.</v>
      </c>
      <c r="BV37" s="15" t="str">
        <f>AND(Trans!F522,"AAAAAG9n/0k=")</f>
        <v>#VALUE!:noResult:No valid cells found for operation.</v>
      </c>
      <c r="BW37" s="15" t="str">
        <f>AND(Trans!G522,"AAAAAG9n/0o=")</f>
        <v>#VALUE!:noResult:No valid cells found for operation.</v>
      </c>
      <c r="BX37" s="15" t="str">
        <f>#REF!</f>
        <v>#VALUE!:noResult:No valid cells found for operation.</v>
      </c>
      <c r="BY37" s="15" t="str">
        <f>AND(Trans!H522,"AAAAAG9n/0w=")</f>
        <v>#VALUE!:noResult:No valid cells found for operation.</v>
      </c>
      <c r="BZ37" s="15" t="str">
        <f>#REF!</f>
        <v>#VALUE!:noResult:No valid cells found for operation.</v>
      </c>
      <c r="CA37" s="15" t="str">
        <f>#REF!</f>
        <v>#VALUE!:noResult:No valid cells found for operation.</v>
      </c>
      <c r="CB37" s="15" t="str">
        <f>#REF!</f>
        <v>#VALUE!:noResult:No valid cells found for operation.</v>
      </c>
      <c r="CC37" s="15" t="str">
        <f>#REF!</f>
        <v>#VALUE!:noResult:No valid cells found for operation.</v>
      </c>
      <c r="CD37" s="15" t="str">
        <f>#REF!</f>
        <v>#VALUE!:noResult:No valid cells found for operation.</v>
      </c>
      <c r="CE37" s="15" t="str">
        <f>#REF!</f>
        <v>#VALUE!:noResult:No valid cells found for operation.</v>
      </c>
      <c r="CF37" s="15">
        <f>IF(Trans!R[486],"AAAAAG9n/1M=",0)</f>
        <v>0</v>
      </c>
      <c r="CG37" s="15" t="b">
        <f>AND(Trans!A523,"AAAAAG9n/1Q=")</f>
        <v>1</v>
      </c>
      <c r="CH37" s="15" t="str">
        <f>AND(Trans!B523,"AAAAAG9n/1U=")</f>
        <v>#VALUE!:noResult:No valid cells found for operation.</v>
      </c>
      <c r="CI37" s="15" t="b">
        <f>AND(Trans!C523,"AAAAAG9n/1Y=")</f>
        <v>1</v>
      </c>
      <c r="CJ37" s="15" t="b">
        <f>AND(Trans!D523,"AAAAAG9n/1c=")</f>
        <v>1</v>
      </c>
      <c r="CK37" s="15" t="str">
        <f>AND(Trans!E523,"AAAAAG9n/1g=")</f>
        <v>#VALUE!:noResult:No valid cells found for operation.</v>
      </c>
      <c r="CL37" s="15" t="str">
        <f>AND(Trans!F523,"AAAAAG9n/1k=")</f>
        <v>#VALUE!:noResult:No valid cells found for operation.</v>
      </c>
      <c r="CM37" s="15" t="str">
        <f>AND(Trans!G523,"AAAAAG9n/1o=")</f>
        <v>#VALUE!:noResult:No valid cells found for operation.</v>
      </c>
      <c r="CN37" s="15" t="str">
        <f>#REF!</f>
        <v>#VALUE!:noResult:No valid cells found for operation.</v>
      </c>
      <c r="CO37" s="15" t="str">
        <f>AND(Trans!H523,"AAAAAG9n/1w=")</f>
        <v>#VALUE!:noResult:No valid cells found for operation.</v>
      </c>
      <c r="CP37" s="15" t="str">
        <f>#REF!</f>
        <v>#VALUE!:noResult:No valid cells found for operation.</v>
      </c>
      <c r="CQ37" s="15" t="str">
        <f>#REF!</f>
        <v>#VALUE!:noResult:No valid cells found for operation.</v>
      </c>
      <c r="CR37" s="15" t="str">
        <f>#REF!</f>
        <v>#VALUE!:noResult:No valid cells found for operation.</v>
      </c>
      <c r="CS37" s="15" t="str">
        <f>#REF!</f>
        <v>#VALUE!:noResult:No valid cells found for operation.</v>
      </c>
      <c r="CT37" s="15" t="str">
        <f>#REF!</f>
        <v>#VALUE!:noResult:No valid cells found for operation.</v>
      </c>
      <c r="CU37" s="15" t="str">
        <f>#REF!</f>
        <v>#VALUE!:noResult:No valid cells found for operation.</v>
      </c>
      <c r="CV37" s="15">
        <f>IF(Trans!R[487],"AAAAAG9n/2M=",0)</f>
        <v>0</v>
      </c>
      <c r="CW37" s="15" t="b">
        <f>AND(Trans!A524,"AAAAAG9n/2Q=")</f>
        <v>1</v>
      </c>
      <c r="CX37" s="15" t="str">
        <f>AND(Trans!B524,"AAAAAG9n/2U=")</f>
        <v>#VALUE!:noResult:No valid cells found for operation.</v>
      </c>
      <c r="CY37" s="15" t="b">
        <f>AND(Trans!C524,"AAAAAG9n/2Y=")</f>
        <v>1</v>
      </c>
      <c r="CZ37" s="15" t="b">
        <f>AND(Trans!D524,"AAAAAG9n/2c=")</f>
        <v>1</v>
      </c>
      <c r="DA37" s="15" t="str">
        <f>AND(Trans!E524,"AAAAAG9n/2g=")</f>
        <v>#VALUE!:noResult:No valid cells found for operation.</v>
      </c>
      <c r="DB37" s="15" t="str">
        <f>AND(Trans!F524,"AAAAAG9n/2k=")</f>
        <v>#VALUE!:noResult:No valid cells found for operation.</v>
      </c>
      <c r="DC37" s="15" t="str">
        <f>AND(Trans!G524,"AAAAAG9n/2o=")</f>
        <v>#VALUE!:noResult:No valid cells found for operation.</v>
      </c>
      <c r="DD37" s="15" t="str">
        <f>#REF!</f>
        <v>#VALUE!:noResult:No valid cells found for operation.</v>
      </c>
      <c r="DE37" s="15" t="str">
        <f>AND(Trans!H524,"AAAAAG9n/2w=")</f>
        <v>#VALUE!:noResult:No valid cells found for operation.</v>
      </c>
      <c r="DF37" s="15" t="str">
        <f>#REF!</f>
        <v>#VALUE!:noResult:No valid cells found for operation.</v>
      </c>
      <c r="DG37" s="15" t="str">
        <f>#REF!</f>
        <v>#VALUE!:noResult:No valid cells found for operation.</v>
      </c>
      <c r="DH37" s="15" t="str">
        <f>#REF!</f>
        <v>#VALUE!:noResult:No valid cells found for operation.</v>
      </c>
      <c r="DI37" s="15" t="str">
        <f>#REF!</f>
        <v>#VALUE!:noResult:No valid cells found for operation.</v>
      </c>
      <c r="DJ37" s="15" t="str">
        <f>#REF!</f>
        <v>#VALUE!:noResult:No valid cells found for operation.</v>
      </c>
      <c r="DK37" s="15" t="str">
        <f>#REF!</f>
        <v>#VALUE!:noResult:No valid cells found for operation.</v>
      </c>
      <c r="DL37" s="15">
        <f>IF(Trans!R[488],"AAAAAG9n/3M=",0)</f>
        <v>0</v>
      </c>
      <c r="DM37" s="15" t="b">
        <f>AND(Trans!A525,"AAAAAG9n/3Q=")</f>
        <v>1</v>
      </c>
      <c r="DN37" s="15" t="str">
        <f>AND(Trans!B525,"AAAAAG9n/3U=")</f>
        <v>#VALUE!:noResult:No valid cells found for operation.</v>
      </c>
      <c r="DO37" s="15" t="b">
        <f>AND(Trans!C525,"AAAAAG9n/3Y=")</f>
        <v>1</v>
      </c>
      <c r="DP37" s="15" t="b">
        <f>AND(Trans!D525,"AAAAAG9n/3c=")</f>
        <v>1</v>
      </c>
      <c r="DQ37" s="15" t="str">
        <f>AND(Trans!E525,"AAAAAG9n/3g=")</f>
        <v>#VALUE!:noResult:No valid cells found for operation.</v>
      </c>
      <c r="DR37" s="15" t="str">
        <f>AND(Trans!F525,"AAAAAG9n/3k=")</f>
        <v>#VALUE!:noResult:No valid cells found for operation.</v>
      </c>
      <c r="DS37" s="15" t="str">
        <f>AND(Trans!G525,"AAAAAG9n/3o=")</f>
        <v>#VALUE!:noResult:No valid cells found for operation.</v>
      </c>
      <c r="DT37" s="15" t="str">
        <f>#REF!</f>
        <v>#VALUE!:noResult:No valid cells found for operation.</v>
      </c>
      <c r="DU37" s="15" t="str">
        <f>AND(Trans!H525,"AAAAAG9n/3w=")</f>
        <v>#VALUE!:noResult:No valid cells found for operation.</v>
      </c>
      <c r="DV37" s="15" t="str">
        <f>#REF!</f>
        <v>#VALUE!:noResult:No valid cells found for operation.</v>
      </c>
      <c r="DW37" s="15" t="str">
        <f>#REF!</f>
        <v>#VALUE!:noResult:No valid cells found for operation.</v>
      </c>
      <c r="DX37" s="15" t="str">
        <f>#REF!</f>
        <v>#VALUE!:noResult:No valid cells found for operation.</v>
      </c>
      <c r="DY37" s="15" t="str">
        <f>#REF!</f>
        <v>#VALUE!:noResult:No valid cells found for operation.</v>
      </c>
      <c r="DZ37" s="15" t="str">
        <f>#REF!</f>
        <v>#VALUE!:noResult:No valid cells found for operation.</v>
      </c>
      <c r="EA37" s="15" t="str">
        <f>#REF!</f>
        <v>#VALUE!:noResult:No valid cells found for operation.</v>
      </c>
      <c r="EB37" s="15">
        <f>IF(Trans!R[489],"AAAAAG9n/4M=",0)</f>
        <v>0</v>
      </c>
      <c r="EC37" s="15" t="b">
        <f>AND(Trans!A526,"AAAAAG9n/4Q=")</f>
        <v>1</v>
      </c>
      <c r="ED37" s="15" t="str">
        <f>AND(Trans!B526,"AAAAAG9n/4U=")</f>
        <v>#VALUE!:noResult:No valid cells found for operation.</v>
      </c>
      <c r="EE37" s="15" t="b">
        <f>AND(Trans!C526,"AAAAAG9n/4Y=")</f>
        <v>1</v>
      </c>
      <c r="EF37" s="15" t="b">
        <f>AND(Trans!D526,"AAAAAG9n/4c=")</f>
        <v>1</v>
      </c>
      <c r="EG37" s="15" t="str">
        <f>AND(Trans!E526,"AAAAAG9n/4g=")</f>
        <v>#VALUE!:noResult:No valid cells found for operation.</v>
      </c>
      <c r="EH37" s="15" t="str">
        <f>AND(Trans!F526,"AAAAAG9n/4k=")</f>
        <v>#VALUE!:noResult:No valid cells found for operation.</v>
      </c>
      <c r="EI37" s="15" t="str">
        <f>AND(Trans!G526,"AAAAAG9n/4o=")</f>
        <v>#VALUE!:noResult:No valid cells found for operation.</v>
      </c>
      <c r="EJ37" s="15" t="str">
        <f>#REF!</f>
        <v>#VALUE!:noResult:No valid cells found for operation.</v>
      </c>
      <c r="EK37" s="15" t="str">
        <f>AND(Trans!H526,"AAAAAG9n/4w=")</f>
        <v>#VALUE!:noResult:No valid cells found for operation.</v>
      </c>
      <c r="EL37" s="15" t="str">
        <f>#REF!</f>
        <v>#VALUE!:noResult:No valid cells found for operation.</v>
      </c>
      <c r="EM37" s="15" t="str">
        <f>#REF!</f>
        <v>#VALUE!:noResult:No valid cells found for operation.</v>
      </c>
      <c r="EN37" s="15" t="str">
        <f>#REF!</f>
        <v>#VALUE!:noResult:No valid cells found for operation.</v>
      </c>
      <c r="EO37" s="15" t="str">
        <f>#REF!</f>
        <v>#VALUE!:noResult:No valid cells found for operation.</v>
      </c>
      <c r="EP37" s="15" t="str">
        <f>#REF!</f>
        <v>#VALUE!:noResult:No valid cells found for operation.</v>
      </c>
      <c r="EQ37" s="15" t="str">
        <f>#REF!</f>
        <v>#VALUE!:noResult:No valid cells found for operation.</v>
      </c>
      <c r="ER37" s="15">
        <f>IF(Trans!R[490],"AAAAAG9n/5M=",0)</f>
        <v>0</v>
      </c>
      <c r="ES37" s="15" t="b">
        <f>AND(Trans!A527,"AAAAAG9n/5Q=")</f>
        <v>1</v>
      </c>
      <c r="ET37" s="15" t="str">
        <f>AND(Trans!B527,"AAAAAG9n/5U=")</f>
        <v>#VALUE!:noResult:No valid cells found for operation.</v>
      </c>
      <c r="EU37" s="15" t="b">
        <f>AND(Trans!C527,"AAAAAG9n/5Y=")</f>
        <v>1</v>
      </c>
      <c r="EV37" s="15" t="b">
        <f>AND(Trans!D527,"AAAAAG9n/5c=")</f>
        <v>1</v>
      </c>
      <c r="EW37" s="15" t="str">
        <f>AND(Trans!E527,"AAAAAG9n/5g=")</f>
        <v>#VALUE!:noResult:No valid cells found for operation.</v>
      </c>
      <c r="EX37" s="15" t="str">
        <f>AND(Trans!F527,"AAAAAG9n/5k=")</f>
        <v>#VALUE!:noResult:No valid cells found for operation.</v>
      </c>
      <c r="EY37" s="15" t="str">
        <f>AND(Trans!G527,"AAAAAG9n/5o=")</f>
        <v>#VALUE!:noResult:No valid cells found for operation.</v>
      </c>
      <c r="EZ37" s="15" t="str">
        <f>#REF!</f>
        <v>#VALUE!:noResult:No valid cells found for operation.</v>
      </c>
      <c r="FA37" s="15" t="str">
        <f>AND(Trans!H527,"AAAAAG9n/5w=")</f>
        <v>#VALUE!:noResult:No valid cells found for operation.</v>
      </c>
      <c r="FB37" s="15" t="str">
        <f>#REF!</f>
        <v>#VALUE!:noResult:No valid cells found for operation.</v>
      </c>
      <c r="FC37" s="15" t="str">
        <f>#REF!</f>
        <v>#VALUE!:noResult:No valid cells found for operation.</v>
      </c>
      <c r="FD37" s="15" t="str">
        <f>#REF!</f>
        <v>#VALUE!:noResult:No valid cells found for operation.</v>
      </c>
      <c r="FE37" s="15" t="str">
        <f>#REF!</f>
        <v>#VALUE!:noResult:No valid cells found for operation.</v>
      </c>
      <c r="FF37" s="15" t="str">
        <f>#REF!</f>
        <v>#VALUE!:noResult:No valid cells found for operation.</v>
      </c>
      <c r="FG37" s="15" t="str">
        <f>#REF!</f>
        <v>#VALUE!:noResult:No valid cells found for operation.</v>
      </c>
      <c r="FH37" s="15">
        <f>IF(Trans!R[491],"AAAAAG9n/6M=",0)</f>
        <v>0</v>
      </c>
      <c r="FI37" s="15" t="b">
        <f>AND(Trans!A528,"AAAAAG9n/6Q=")</f>
        <v>1</v>
      </c>
      <c r="FJ37" s="15" t="str">
        <f>AND(Trans!B528,"AAAAAG9n/6U=")</f>
        <v>#VALUE!:noResult:No valid cells found for operation.</v>
      </c>
      <c r="FK37" s="15" t="b">
        <f>AND(Trans!C528,"AAAAAG9n/6Y=")</f>
        <v>1</v>
      </c>
      <c r="FL37" s="15" t="b">
        <f>AND(Trans!D528,"AAAAAG9n/6c=")</f>
        <v>1</v>
      </c>
      <c r="FM37" s="15" t="str">
        <f>AND(Trans!E528,"AAAAAG9n/6g=")</f>
        <v>#VALUE!:noResult:No valid cells found for operation.</v>
      </c>
      <c r="FN37" s="15" t="str">
        <f>AND(Trans!F528,"AAAAAG9n/6k=")</f>
        <v>#VALUE!:noResult:No valid cells found for operation.</v>
      </c>
      <c r="FO37" s="15" t="str">
        <f>AND(Trans!G528,"AAAAAG9n/6o=")</f>
        <v>#VALUE!:noResult:No valid cells found for operation.</v>
      </c>
      <c r="FP37" s="15" t="str">
        <f>#REF!</f>
        <v>#VALUE!:noResult:No valid cells found for operation.</v>
      </c>
      <c r="FQ37" s="15" t="str">
        <f>AND(Trans!H528,"AAAAAG9n/6w=")</f>
        <v>#VALUE!:noResult:No valid cells found for operation.</v>
      </c>
      <c r="FR37" s="15" t="str">
        <f>#REF!</f>
        <v>#VALUE!:noResult:No valid cells found for operation.</v>
      </c>
      <c r="FS37" s="15" t="str">
        <f>#REF!</f>
        <v>#VALUE!:noResult:No valid cells found for operation.</v>
      </c>
      <c r="FT37" s="15" t="str">
        <f>#REF!</f>
        <v>#VALUE!:noResult:No valid cells found for operation.</v>
      </c>
      <c r="FU37" s="15" t="str">
        <f>#REF!</f>
        <v>#VALUE!:noResult:No valid cells found for operation.</v>
      </c>
      <c r="FV37" s="15" t="str">
        <f>#REF!</f>
        <v>#VALUE!:noResult:No valid cells found for operation.</v>
      </c>
      <c r="FW37" s="15" t="str">
        <f>#REF!</f>
        <v>#VALUE!:noResult:No valid cells found for operation.</v>
      </c>
      <c r="FX37" s="15">
        <f>IF(Trans!R[492],"AAAAAG9n/7M=",0)</f>
        <v>0</v>
      </c>
      <c r="FY37" s="15" t="b">
        <f>AND(Trans!A529,"AAAAAG9n/7Q=")</f>
        <v>1</v>
      </c>
      <c r="FZ37" s="15" t="str">
        <f>AND(Trans!B529,"AAAAAG9n/7U=")</f>
        <v>#VALUE!:noResult:No valid cells found for operation.</v>
      </c>
      <c r="GA37" s="15" t="b">
        <f>AND(Trans!C529,"AAAAAG9n/7Y=")</f>
        <v>1</v>
      </c>
      <c r="GB37" s="15" t="b">
        <f>AND(Trans!D529,"AAAAAG9n/7c=")</f>
        <v>1</v>
      </c>
      <c r="GC37" s="15" t="str">
        <f>AND(Trans!E529,"AAAAAG9n/7g=")</f>
        <v>#VALUE!:noResult:No valid cells found for operation.</v>
      </c>
      <c r="GD37" s="15" t="str">
        <f>AND(Trans!F529,"AAAAAG9n/7k=")</f>
        <v>#VALUE!:noResult:No valid cells found for operation.</v>
      </c>
      <c r="GE37" s="15" t="str">
        <f>AND(Trans!G529,"AAAAAG9n/7o=")</f>
        <v>#VALUE!:noResult:No valid cells found for operation.</v>
      </c>
      <c r="GF37" s="15" t="str">
        <f>#REF!</f>
        <v>#VALUE!:noResult:No valid cells found for operation.</v>
      </c>
      <c r="GG37" s="15" t="str">
        <f>AND(Trans!H529,"AAAAAG9n/7w=")</f>
        <v>#VALUE!:noResult:No valid cells found for operation.</v>
      </c>
      <c r="GH37" s="15" t="str">
        <f>#REF!</f>
        <v>#VALUE!:noResult:No valid cells found for operation.</v>
      </c>
      <c r="GI37" s="15" t="str">
        <f>#REF!</f>
        <v>#VALUE!:noResult:No valid cells found for operation.</v>
      </c>
      <c r="GJ37" s="15" t="str">
        <f>#REF!</f>
        <v>#VALUE!:noResult:No valid cells found for operation.</v>
      </c>
      <c r="GK37" s="15" t="str">
        <f>#REF!</f>
        <v>#VALUE!:noResult:No valid cells found for operation.</v>
      </c>
      <c r="GL37" s="15" t="str">
        <f>#REF!</f>
        <v>#VALUE!:noResult:No valid cells found for operation.</v>
      </c>
      <c r="GM37" s="15" t="str">
        <f>#REF!</f>
        <v>#VALUE!:noResult:No valid cells found for operation.</v>
      </c>
      <c r="GN37" s="15">
        <f>IF(Trans!R[493],"AAAAAG9n/8M=",0)</f>
        <v>0</v>
      </c>
      <c r="GO37" s="15" t="b">
        <f>AND(Trans!A530,"AAAAAG9n/8Q=")</f>
        <v>1</v>
      </c>
      <c r="GP37" s="15" t="str">
        <f>AND(Trans!B530,"AAAAAG9n/8U=")</f>
        <v>#VALUE!:noResult:No valid cells found for operation.</v>
      </c>
      <c r="GQ37" s="15" t="b">
        <f>AND(Trans!C530,"AAAAAG9n/8Y=")</f>
        <v>1</v>
      </c>
      <c r="GR37" s="15" t="b">
        <f>AND(Trans!D530,"AAAAAG9n/8c=")</f>
        <v>1</v>
      </c>
      <c r="GS37" s="15" t="str">
        <f>AND(Trans!E530,"AAAAAG9n/8g=")</f>
        <v>#VALUE!:noResult:No valid cells found for operation.</v>
      </c>
      <c r="GT37" s="15" t="str">
        <f>AND(Trans!F530,"AAAAAG9n/8k=")</f>
        <v>#VALUE!:noResult:No valid cells found for operation.</v>
      </c>
      <c r="GU37" s="15" t="str">
        <f>AND(Trans!G530,"AAAAAG9n/8o=")</f>
        <v>#VALUE!:noResult:No valid cells found for operation.</v>
      </c>
      <c r="GV37" s="15" t="str">
        <f>#REF!</f>
        <v>#VALUE!:noResult:No valid cells found for operation.</v>
      </c>
      <c r="GW37" s="15" t="str">
        <f>AND(Trans!H530,"AAAAAG9n/8w=")</f>
        <v>#VALUE!:noResult:No valid cells found for operation.</v>
      </c>
      <c r="GX37" s="15" t="str">
        <f>#REF!</f>
        <v>#VALUE!:noResult:No valid cells found for operation.</v>
      </c>
      <c r="GY37" s="15" t="str">
        <f>#REF!</f>
        <v>#VALUE!:noResult:No valid cells found for operation.</v>
      </c>
      <c r="GZ37" s="15" t="str">
        <f>#REF!</f>
        <v>#VALUE!:noResult:No valid cells found for operation.</v>
      </c>
      <c r="HA37" s="15" t="str">
        <f>#REF!</f>
        <v>#VALUE!:noResult:No valid cells found for operation.</v>
      </c>
      <c r="HB37" s="15" t="str">
        <f>#REF!</f>
        <v>#VALUE!:noResult:No valid cells found for operation.</v>
      </c>
      <c r="HC37" s="15" t="str">
        <f>#REF!</f>
        <v>#VALUE!:noResult:No valid cells found for operation.</v>
      </c>
      <c r="HD37" s="15">
        <f>IF(Trans!R[494],"AAAAAG9n/9M=",0)</f>
        <v>0</v>
      </c>
      <c r="HE37" s="15" t="b">
        <f>AND(Trans!A531,"AAAAAG9n/9Q=")</f>
        <v>1</v>
      </c>
      <c r="HF37" s="15" t="str">
        <f>AND(Trans!B531,"AAAAAG9n/9U=")</f>
        <v>#VALUE!:noResult:No valid cells found for operation.</v>
      </c>
      <c r="HG37" s="15" t="b">
        <f>AND(Trans!C531,"AAAAAG9n/9Y=")</f>
        <v>1</v>
      </c>
      <c r="HH37" s="15" t="b">
        <f>AND(Trans!D531,"AAAAAG9n/9c=")</f>
        <v>1</v>
      </c>
      <c r="HI37" s="15" t="str">
        <f>AND(Trans!E531,"AAAAAG9n/9g=")</f>
        <v>#VALUE!:noResult:No valid cells found for operation.</v>
      </c>
      <c r="HJ37" s="15" t="str">
        <f>AND(Trans!F531,"AAAAAG9n/9k=")</f>
        <v>#VALUE!:noResult:No valid cells found for operation.</v>
      </c>
      <c r="HK37" s="15" t="str">
        <f>AND(Trans!G531,"AAAAAG9n/9o=")</f>
        <v>#VALUE!:noResult:No valid cells found for operation.</v>
      </c>
      <c r="HL37" s="15" t="str">
        <f>#REF!</f>
        <v>#VALUE!:noResult:No valid cells found for operation.</v>
      </c>
      <c r="HM37" s="15" t="str">
        <f>AND(Trans!H531,"AAAAAG9n/9w=")</f>
        <v>#VALUE!:noResult:No valid cells found for operation.</v>
      </c>
      <c r="HN37" s="15" t="str">
        <f>#REF!</f>
        <v>#VALUE!:noResult:No valid cells found for operation.</v>
      </c>
      <c r="HO37" s="15" t="str">
        <f>#REF!</f>
        <v>#VALUE!:noResult:No valid cells found for operation.</v>
      </c>
      <c r="HP37" s="15" t="str">
        <f>#REF!</f>
        <v>#VALUE!:noResult:No valid cells found for operation.</v>
      </c>
      <c r="HQ37" s="15" t="str">
        <f>#REF!</f>
        <v>#VALUE!:noResult:No valid cells found for operation.</v>
      </c>
      <c r="HR37" s="15" t="str">
        <f>#REF!</f>
        <v>#VALUE!:noResult:No valid cells found for operation.</v>
      </c>
      <c r="HS37" s="15" t="str">
        <f>#REF!</f>
        <v>#VALUE!:noResult:No valid cells found for operation.</v>
      </c>
      <c r="HT37" s="15">
        <f>IF(Trans!R[495],"AAAAAG9n/+M=",0)</f>
        <v>0</v>
      </c>
      <c r="HU37" s="15" t="b">
        <f>AND(Trans!A532,"AAAAAG9n/+Q=")</f>
        <v>1</v>
      </c>
      <c r="HV37" s="15" t="str">
        <f>AND(Trans!B532,"AAAAAG9n/+U=")</f>
        <v>#VALUE!:noResult:No valid cells found for operation.</v>
      </c>
      <c r="HW37" s="15" t="b">
        <f>AND(Trans!C532,"AAAAAG9n/+Y=")</f>
        <v>1</v>
      </c>
      <c r="HX37" s="15" t="b">
        <f>AND(Trans!D532,"AAAAAG9n/+c=")</f>
        <v>1</v>
      </c>
      <c r="HY37" s="15" t="str">
        <f>AND(Trans!E532,"AAAAAG9n/+g=")</f>
        <v>#VALUE!:noResult:No valid cells found for operation.</v>
      </c>
      <c r="HZ37" s="15" t="str">
        <f>AND(Trans!F532,"AAAAAG9n/+k=")</f>
        <v>#VALUE!:noResult:No valid cells found for operation.</v>
      </c>
      <c r="IA37" s="15" t="str">
        <f>AND(Trans!G532,"AAAAAG9n/+o=")</f>
        <v>#VALUE!:noResult:No valid cells found for operation.</v>
      </c>
      <c r="IB37" s="15" t="str">
        <f>#REF!</f>
        <v>#VALUE!:noResult:No valid cells found for operation.</v>
      </c>
      <c r="IC37" s="15" t="str">
        <f>AND(Trans!H532,"AAAAAG9n/+w=")</f>
        <v>#VALUE!:noResult:No valid cells found for operation.</v>
      </c>
      <c r="ID37" s="15" t="str">
        <f>#REF!</f>
        <v>#VALUE!:noResult:No valid cells found for operation.</v>
      </c>
      <c r="IE37" s="15" t="str">
        <f>#REF!</f>
        <v>#VALUE!:noResult:No valid cells found for operation.</v>
      </c>
      <c r="IF37" s="15" t="str">
        <f>#REF!</f>
        <v>#VALUE!:noResult:No valid cells found for operation.</v>
      </c>
      <c r="IG37" s="15" t="str">
        <f>#REF!</f>
        <v>#VALUE!:noResult:No valid cells found for operation.</v>
      </c>
      <c r="IH37" s="15" t="str">
        <f>#REF!</f>
        <v>#VALUE!:noResult:No valid cells found for operation.</v>
      </c>
      <c r="II37" s="15" t="str">
        <f>#REF!</f>
        <v>#VALUE!:noResult:No valid cells found for operation.</v>
      </c>
      <c r="IJ37" s="15">
        <f>IF(Trans!R[496],"AAAAAG9n//M=",0)</f>
        <v>0</v>
      </c>
      <c r="IK37" s="15" t="b">
        <f>AND(Trans!A533,"AAAAAG9n//Q=")</f>
        <v>1</v>
      </c>
      <c r="IL37" s="15" t="str">
        <f>AND(Trans!B533,"AAAAAG9n//U=")</f>
        <v>#VALUE!:noResult:No valid cells found for operation.</v>
      </c>
      <c r="IM37" s="15" t="b">
        <f>AND(Trans!C533,"AAAAAG9n//Y=")</f>
        <v>1</v>
      </c>
      <c r="IN37" s="15" t="b">
        <f>AND(Trans!D533,"AAAAAG9n//c=")</f>
        <v>1</v>
      </c>
      <c r="IO37" s="15" t="str">
        <f>AND(Trans!E533,"AAAAAG9n//g=")</f>
        <v>#VALUE!:noResult:No valid cells found for operation.</v>
      </c>
      <c r="IP37" s="15" t="str">
        <f>AND(Trans!F533,"AAAAAG9n//k=")</f>
        <v>#VALUE!:noResult:No valid cells found for operation.</v>
      </c>
      <c r="IQ37" s="15" t="str">
        <f>AND(Trans!G533,"AAAAAG9n//o=")</f>
        <v>#VALUE!:noResult:No valid cells found for operation.</v>
      </c>
      <c r="IR37" s="15" t="str">
        <f>#REF!</f>
        <v>#VALUE!:noResult:No valid cells found for operation.</v>
      </c>
      <c r="IS37" s="15" t="str">
        <f>AND(Trans!H533,"AAAAAG9n//w=")</f>
        <v>#VALUE!:noResult:No valid cells found for operation.</v>
      </c>
      <c r="IT37" s="15" t="str">
        <f>#REF!</f>
        <v>#VALUE!:noResult:No valid cells found for operation.</v>
      </c>
      <c r="IU37" s="15" t="str">
        <f>#REF!</f>
        <v>#VALUE!:noResult:No valid cells found for operation.</v>
      </c>
      <c r="IV37" s="15" t="str">
        <f>#REF!</f>
        <v>#VALUE!:noResult:No valid cells found for operation.</v>
      </c>
    </row>
    <row r="38">
      <c r="A38" s="15" t="str">
        <f>#REF!</f>
        <v>#VALUE!:noResult:No valid cells found for operation.</v>
      </c>
      <c r="B38" s="15" t="str">
        <f>#REF!</f>
        <v>#VALUE!:noResult:No valid cells found for operation.</v>
      </c>
      <c r="C38" s="15" t="str">
        <f>#REF!</f>
        <v>#VALUE!:noResult:No valid cells found for operation.</v>
      </c>
      <c r="D38" s="15" t="str">
        <f>IF(Trans!R[496],"AAAAAH/1nQM=",0)</f>
        <v>AAAAAH/1nQM=</v>
      </c>
      <c r="E38" s="15" t="b">
        <f>AND(Trans!A534,"AAAAAH/1nQQ=")</f>
        <v>1</v>
      </c>
      <c r="F38" s="15" t="str">
        <f>AND(Trans!B534,"AAAAAH/1nQU=")</f>
        <v>#VALUE!:noResult:No valid cells found for operation.</v>
      </c>
      <c r="G38" s="15" t="b">
        <f>AND(Trans!C534,"AAAAAH/1nQY=")</f>
        <v>1</v>
      </c>
      <c r="H38" s="15" t="b">
        <f>AND(Trans!D534,"AAAAAH/1nQc=")</f>
        <v>1</v>
      </c>
      <c r="I38" s="15" t="str">
        <f>AND(Trans!E534,"AAAAAH/1nQg=")</f>
        <v>#VALUE!:noResult:No valid cells found for operation.</v>
      </c>
      <c r="J38" s="15" t="str">
        <f>AND(Trans!F534,"AAAAAH/1nQk=")</f>
        <v>#VALUE!:noResult:No valid cells found for operation.</v>
      </c>
      <c r="K38" s="15" t="str">
        <f>AND(Trans!G534,"AAAAAH/1nQo=")</f>
        <v>#VALUE!:noResult:No valid cells found for operation.</v>
      </c>
      <c r="L38" s="15" t="str">
        <f>#REF!</f>
        <v>#VALUE!:noResult:No valid cells found for operation.</v>
      </c>
      <c r="M38" s="15" t="str">
        <f>AND(Trans!H534,"AAAAAH/1nQw=")</f>
        <v>#VALUE!:noResult:No valid cells found for operation.</v>
      </c>
      <c r="N38" s="15" t="str">
        <f>#REF!</f>
        <v>#VALUE!:noResult:No valid cells found for operation.</v>
      </c>
      <c r="O38" s="15" t="str">
        <f>#REF!</f>
        <v>#VALUE!:noResult:No valid cells found for operation.</v>
      </c>
      <c r="P38" s="15" t="str">
        <f>#REF!</f>
        <v>#VALUE!:noResult:No valid cells found for operation.</v>
      </c>
      <c r="Q38" s="15" t="str">
        <f>#REF!</f>
        <v>#VALUE!:noResult:No valid cells found for operation.</v>
      </c>
      <c r="R38" s="15" t="str">
        <f>#REF!</f>
        <v>#VALUE!:noResult:No valid cells found for operation.</v>
      </c>
      <c r="S38" s="15" t="str">
        <f>#REF!</f>
        <v>#VALUE!:noResult:No valid cells found for operation.</v>
      </c>
      <c r="T38" s="15">
        <f>IF(Trans!R[497],"AAAAAH/1nRM=",0)</f>
        <v>0</v>
      </c>
      <c r="U38" s="15" t="b">
        <f>AND(Trans!A535,"AAAAAH/1nRQ=")</f>
        <v>1</v>
      </c>
      <c r="V38" s="15" t="str">
        <f>AND(Trans!B535,"AAAAAH/1nRU=")</f>
        <v>#VALUE!:noResult:No valid cells found for operation.</v>
      </c>
      <c r="W38" s="15" t="b">
        <f>AND(Trans!C535,"AAAAAH/1nRY=")</f>
        <v>1</v>
      </c>
      <c r="X38" s="15" t="b">
        <f>AND(Trans!D535,"AAAAAH/1nRc=")</f>
        <v>1</v>
      </c>
      <c r="Y38" s="15" t="str">
        <f>AND(Trans!E535,"AAAAAH/1nRg=")</f>
        <v>#VALUE!:noResult:No valid cells found for operation.</v>
      </c>
      <c r="Z38" s="15" t="str">
        <f>AND(Trans!F535,"AAAAAH/1nRk=")</f>
        <v>#VALUE!:noResult:No valid cells found for operation.</v>
      </c>
      <c r="AA38" s="15" t="str">
        <f>AND(Trans!G535,"AAAAAH/1nRo=")</f>
        <v>#VALUE!:noResult:No valid cells found for operation.</v>
      </c>
      <c r="AB38" s="15" t="str">
        <f>#REF!</f>
        <v>#VALUE!:noResult:No valid cells found for operation.</v>
      </c>
      <c r="AC38" s="15" t="str">
        <f>AND(Trans!H535,"AAAAAH/1nRw=")</f>
        <v>#VALUE!:noResult:No valid cells found for operation.</v>
      </c>
      <c r="AD38" s="15" t="str">
        <f>#REF!</f>
        <v>#VALUE!:noResult:No valid cells found for operation.</v>
      </c>
      <c r="AE38" s="15" t="str">
        <f>#REF!</f>
        <v>#VALUE!:noResult:No valid cells found for operation.</v>
      </c>
      <c r="AF38" s="15" t="str">
        <f>#REF!</f>
        <v>#VALUE!:noResult:No valid cells found for operation.</v>
      </c>
      <c r="AG38" s="15" t="str">
        <f>#REF!</f>
        <v>#VALUE!:noResult:No valid cells found for operation.</v>
      </c>
      <c r="AH38" s="15" t="str">
        <f>#REF!</f>
        <v>#VALUE!:noResult:No valid cells found for operation.</v>
      </c>
      <c r="AI38" s="15" t="str">
        <f>#REF!</f>
        <v>#VALUE!:noResult:No valid cells found for operation.</v>
      </c>
      <c r="AJ38" s="15">
        <f>IF(Trans!R[498],"AAAAAH/1nSM=",0)</f>
        <v>0</v>
      </c>
      <c r="AK38" s="15" t="b">
        <f>AND(Trans!A536,"AAAAAH/1nSQ=")</f>
        <v>1</v>
      </c>
      <c r="AL38" s="15" t="str">
        <f>AND(Trans!B536,"AAAAAH/1nSU=")</f>
        <v>#VALUE!:noResult:No valid cells found for operation.</v>
      </c>
      <c r="AM38" s="15" t="b">
        <f>AND(Trans!C536,"AAAAAH/1nSY=")</f>
        <v>1</v>
      </c>
      <c r="AN38" s="15" t="b">
        <f>AND(Trans!D536,"AAAAAH/1nSc=")</f>
        <v>1</v>
      </c>
      <c r="AO38" s="15" t="str">
        <f>AND(Trans!E536,"AAAAAH/1nSg=")</f>
        <v>#VALUE!:noResult:No valid cells found for operation.</v>
      </c>
      <c r="AP38" s="15" t="str">
        <f>AND(Trans!F536,"AAAAAH/1nSk=")</f>
        <v>#VALUE!:noResult:No valid cells found for operation.</v>
      </c>
      <c r="AQ38" s="15" t="str">
        <f>AND(Trans!G536,"AAAAAH/1nSo=")</f>
        <v>#VALUE!:noResult:No valid cells found for operation.</v>
      </c>
      <c r="AR38" s="15" t="str">
        <f>#REF!</f>
        <v>#VALUE!:noResult:No valid cells found for operation.</v>
      </c>
      <c r="AS38" s="15" t="str">
        <f>AND(Trans!H536,"AAAAAH/1nSw=")</f>
        <v>#VALUE!:noResult:No valid cells found for operation.</v>
      </c>
      <c r="AT38" s="15" t="str">
        <f>#REF!</f>
        <v>#VALUE!:noResult:No valid cells found for operation.</v>
      </c>
      <c r="AU38" s="15" t="str">
        <f>#REF!</f>
        <v>#VALUE!:noResult:No valid cells found for operation.</v>
      </c>
      <c r="AV38" s="15" t="str">
        <f>#REF!</f>
        <v>#VALUE!:noResult:No valid cells found for operation.</v>
      </c>
      <c r="AW38" s="15" t="str">
        <f>#REF!</f>
        <v>#VALUE!:noResult:No valid cells found for operation.</v>
      </c>
      <c r="AX38" s="15" t="str">
        <f>#REF!</f>
        <v>#VALUE!:noResult:No valid cells found for operation.</v>
      </c>
      <c r="AY38" s="15" t="str">
        <f>#REF!</f>
        <v>#VALUE!:noResult:No valid cells found for operation.</v>
      </c>
      <c r="AZ38" s="15">
        <f>IF(Trans!R[499],"AAAAAH/1nTM=",0)</f>
        <v>0</v>
      </c>
      <c r="BA38" s="15" t="b">
        <f>AND(Trans!A537,"AAAAAH/1nTQ=")</f>
        <v>1</v>
      </c>
      <c r="BB38" s="15" t="str">
        <f>AND(Trans!B537,"AAAAAH/1nTU=")</f>
        <v>#VALUE!:noResult:No valid cells found for operation.</v>
      </c>
      <c r="BC38" s="15" t="b">
        <f>AND(Trans!C537,"AAAAAH/1nTY=")</f>
        <v>1</v>
      </c>
      <c r="BD38" s="15" t="b">
        <f>AND(Trans!D537,"AAAAAH/1nTc=")</f>
        <v>1</v>
      </c>
      <c r="BE38" s="15" t="str">
        <f>AND(Trans!E537,"AAAAAH/1nTg=")</f>
        <v>#VALUE!:noResult:No valid cells found for operation.</v>
      </c>
      <c r="BF38" s="15" t="str">
        <f>AND(Trans!F537,"AAAAAH/1nTk=")</f>
        <v>#VALUE!:noResult:No valid cells found for operation.</v>
      </c>
      <c r="BG38" s="15" t="str">
        <f>AND(Trans!G537,"AAAAAH/1nTo=")</f>
        <v>#VALUE!:noResult:No valid cells found for operation.</v>
      </c>
      <c r="BH38" s="15" t="str">
        <f>#REF!</f>
        <v>#VALUE!:noResult:No valid cells found for operation.</v>
      </c>
      <c r="BI38" s="15" t="str">
        <f>AND(Trans!H537,"AAAAAH/1nTw=")</f>
        <v>#VALUE!:noResult:No valid cells found for operation.</v>
      </c>
      <c r="BJ38" s="15" t="str">
        <f>#REF!</f>
        <v>#VALUE!:noResult:No valid cells found for operation.</v>
      </c>
      <c r="BK38" s="15" t="str">
        <f>#REF!</f>
        <v>#VALUE!:noResult:No valid cells found for operation.</v>
      </c>
      <c r="BL38" s="15" t="str">
        <f>#REF!</f>
        <v>#VALUE!:noResult:No valid cells found for operation.</v>
      </c>
      <c r="BM38" s="15" t="str">
        <f>#REF!</f>
        <v>#VALUE!:noResult:No valid cells found for operation.</v>
      </c>
      <c r="BN38" s="15" t="str">
        <f>#REF!</f>
        <v>#VALUE!:noResult:No valid cells found for operation.</v>
      </c>
      <c r="BO38" s="15" t="str">
        <f>#REF!</f>
        <v>#VALUE!:noResult:No valid cells found for operation.</v>
      </c>
      <c r="BP38" s="15">
        <f>IF(Trans!R[500],"AAAAAH/1nUM=",0)</f>
        <v>0</v>
      </c>
      <c r="BQ38" s="15" t="b">
        <f>AND(Trans!A538,"AAAAAH/1nUQ=")</f>
        <v>1</v>
      </c>
      <c r="BR38" s="15" t="str">
        <f>AND(Trans!B538,"AAAAAH/1nUU=")</f>
        <v>#VALUE!:noResult:No valid cells found for operation.</v>
      </c>
      <c r="BS38" s="15" t="b">
        <f>AND(Trans!C538,"AAAAAH/1nUY=")</f>
        <v>1</v>
      </c>
      <c r="BT38" s="15" t="b">
        <f>AND(Trans!D538,"AAAAAH/1nUc=")</f>
        <v>1</v>
      </c>
      <c r="BU38" s="15" t="str">
        <f>AND(Trans!E538,"AAAAAH/1nUg=")</f>
        <v>#VALUE!:noResult:No valid cells found for operation.</v>
      </c>
      <c r="BV38" s="15" t="str">
        <f>AND(Trans!F538,"AAAAAH/1nUk=")</f>
        <v>#VALUE!:noResult:No valid cells found for operation.</v>
      </c>
      <c r="BW38" s="15" t="str">
        <f>AND(Trans!G538,"AAAAAH/1nUo=")</f>
        <v>#VALUE!:noResult:No valid cells found for operation.</v>
      </c>
      <c r="BX38" s="15" t="str">
        <f>#REF!</f>
        <v>#VALUE!:noResult:No valid cells found for operation.</v>
      </c>
      <c r="BY38" s="15" t="str">
        <f>AND(Trans!H538,"AAAAAH/1nUw=")</f>
        <v>#VALUE!:noResult:No valid cells found for operation.</v>
      </c>
      <c r="BZ38" s="15" t="str">
        <f>#REF!</f>
        <v>#VALUE!:noResult:No valid cells found for operation.</v>
      </c>
      <c r="CA38" s="15" t="str">
        <f>#REF!</f>
        <v>#VALUE!:noResult:No valid cells found for operation.</v>
      </c>
      <c r="CB38" s="15" t="str">
        <f>#REF!</f>
        <v>#VALUE!:noResult:No valid cells found for operation.</v>
      </c>
      <c r="CC38" s="15" t="str">
        <f>#REF!</f>
        <v>#VALUE!:noResult:No valid cells found for operation.</v>
      </c>
      <c r="CD38" s="15" t="str">
        <f>#REF!</f>
        <v>#VALUE!:noResult:No valid cells found for operation.</v>
      </c>
      <c r="CE38" s="15" t="str">
        <f>#REF!</f>
        <v>#VALUE!:noResult:No valid cells found for operation.</v>
      </c>
      <c r="CF38" s="15">
        <f>IF(Trans!R[501],"AAAAAH/1nVM=",0)</f>
        <v>0</v>
      </c>
      <c r="CG38" s="15" t="b">
        <f>AND(Trans!A539,"AAAAAH/1nVQ=")</f>
        <v>1</v>
      </c>
      <c r="CH38" s="15" t="str">
        <f>AND(Trans!B539,"AAAAAH/1nVU=")</f>
        <v>#VALUE!:noResult:No valid cells found for operation.</v>
      </c>
      <c r="CI38" s="15" t="b">
        <f>AND(Trans!C539,"AAAAAH/1nVY=")</f>
        <v>1</v>
      </c>
      <c r="CJ38" s="15" t="b">
        <f>AND(Trans!D539,"AAAAAH/1nVc=")</f>
        <v>1</v>
      </c>
      <c r="CK38" s="15" t="str">
        <f>AND(Trans!E539,"AAAAAH/1nVg=")</f>
        <v>#VALUE!:noResult:No valid cells found for operation.</v>
      </c>
      <c r="CL38" s="15" t="str">
        <f>AND(Trans!F539,"AAAAAH/1nVk=")</f>
        <v>#VALUE!:noResult:No valid cells found for operation.</v>
      </c>
      <c r="CM38" s="15" t="str">
        <f>AND(Trans!G539,"AAAAAH/1nVo=")</f>
        <v>#VALUE!:noResult:No valid cells found for operation.</v>
      </c>
      <c r="CN38" s="15" t="str">
        <f>#REF!</f>
        <v>#VALUE!:noResult:No valid cells found for operation.</v>
      </c>
      <c r="CO38" s="15" t="str">
        <f>AND(Trans!H539,"AAAAAH/1nVw=")</f>
        <v>#VALUE!:noResult:No valid cells found for operation.</v>
      </c>
      <c r="CP38" s="15" t="str">
        <f>#REF!</f>
        <v>#VALUE!:noResult:No valid cells found for operation.</v>
      </c>
      <c r="CQ38" s="15" t="str">
        <f>#REF!</f>
        <v>#VALUE!:noResult:No valid cells found for operation.</v>
      </c>
      <c r="CR38" s="15" t="str">
        <f>#REF!</f>
        <v>#VALUE!:noResult:No valid cells found for operation.</v>
      </c>
      <c r="CS38" s="15" t="str">
        <f>#REF!</f>
        <v>#VALUE!:noResult:No valid cells found for operation.</v>
      </c>
      <c r="CT38" s="15" t="str">
        <f>#REF!</f>
        <v>#VALUE!:noResult:No valid cells found for operation.</v>
      </c>
      <c r="CU38" s="15" t="str">
        <f>#REF!</f>
        <v>#VALUE!:noResult:No valid cells found for operation.</v>
      </c>
      <c r="CV38" s="15">
        <f>IF(Trans!R[502],"AAAAAH/1nWM=",0)</f>
        <v>0</v>
      </c>
      <c r="CW38" s="15" t="b">
        <f>AND(Trans!A540,"AAAAAH/1nWQ=")</f>
        <v>1</v>
      </c>
      <c r="CX38" s="15" t="str">
        <f>AND(Trans!B540,"AAAAAH/1nWU=")</f>
        <v>#VALUE!:noResult:No valid cells found for operation.</v>
      </c>
      <c r="CY38" s="15" t="b">
        <f>AND(Trans!C540,"AAAAAH/1nWY=")</f>
        <v>1</v>
      </c>
      <c r="CZ38" s="15" t="b">
        <f>AND(Trans!D540,"AAAAAH/1nWc=")</f>
        <v>1</v>
      </c>
      <c r="DA38" s="15" t="str">
        <f>AND(Trans!E540,"AAAAAH/1nWg=")</f>
        <v>#VALUE!:noResult:No valid cells found for operation.</v>
      </c>
      <c r="DB38" s="15" t="str">
        <f>AND(Trans!F540,"AAAAAH/1nWk=")</f>
        <v>#VALUE!:noResult:No valid cells found for operation.</v>
      </c>
      <c r="DC38" s="15" t="str">
        <f>AND(Trans!G540,"AAAAAH/1nWo=")</f>
        <v>#VALUE!:noResult:No valid cells found for operation.</v>
      </c>
      <c r="DD38" s="15" t="str">
        <f>#REF!</f>
        <v>#VALUE!:noResult:No valid cells found for operation.</v>
      </c>
      <c r="DE38" s="15" t="str">
        <f>AND(Trans!H540,"AAAAAH/1nWw=")</f>
        <v>#VALUE!:noResult:No valid cells found for operation.</v>
      </c>
      <c r="DF38" s="15" t="str">
        <f>#REF!</f>
        <v>#VALUE!:noResult:No valid cells found for operation.</v>
      </c>
      <c r="DG38" s="15" t="str">
        <f>#REF!</f>
        <v>#VALUE!:noResult:No valid cells found for operation.</v>
      </c>
      <c r="DH38" s="15" t="str">
        <f>#REF!</f>
        <v>#VALUE!:noResult:No valid cells found for operation.</v>
      </c>
      <c r="DI38" s="15" t="str">
        <f>#REF!</f>
        <v>#VALUE!:noResult:No valid cells found for operation.</v>
      </c>
      <c r="DJ38" s="15" t="str">
        <f>#REF!</f>
        <v>#VALUE!:noResult:No valid cells found for operation.</v>
      </c>
      <c r="DK38" s="15" t="str">
        <f>#REF!</f>
        <v>#VALUE!:noResult:No valid cells found for operation.</v>
      </c>
      <c r="DL38" s="15">
        <f>IF(Trans!R[503],"AAAAAH/1nXM=",0)</f>
        <v>0</v>
      </c>
      <c r="DM38" s="15" t="b">
        <f>AND(Trans!A541,"AAAAAH/1nXQ=")</f>
        <v>1</v>
      </c>
      <c r="DN38" s="15" t="str">
        <f>AND(Trans!B541,"AAAAAH/1nXU=")</f>
        <v>#VALUE!:noResult:No valid cells found for operation.</v>
      </c>
      <c r="DO38" s="15" t="b">
        <f>AND(Trans!C541,"AAAAAH/1nXY=")</f>
        <v>1</v>
      </c>
      <c r="DP38" s="15" t="b">
        <f>AND(Trans!D541,"AAAAAH/1nXc=")</f>
        <v>1</v>
      </c>
      <c r="DQ38" s="15" t="str">
        <f>AND(Trans!E541,"AAAAAH/1nXg=")</f>
        <v>#VALUE!:noResult:No valid cells found for operation.</v>
      </c>
      <c r="DR38" s="15" t="str">
        <f>AND(Trans!F541,"AAAAAH/1nXk=")</f>
        <v>#VALUE!:noResult:No valid cells found for operation.</v>
      </c>
      <c r="DS38" s="15" t="str">
        <f>AND(Trans!G541,"AAAAAH/1nXo=")</f>
        <v>#VALUE!:noResult:No valid cells found for operation.</v>
      </c>
      <c r="DT38" s="15" t="str">
        <f>#REF!</f>
        <v>#VALUE!:noResult:No valid cells found for operation.</v>
      </c>
      <c r="DU38" s="15" t="str">
        <f>AND(Trans!H541,"AAAAAH/1nXw=")</f>
        <v>#VALUE!:noResult:No valid cells found for operation.</v>
      </c>
      <c r="DV38" s="15" t="str">
        <f>#REF!</f>
        <v>#VALUE!:noResult:No valid cells found for operation.</v>
      </c>
      <c r="DW38" s="15" t="str">
        <f>#REF!</f>
        <v>#VALUE!:noResult:No valid cells found for operation.</v>
      </c>
      <c r="DX38" s="15" t="str">
        <f>#REF!</f>
        <v>#VALUE!:noResult:No valid cells found for operation.</v>
      </c>
      <c r="DY38" s="15" t="str">
        <f>#REF!</f>
        <v>#VALUE!:noResult:No valid cells found for operation.</v>
      </c>
      <c r="DZ38" s="15" t="str">
        <f>#REF!</f>
        <v>#VALUE!:noResult:No valid cells found for operation.</v>
      </c>
      <c r="EA38" s="15" t="str">
        <f>#REF!</f>
        <v>#VALUE!:noResult:No valid cells found for operation.</v>
      </c>
      <c r="EB38" s="15">
        <f>IF(Trans!R[504],"AAAAAH/1nYM=",0)</f>
        <v>0</v>
      </c>
      <c r="EC38" s="15" t="b">
        <f>AND(Trans!A542,"AAAAAH/1nYQ=")</f>
        <v>1</v>
      </c>
      <c r="ED38" s="15" t="str">
        <f>AND(Trans!B542,"AAAAAH/1nYU=")</f>
        <v>#VALUE!:noResult:No valid cells found for operation.</v>
      </c>
      <c r="EE38" s="15" t="b">
        <f>AND(Trans!C542,"AAAAAH/1nYY=")</f>
        <v>1</v>
      </c>
      <c r="EF38" s="15" t="b">
        <f>AND(Trans!D542,"AAAAAH/1nYc=")</f>
        <v>1</v>
      </c>
      <c r="EG38" s="15" t="str">
        <f>AND(Trans!E542,"AAAAAH/1nYg=")</f>
        <v>#VALUE!:noResult:No valid cells found for operation.</v>
      </c>
      <c r="EH38" s="15" t="str">
        <f>AND(Trans!F542,"AAAAAH/1nYk=")</f>
        <v>#VALUE!:noResult:No valid cells found for operation.</v>
      </c>
      <c r="EI38" s="15" t="str">
        <f>AND(Trans!G542,"AAAAAH/1nYo=")</f>
        <v>#VALUE!:noResult:No valid cells found for operation.</v>
      </c>
      <c r="EJ38" s="15" t="str">
        <f>#REF!</f>
        <v>#VALUE!:noResult:No valid cells found for operation.</v>
      </c>
      <c r="EK38" s="15" t="str">
        <f>AND(Trans!H542,"AAAAAH/1nYw=")</f>
        <v>#VALUE!:noResult:No valid cells found for operation.</v>
      </c>
      <c r="EL38" s="15" t="str">
        <f>#REF!</f>
        <v>#VALUE!:noResult:No valid cells found for operation.</v>
      </c>
      <c r="EM38" s="15" t="str">
        <f>#REF!</f>
        <v>#VALUE!:noResult:No valid cells found for operation.</v>
      </c>
      <c r="EN38" s="15" t="str">
        <f>#REF!</f>
        <v>#VALUE!:noResult:No valid cells found for operation.</v>
      </c>
      <c r="EO38" s="15" t="str">
        <f>#REF!</f>
        <v>#VALUE!:noResult:No valid cells found for operation.</v>
      </c>
      <c r="EP38" s="15" t="str">
        <f>#REF!</f>
        <v>#VALUE!:noResult:No valid cells found for operation.</v>
      </c>
      <c r="EQ38" s="15" t="str">
        <f>#REF!</f>
        <v>#VALUE!:noResult:No valid cells found for operation.</v>
      </c>
      <c r="ER38" s="15">
        <f>IF(Trans!R[505],"AAAAAH/1nZM=",0)</f>
        <v>0</v>
      </c>
      <c r="ES38" s="15" t="b">
        <f>AND(Trans!A543,"AAAAAH/1nZQ=")</f>
        <v>1</v>
      </c>
      <c r="ET38" s="15" t="str">
        <f>AND(Trans!B543,"AAAAAH/1nZU=")</f>
        <v>#VALUE!:noResult:No valid cells found for operation.</v>
      </c>
      <c r="EU38" s="15" t="b">
        <f>AND(Trans!C543,"AAAAAH/1nZY=")</f>
        <v>1</v>
      </c>
      <c r="EV38" s="15" t="b">
        <f>AND(Trans!D543,"AAAAAH/1nZc=")</f>
        <v>1</v>
      </c>
      <c r="EW38" s="15" t="str">
        <f>AND(Trans!E543,"AAAAAH/1nZg=")</f>
        <v>#VALUE!:noResult:No valid cells found for operation.</v>
      </c>
      <c r="EX38" s="15" t="str">
        <f>AND(Trans!F543,"AAAAAH/1nZk=")</f>
        <v>#VALUE!:noResult:No valid cells found for operation.</v>
      </c>
      <c r="EY38" s="15" t="str">
        <f>AND(Trans!G543,"AAAAAH/1nZo=")</f>
        <v>#VALUE!:noResult:No valid cells found for operation.</v>
      </c>
      <c r="EZ38" s="15" t="str">
        <f>#REF!</f>
        <v>#VALUE!:noResult:No valid cells found for operation.</v>
      </c>
      <c r="FA38" s="15" t="str">
        <f>AND(Trans!H543,"AAAAAH/1nZw=")</f>
        <v>#VALUE!:noResult:No valid cells found for operation.</v>
      </c>
      <c r="FB38" s="15" t="str">
        <f>#REF!</f>
        <v>#VALUE!:noResult:No valid cells found for operation.</v>
      </c>
      <c r="FC38" s="15" t="str">
        <f>#REF!</f>
        <v>#VALUE!:noResult:No valid cells found for operation.</v>
      </c>
      <c r="FD38" s="15" t="str">
        <f>#REF!</f>
        <v>#VALUE!:noResult:No valid cells found for operation.</v>
      </c>
      <c r="FE38" s="15" t="str">
        <f>#REF!</f>
        <v>#VALUE!:noResult:No valid cells found for operation.</v>
      </c>
      <c r="FF38" s="15" t="str">
        <f>#REF!</f>
        <v>#VALUE!:noResult:No valid cells found for operation.</v>
      </c>
      <c r="FG38" s="15" t="str">
        <f>#REF!</f>
        <v>#VALUE!:noResult:No valid cells found for operation.</v>
      </c>
      <c r="FH38" s="15">
        <f>IF(Trans!R[506],"AAAAAH/1naM=",0)</f>
        <v>0</v>
      </c>
      <c r="FI38" s="15" t="b">
        <f>AND(Trans!A544,"AAAAAH/1naQ=")</f>
        <v>1</v>
      </c>
      <c r="FJ38" s="15" t="str">
        <f>AND(Trans!B544,"AAAAAH/1naU=")</f>
        <v>#VALUE!:noResult:No valid cells found for operation.</v>
      </c>
      <c r="FK38" s="15" t="b">
        <f>AND(Trans!C544,"AAAAAH/1naY=")</f>
        <v>1</v>
      </c>
      <c r="FL38" s="15" t="b">
        <f>AND(Trans!D544,"AAAAAH/1nac=")</f>
        <v>1</v>
      </c>
      <c r="FM38" s="15" t="str">
        <f>AND(Trans!E544,"AAAAAH/1nag=")</f>
        <v>#VALUE!:noResult:No valid cells found for operation.</v>
      </c>
      <c r="FN38" s="15" t="str">
        <f>AND(Trans!F544,"AAAAAH/1nak=")</f>
        <v>#VALUE!:noResult:No valid cells found for operation.</v>
      </c>
      <c r="FO38" s="15" t="str">
        <f>AND(Trans!G544,"AAAAAH/1nao=")</f>
        <v>#VALUE!:noResult:No valid cells found for operation.</v>
      </c>
      <c r="FP38" s="15" t="str">
        <f>#REF!</f>
        <v>#VALUE!:noResult:No valid cells found for operation.</v>
      </c>
      <c r="FQ38" s="15" t="str">
        <f>AND(Trans!H544,"AAAAAH/1naw=")</f>
        <v>#VALUE!:noResult:No valid cells found for operation.</v>
      </c>
      <c r="FR38" s="15" t="str">
        <f>#REF!</f>
        <v>#VALUE!:noResult:No valid cells found for operation.</v>
      </c>
      <c r="FS38" s="15" t="str">
        <f>#REF!</f>
        <v>#VALUE!:noResult:No valid cells found for operation.</v>
      </c>
      <c r="FT38" s="15" t="str">
        <f>#REF!</f>
        <v>#VALUE!:noResult:No valid cells found for operation.</v>
      </c>
      <c r="FU38" s="15" t="str">
        <f>#REF!</f>
        <v>#VALUE!:noResult:No valid cells found for operation.</v>
      </c>
      <c r="FV38" s="15" t="str">
        <f>#REF!</f>
        <v>#VALUE!:noResult:No valid cells found for operation.</v>
      </c>
      <c r="FW38" s="15" t="str">
        <f>#REF!</f>
        <v>#VALUE!:noResult:No valid cells found for operation.</v>
      </c>
      <c r="FX38" s="15">
        <f>IF(Trans!R[507],"AAAAAH/1nbM=",0)</f>
        <v>0</v>
      </c>
      <c r="FY38" s="15" t="b">
        <f>AND(Trans!A545,"AAAAAH/1nbQ=")</f>
        <v>1</v>
      </c>
      <c r="FZ38" s="15" t="str">
        <f>AND(Trans!B545,"AAAAAH/1nbU=")</f>
        <v>#VALUE!:noResult:No valid cells found for operation.</v>
      </c>
      <c r="GA38" s="15" t="b">
        <f>AND(Trans!C545,"AAAAAH/1nbY=")</f>
        <v>0</v>
      </c>
      <c r="GB38" s="15" t="b">
        <f>AND(Trans!D545,"AAAAAH/1nbc=")</f>
        <v>1</v>
      </c>
      <c r="GC38" s="15" t="str">
        <f>AND(Trans!E545,"AAAAAH/1nbg=")</f>
        <v>#VALUE!:noResult:No valid cells found for operation.</v>
      </c>
      <c r="GD38" s="15" t="str">
        <f>AND(Trans!F545,"AAAAAH/1nbk=")</f>
        <v>#VALUE!:noResult:No valid cells found for operation.</v>
      </c>
      <c r="GE38" s="15" t="str">
        <f>AND(Trans!G545,"AAAAAH/1nbo=")</f>
        <v>#VALUE!:noResult:No valid cells found for operation.</v>
      </c>
      <c r="GF38" s="15" t="str">
        <f>#REF!</f>
        <v>#VALUE!:noResult:No valid cells found for operation.</v>
      </c>
      <c r="GG38" s="15" t="str">
        <f>AND(Trans!H545,"AAAAAH/1nbw=")</f>
        <v>#VALUE!:noResult:No valid cells found for operation.</v>
      </c>
      <c r="GH38" s="15" t="str">
        <f>#REF!</f>
        <v>#VALUE!:noResult:No valid cells found for operation.</v>
      </c>
      <c r="GI38" s="15" t="str">
        <f>#REF!</f>
        <v>#VALUE!:noResult:No valid cells found for operation.</v>
      </c>
      <c r="GJ38" s="15" t="str">
        <f>#REF!</f>
        <v>#VALUE!:noResult:No valid cells found for operation.</v>
      </c>
      <c r="GK38" s="15" t="str">
        <f>#REF!</f>
        <v>#VALUE!:noResult:No valid cells found for operation.</v>
      </c>
      <c r="GL38" s="15" t="str">
        <f>#REF!</f>
        <v>#VALUE!:noResult:No valid cells found for operation.</v>
      </c>
      <c r="GM38" s="15" t="str">
        <f>#REF!</f>
        <v>#VALUE!:noResult:No valid cells found for operation.</v>
      </c>
      <c r="GN38" s="15">
        <f>IF(Trans!R[508],"AAAAAH/1ncM=",0)</f>
        <v>0</v>
      </c>
      <c r="GO38" s="15" t="b">
        <f>AND(Trans!A546,"AAAAAH/1ncQ=")</f>
        <v>1</v>
      </c>
      <c r="GP38" s="15" t="str">
        <f>AND(Trans!B546,"AAAAAH/1ncU=")</f>
        <v>#VALUE!:noResult:No valid cells found for operation.</v>
      </c>
      <c r="GQ38" s="15" t="b">
        <f>AND(Trans!C546,"AAAAAH/1ncY=")</f>
        <v>1</v>
      </c>
      <c r="GR38" s="15" t="b">
        <f>AND(Trans!D546,"AAAAAH/1ncc=")</f>
        <v>1</v>
      </c>
      <c r="GS38" s="15" t="str">
        <f>AND(Trans!E546,"AAAAAH/1ncg=")</f>
        <v>#VALUE!:noResult:No valid cells found for operation.</v>
      </c>
      <c r="GT38" s="15" t="str">
        <f>AND(Trans!F546,"AAAAAH/1nck=")</f>
        <v>#VALUE!:noResult:No valid cells found for operation.</v>
      </c>
      <c r="GU38" s="15" t="str">
        <f>AND(Trans!G546,"AAAAAH/1nco=")</f>
        <v>#VALUE!:noResult:No valid cells found for operation.</v>
      </c>
      <c r="GV38" s="15" t="str">
        <f>#REF!</f>
        <v>#VALUE!:noResult:No valid cells found for operation.</v>
      </c>
      <c r="GW38" s="15" t="str">
        <f>AND(Trans!H546,"AAAAAH/1ncw=")</f>
        <v>#VALUE!:noResult:No valid cells found for operation.</v>
      </c>
      <c r="GX38" s="15" t="str">
        <f>#REF!</f>
        <v>#VALUE!:noResult:No valid cells found for operation.</v>
      </c>
      <c r="GY38" s="15" t="str">
        <f>#REF!</f>
        <v>#VALUE!:noResult:No valid cells found for operation.</v>
      </c>
      <c r="GZ38" s="15" t="str">
        <f>#REF!</f>
        <v>#VALUE!:noResult:No valid cells found for operation.</v>
      </c>
      <c r="HA38" s="15" t="str">
        <f>#REF!</f>
        <v>#VALUE!:noResult:No valid cells found for operation.</v>
      </c>
      <c r="HB38" s="15" t="str">
        <f>#REF!</f>
        <v>#VALUE!:noResult:No valid cells found for operation.</v>
      </c>
      <c r="HC38" s="15" t="str">
        <f>#REF!</f>
        <v>#VALUE!:noResult:No valid cells found for operation.</v>
      </c>
      <c r="HD38" s="15">
        <f>IF(Trans!R[509],"AAAAAH/1ndM=",0)</f>
        <v>0</v>
      </c>
      <c r="HE38" s="15" t="b">
        <f>AND(Trans!A547,"AAAAAH/1ndQ=")</f>
        <v>1</v>
      </c>
      <c r="HF38" s="15" t="str">
        <f>AND(Trans!B547,"AAAAAH/1ndU=")</f>
        <v>#VALUE!:noResult:No valid cells found for operation.</v>
      </c>
      <c r="HG38" s="15" t="b">
        <f>AND(Trans!C547,"AAAAAH/1ndY=")</f>
        <v>1</v>
      </c>
      <c r="HH38" s="15" t="b">
        <f>AND(Trans!D547,"AAAAAH/1ndc=")</f>
        <v>1</v>
      </c>
      <c r="HI38" s="15" t="str">
        <f>AND(Trans!E547,"AAAAAH/1ndg=")</f>
        <v>#VALUE!:noResult:No valid cells found for operation.</v>
      </c>
      <c r="HJ38" s="15" t="str">
        <f>AND(Trans!F547,"AAAAAH/1ndk=")</f>
        <v>#VALUE!:noResult:No valid cells found for operation.</v>
      </c>
      <c r="HK38" s="15" t="str">
        <f>AND(Trans!G547,"AAAAAH/1ndo=")</f>
        <v>#VALUE!:noResult:No valid cells found for operation.</v>
      </c>
      <c r="HL38" s="15" t="str">
        <f>#REF!</f>
        <v>#VALUE!:noResult:No valid cells found for operation.</v>
      </c>
      <c r="HM38" s="15" t="str">
        <f>AND(Trans!H547,"AAAAAH/1ndw=")</f>
        <v>#VALUE!:noResult:No valid cells found for operation.</v>
      </c>
      <c r="HN38" s="15" t="str">
        <f>#REF!</f>
        <v>#VALUE!:noResult:No valid cells found for operation.</v>
      </c>
      <c r="HO38" s="15" t="str">
        <f>#REF!</f>
        <v>#VALUE!:noResult:No valid cells found for operation.</v>
      </c>
      <c r="HP38" s="15" t="str">
        <f>#REF!</f>
        <v>#VALUE!:noResult:No valid cells found for operation.</v>
      </c>
      <c r="HQ38" s="15" t="str">
        <f>#REF!</f>
        <v>#VALUE!:noResult:No valid cells found for operation.</v>
      </c>
      <c r="HR38" s="15" t="str">
        <f>#REF!</f>
        <v>#VALUE!:noResult:No valid cells found for operation.</v>
      </c>
      <c r="HS38" s="15" t="str">
        <f>#REF!</f>
        <v>#VALUE!:noResult:No valid cells found for operation.</v>
      </c>
      <c r="HT38" s="15">
        <f>IF(Trans!R[510],"AAAAAH/1neM=",0)</f>
        <v>0</v>
      </c>
      <c r="HU38" s="15" t="b">
        <f>AND(Trans!A548,"AAAAAH/1neQ=")</f>
        <v>1</v>
      </c>
      <c r="HV38" s="15" t="str">
        <f>AND(Trans!B548,"AAAAAH/1neU=")</f>
        <v>#VALUE!:noResult:No valid cells found for operation.</v>
      </c>
      <c r="HW38" s="15" t="b">
        <f>AND(Trans!C548,"AAAAAH/1neY=")</f>
        <v>1</v>
      </c>
      <c r="HX38" s="15" t="b">
        <f>AND(Trans!D548,"AAAAAH/1nec=")</f>
        <v>1</v>
      </c>
      <c r="HY38" s="15" t="str">
        <f>AND(Trans!E548,"AAAAAH/1neg=")</f>
        <v>#VALUE!:noResult:No valid cells found for operation.</v>
      </c>
      <c r="HZ38" s="15" t="str">
        <f>AND(Trans!F548,"AAAAAH/1nek=")</f>
        <v>#VALUE!:noResult:No valid cells found for operation.</v>
      </c>
      <c r="IA38" s="15" t="str">
        <f>AND(Trans!G548,"AAAAAH/1neo=")</f>
        <v>#VALUE!:noResult:No valid cells found for operation.</v>
      </c>
      <c r="IB38" s="15" t="str">
        <f>#REF!</f>
        <v>#VALUE!:noResult:No valid cells found for operation.</v>
      </c>
      <c r="IC38" s="15" t="str">
        <f>AND(Trans!H548,"AAAAAH/1new=")</f>
        <v>#VALUE!:noResult:No valid cells found for operation.</v>
      </c>
      <c r="ID38" s="15" t="str">
        <f>#REF!</f>
        <v>#VALUE!:noResult:No valid cells found for operation.</v>
      </c>
      <c r="IE38" s="15" t="str">
        <f>#REF!</f>
        <v>#VALUE!:noResult:No valid cells found for operation.</v>
      </c>
      <c r="IF38" s="15" t="str">
        <f>#REF!</f>
        <v>#VALUE!:noResult:No valid cells found for operation.</v>
      </c>
      <c r="IG38" s="15" t="str">
        <f>#REF!</f>
        <v>#VALUE!:noResult:No valid cells found for operation.</v>
      </c>
      <c r="IH38" s="15" t="str">
        <f>#REF!</f>
        <v>#VALUE!:noResult:No valid cells found for operation.</v>
      </c>
      <c r="II38" s="15" t="str">
        <f>#REF!</f>
        <v>#VALUE!:noResult:No valid cells found for operation.</v>
      </c>
      <c r="IJ38" s="15">
        <f>IF(Trans!R[511],"AAAAAH/1nfM=",0)</f>
        <v>0</v>
      </c>
      <c r="IK38" s="15" t="b">
        <f>AND(Trans!A549,"AAAAAH/1nfQ=")</f>
        <v>1</v>
      </c>
      <c r="IL38" s="15" t="str">
        <f>AND(Trans!B549,"AAAAAH/1nfU=")</f>
        <v>#VALUE!:noResult:No valid cells found for operation.</v>
      </c>
      <c r="IM38" s="15" t="b">
        <f>AND(Trans!C549,"AAAAAH/1nfY=")</f>
        <v>1</v>
      </c>
      <c r="IN38" s="15" t="b">
        <f>AND(Trans!D549,"AAAAAH/1nfc=")</f>
        <v>1</v>
      </c>
      <c r="IO38" s="15" t="str">
        <f>AND(Trans!E549,"AAAAAH/1nfg=")</f>
        <v>#VALUE!:noResult:No valid cells found for operation.</v>
      </c>
      <c r="IP38" s="15" t="str">
        <f>AND(Trans!F549,"AAAAAH/1nfk=")</f>
        <v>#VALUE!:noResult:No valid cells found for operation.</v>
      </c>
      <c r="IQ38" s="15" t="str">
        <f>AND(Trans!G549,"AAAAAH/1nfo=")</f>
        <v>#VALUE!:noResult:No valid cells found for operation.</v>
      </c>
      <c r="IR38" s="15" t="str">
        <f>#REF!</f>
        <v>#VALUE!:noResult:No valid cells found for operation.</v>
      </c>
      <c r="IS38" s="15" t="str">
        <f>AND(Trans!H549,"AAAAAH/1nfw=")</f>
        <v>#VALUE!:noResult:No valid cells found for operation.</v>
      </c>
      <c r="IT38" s="15" t="str">
        <f>#REF!</f>
        <v>#VALUE!:noResult:No valid cells found for operation.</v>
      </c>
      <c r="IU38" s="15" t="str">
        <f>#REF!</f>
        <v>#VALUE!:noResult:No valid cells found for operation.</v>
      </c>
      <c r="IV38" s="15" t="str">
        <f>#REF!</f>
        <v>#VALUE!:noResult:No valid cells found for operation.</v>
      </c>
    </row>
    <row r="39">
      <c r="A39" s="15" t="str">
        <f>#REF!</f>
        <v>#VALUE!:noResult:No valid cells found for operation.</v>
      </c>
      <c r="B39" s="15" t="str">
        <f>#REF!</f>
        <v>#VALUE!:noResult:No valid cells found for operation.</v>
      </c>
      <c r="C39" s="15" t="str">
        <f>#REF!</f>
        <v>#VALUE!:noResult:No valid cells found for operation.</v>
      </c>
      <c r="D39" s="15" t="str">
        <f>IF(Trans!R[511],"AAAAAC/7uQM=",0)</f>
        <v>AAAAAC/7uQM=</v>
      </c>
      <c r="E39" s="15" t="b">
        <f>AND(Trans!A550,"AAAAAC/7uQQ=")</f>
        <v>1</v>
      </c>
      <c r="F39" s="15" t="str">
        <f>AND(Trans!B550,"AAAAAC/7uQU=")</f>
        <v>#VALUE!:noResult:No valid cells found for operation.</v>
      </c>
      <c r="G39" s="15" t="b">
        <f>AND(Trans!C550,"AAAAAC/7uQY=")</f>
        <v>1</v>
      </c>
      <c r="H39" s="15" t="b">
        <f>AND(Trans!D550,"AAAAAC/7uQc=")</f>
        <v>1</v>
      </c>
      <c r="I39" s="15" t="str">
        <f>AND(Trans!E550,"AAAAAC/7uQg=")</f>
        <v>#VALUE!:noResult:No valid cells found for operation.</v>
      </c>
      <c r="J39" s="15" t="str">
        <f>AND(Trans!F550,"AAAAAC/7uQk=")</f>
        <v>#VALUE!:noResult:No valid cells found for operation.</v>
      </c>
      <c r="K39" s="15" t="str">
        <f>AND(Trans!G550,"AAAAAC/7uQo=")</f>
        <v>#VALUE!:noResult:No valid cells found for operation.</v>
      </c>
      <c r="L39" s="15" t="str">
        <f>#REF!</f>
        <v>#VALUE!:noResult:No valid cells found for operation.</v>
      </c>
      <c r="M39" s="15" t="str">
        <f>AND(Trans!H550,"AAAAAC/7uQw=")</f>
        <v>#VALUE!:noResult:No valid cells found for operation.</v>
      </c>
      <c r="N39" s="15" t="str">
        <f>#REF!</f>
        <v>#VALUE!:noResult:No valid cells found for operation.</v>
      </c>
      <c r="O39" s="15" t="str">
        <f>#REF!</f>
        <v>#VALUE!:noResult:No valid cells found for operation.</v>
      </c>
      <c r="P39" s="15" t="str">
        <f>#REF!</f>
        <v>#VALUE!:noResult:No valid cells found for operation.</v>
      </c>
      <c r="Q39" s="15" t="str">
        <f>#REF!</f>
        <v>#VALUE!:noResult:No valid cells found for operation.</v>
      </c>
      <c r="R39" s="15" t="str">
        <f>#REF!</f>
        <v>#VALUE!:noResult:No valid cells found for operation.</v>
      </c>
      <c r="S39" s="15" t="str">
        <f>#REF!</f>
        <v>#VALUE!:noResult:No valid cells found for operation.</v>
      </c>
      <c r="T39" s="15">
        <f>IF(Trans!R[512],"AAAAAC/7uRM=",0)</f>
        <v>0</v>
      </c>
      <c r="U39" s="15" t="b">
        <f>AND(Trans!A551,"AAAAAC/7uRQ=")</f>
        <v>1</v>
      </c>
      <c r="V39" s="15" t="str">
        <f>AND(Trans!B551,"AAAAAC/7uRU=")</f>
        <v>#VALUE!:noResult:No valid cells found for operation.</v>
      </c>
      <c r="W39" s="15" t="b">
        <f>AND(Trans!C551,"AAAAAC/7uRY=")</f>
        <v>1</v>
      </c>
      <c r="X39" s="15" t="b">
        <f>AND(Trans!D551,"AAAAAC/7uRc=")</f>
        <v>1</v>
      </c>
      <c r="Y39" s="15" t="str">
        <f>AND(Trans!E551,"AAAAAC/7uRg=")</f>
        <v>#VALUE!:noResult:No valid cells found for operation.</v>
      </c>
      <c r="Z39" s="15" t="str">
        <f>AND(Trans!F551,"AAAAAC/7uRk=")</f>
        <v>#VALUE!:noResult:No valid cells found for operation.</v>
      </c>
      <c r="AA39" s="15" t="str">
        <f>AND(Trans!G551,"AAAAAC/7uRo=")</f>
        <v>#VALUE!:noResult:No valid cells found for operation.</v>
      </c>
      <c r="AB39" s="15" t="str">
        <f>#REF!</f>
        <v>#VALUE!:noResult:No valid cells found for operation.</v>
      </c>
      <c r="AC39" s="15" t="str">
        <f>AND(Trans!H551,"AAAAAC/7uRw=")</f>
        <v>#VALUE!:noResult:No valid cells found for operation.</v>
      </c>
      <c r="AD39" s="15" t="str">
        <f>#REF!</f>
        <v>#VALUE!:noResult:No valid cells found for operation.</v>
      </c>
      <c r="AE39" s="15" t="str">
        <f>#REF!</f>
        <v>#VALUE!:noResult:No valid cells found for operation.</v>
      </c>
      <c r="AF39" s="15" t="str">
        <f>#REF!</f>
        <v>#VALUE!:noResult:No valid cells found for operation.</v>
      </c>
      <c r="AG39" s="15" t="str">
        <f>#REF!</f>
        <v>#VALUE!:noResult:No valid cells found for operation.</v>
      </c>
      <c r="AH39" s="15" t="str">
        <f>#REF!</f>
        <v>#VALUE!:noResult:No valid cells found for operation.</v>
      </c>
      <c r="AI39" s="15" t="str">
        <f>#REF!</f>
        <v>#VALUE!:noResult:No valid cells found for operation.</v>
      </c>
      <c r="AJ39" s="15">
        <f>IF(Trans!R[513],"AAAAAC/7uSM=",0)</f>
        <v>0</v>
      </c>
      <c r="AK39" s="15" t="b">
        <f>AND(Trans!A552,"AAAAAC/7uSQ=")</f>
        <v>1</v>
      </c>
      <c r="AL39" s="15" t="str">
        <f>AND(Trans!B552,"AAAAAC/7uSU=")</f>
        <v>#VALUE!:noResult:No valid cells found for operation.</v>
      </c>
      <c r="AM39" s="15" t="b">
        <f>AND(Trans!C552,"AAAAAC/7uSY=")</f>
        <v>1</v>
      </c>
      <c r="AN39" s="15" t="b">
        <f>AND(Trans!D552,"AAAAAC/7uSc=")</f>
        <v>1</v>
      </c>
      <c r="AO39" s="15" t="str">
        <f>AND(Trans!E552,"AAAAAC/7uSg=")</f>
        <v>#VALUE!:noResult:No valid cells found for operation.</v>
      </c>
      <c r="AP39" s="15" t="str">
        <f>AND(Trans!F552,"AAAAAC/7uSk=")</f>
        <v>#VALUE!:noResult:No valid cells found for operation.</v>
      </c>
      <c r="AQ39" s="15" t="str">
        <f>AND(Trans!G552,"AAAAAC/7uSo=")</f>
        <v>#VALUE!:noResult:No valid cells found for operation.</v>
      </c>
      <c r="AR39" s="15" t="str">
        <f>#REF!</f>
        <v>#VALUE!:noResult:No valid cells found for operation.</v>
      </c>
      <c r="AS39" s="15" t="str">
        <f>AND(Trans!H552,"AAAAAC/7uSw=")</f>
        <v>#VALUE!:noResult:No valid cells found for operation.</v>
      </c>
      <c r="AT39" s="15" t="str">
        <f>#REF!</f>
        <v>#VALUE!:noResult:No valid cells found for operation.</v>
      </c>
      <c r="AU39" s="15" t="str">
        <f>#REF!</f>
        <v>#VALUE!:noResult:No valid cells found for operation.</v>
      </c>
      <c r="AV39" s="15" t="str">
        <f>#REF!</f>
        <v>#VALUE!:noResult:No valid cells found for operation.</v>
      </c>
      <c r="AW39" s="15" t="str">
        <f>#REF!</f>
        <v>#VALUE!:noResult:No valid cells found for operation.</v>
      </c>
      <c r="AX39" s="15" t="str">
        <f>#REF!</f>
        <v>#VALUE!:noResult:No valid cells found for operation.</v>
      </c>
      <c r="AY39" s="15" t="str">
        <f>#REF!</f>
        <v>#VALUE!:noResult:No valid cells found for operation.</v>
      </c>
      <c r="AZ39" s="15">
        <f>IF(Trans!R[514],"AAAAAC/7uTM=",0)</f>
        <v>0</v>
      </c>
      <c r="BA39" s="15" t="b">
        <f>AND(Trans!A553,"AAAAAC/7uTQ=")</f>
        <v>1</v>
      </c>
      <c r="BB39" s="15" t="str">
        <f>AND(Trans!B553,"AAAAAC/7uTU=")</f>
        <v>#VALUE!:noResult:No valid cells found for operation.</v>
      </c>
      <c r="BC39" s="15" t="b">
        <f>AND(Trans!C553,"AAAAAC/7uTY=")</f>
        <v>1</v>
      </c>
      <c r="BD39" s="15" t="b">
        <f>AND(Trans!D553,"AAAAAC/7uTc=")</f>
        <v>1</v>
      </c>
      <c r="BE39" s="15" t="str">
        <f>AND(Trans!E553,"AAAAAC/7uTg=")</f>
        <v>#VALUE!:noResult:No valid cells found for operation.</v>
      </c>
      <c r="BF39" s="15" t="str">
        <f>AND(Trans!F553,"AAAAAC/7uTk=")</f>
        <v>#VALUE!:noResult:No valid cells found for operation.</v>
      </c>
      <c r="BG39" s="15" t="str">
        <f>AND(Trans!G553,"AAAAAC/7uTo=")</f>
        <v>#VALUE!:noResult:No valid cells found for operation.</v>
      </c>
      <c r="BH39" s="15" t="str">
        <f>#REF!</f>
        <v>#VALUE!:noResult:No valid cells found for operation.</v>
      </c>
      <c r="BI39" s="15" t="str">
        <f>AND(Trans!H553,"AAAAAC/7uTw=")</f>
        <v>#VALUE!:noResult:No valid cells found for operation.</v>
      </c>
      <c r="BJ39" s="15" t="str">
        <f>#REF!</f>
        <v>#VALUE!:noResult:No valid cells found for operation.</v>
      </c>
      <c r="BK39" s="15" t="str">
        <f>#REF!</f>
        <v>#VALUE!:noResult:No valid cells found for operation.</v>
      </c>
      <c r="BL39" s="15" t="str">
        <f>#REF!</f>
        <v>#VALUE!:noResult:No valid cells found for operation.</v>
      </c>
      <c r="BM39" s="15" t="str">
        <f>#REF!</f>
        <v>#VALUE!:noResult:No valid cells found for operation.</v>
      </c>
      <c r="BN39" s="15" t="str">
        <f>#REF!</f>
        <v>#VALUE!:noResult:No valid cells found for operation.</v>
      </c>
      <c r="BO39" s="15" t="str">
        <f>#REF!</f>
        <v>#VALUE!:noResult:No valid cells found for operation.</v>
      </c>
      <c r="BP39" s="15">
        <f>IF(Trans!R[515],"AAAAAC/7uUM=",0)</f>
        <v>0</v>
      </c>
      <c r="BQ39" s="15" t="b">
        <f>AND(Trans!A554,"AAAAAC/7uUQ=")</f>
        <v>1</v>
      </c>
      <c r="BR39" s="15" t="str">
        <f>AND(Trans!B554,"AAAAAC/7uUU=")</f>
        <v>#VALUE!:noResult:No valid cells found for operation.</v>
      </c>
      <c r="BS39" s="15" t="b">
        <f>AND(Trans!C554,"AAAAAC/7uUY=")</f>
        <v>1</v>
      </c>
      <c r="BT39" s="15" t="b">
        <f>AND(Trans!D554,"AAAAAC/7uUc=")</f>
        <v>1</v>
      </c>
      <c r="BU39" s="15" t="str">
        <f>AND(Trans!E554,"AAAAAC/7uUg=")</f>
        <v>#VALUE!:noResult:No valid cells found for operation.</v>
      </c>
      <c r="BV39" s="15" t="str">
        <f>AND(Trans!F554,"AAAAAC/7uUk=")</f>
        <v>#VALUE!:noResult:No valid cells found for operation.</v>
      </c>
      <c r="BW39" s="15" t="str">
        <f>AND(Trans!G554,"AAAAAC/7uUo=")</f>
        <v>#VALUE!:noResult:No valid cells found for operation.</v>
      </c>
      <c r="BX39" s="15" t="str">
        <f>#REF!</f>
        <v>#VALUE!:noResult:No valid cells found for operation.</v>
      </c>
      <c r="BY39" s="15" t="str">
        <f>AND(Trans!H554,"AAAAAC/7uUw=")</f>
        <v>#VALUE!:noResult:No valid cells found for operation.</v>
      </c>
      <c r="BZ39" s="15" t="str">
        <f>#REF!</f>
        <v>#VALUE!:noResult:No valid cells found for operation.</v>
      </c>
      <c r="CA39" s="15" t="str">
        <f>#REF!</f>
        <v>#VALUE!:noResult:No valid cells found for operation.</v>
      </c>
      <c r="CB39" s="15" t="str">
        <f>#REF!</f>
        <v>#VALUE!:noResult:No valid cells found for operation.</v>
      </c>
      <c r="CC39" s="15" t="str">
        <f>#REF!</f>
        <v>#VALUE!:noResult:No valid cells found for operation.</v>
      </c>
      <c r="CD39" s="15" t="str">
        <f>#REF!</f>
        <v>#VALUE!:noResult:No valid cells found for operation.</v>
      </c>
      <c r="CE39" s="15" t="str">
        <f>#REF!</f>
        <v>#VALUE!:noResult:No valid cells found for operation.</v>
      </c>
      <c r="CF39" s="15">
        <f>IF(Trans!R[516],"AAAAAC/7uVM=",0)</f>
        <v>0</v>
      </c>
      <c r="CG39" s="15" t="b">
        <f>AND(Trans!A555,"AAAAAC/7uVQ=")</f>
        <v>1</v>
      </c>
      <c r="CH39" s="15" t="str">
        <f>AND(Trans!B555,"AAAAAC/7uVU=")</f>
        <v>#VALUE!:noResult:No valid cells found for operation.</v>
      </c>
      <c r="CI39" s="15" t="b">
        <f>AND(Trans!C555,"AAAAAC/7uVY=")</f>
        <v>1</v>
      </c>
      <c r="CJ39" s="15" t="b">
        <f>AND(Trans!D555,"AAAAAC/7uVc=")</f>
        <v>1</v>
      </c>
      <c r="CK39" s="15" t="str">
        <f>AND(Trans!E555,"AAAAAC/7uVg=")</f>
        <v>#VALUE!:noResult:No valid cells found for operation.</v>
      </c>
      <c r="CL39" s="15" t="str">
        <f>AND(Trans!F555,"AAAAAC/7uVk=")</f>
        <v>#VALUE!:noResult:No valid cells found for operation.</v>
      </c>
      <c r="CM39" s="15" t="str">
        <f>AND(Trans!G555,"AAAAAC/7uVo=")</f>
        <v>#VALUE!:noResult:No valid cells found for operation.</v>
      </c>
      <c r="CN39" s="15" t="str">
        <f>#REF!</f>
        <v>#VALUE!:noResult:No valid cells found for operation.</v>
      </c>
      <c r="CO39" s="15" t="str">
        <f>AND(Trans!H555,"AAAAAC/7uVw=")</f>
        <v>#VALUE!:noResult:No valid cells found for operation.</v>
      </c>
      <c r="CP39" s="15" t="str">
        <f>#REF!</f>
        <v>#VALUE!:noResult:No valid cells found for operation.</v>
      </c>
      <c r="CQ39" s="15" t="str">
        <f>#REF!</f>
        <v>#VALUE!:noResult:No valid cells found for operation.</v>
      </c>
      <c r="CR39" s="15" t="str">
        <f>#REF!</f>
        <v>#VALUE!:noResult:No valid cells found for operation.</v>
      </c>
      <c r="CS39" s="15" t="str">
        <f>#REF!</f>
        <v>#VALUE!:noResult:No valid cells found for operation.</v>
      </c>
      <c r="CT39" s="15" t="str">
        <f>#REF!</f>
        <v>#VALUE!:noResult:No valid cells found for operation.</v>
      </c>
      <c r="CU39" s="15" t="str">
        <f>#REF!</f>
        <v>#VALUE!:noResult:No valid cells found for operation.</v>
      </c>
      <c r="CV39" s="15">
        <f>IF(Trans!R[517],"AAAAAC/7uWM=",0)</f>
        <v>0</v>
      </c>
      <c r="CW39" s="15" t="b">
        <f>AND(Trans!A556,"AAAAAC/7uWQ=")</f>
        <v>1</v>
      </c>
      <c r="CX39" s="15" t="str">
        <f>AND(Trans!B556,"AAAAAC/7uWU=")</f>
        <v>#VALUE!:noResult:No valid cells found for operation.</v>
      </c>
      <c r="CY39" s="15" t="b">
        <f>AND(Trans!C556,"AAAAAC/7uWY=")</f>
        <v>1</v>
      </c>
      <c r="CZ39" s="15" t="b">
        <f>AND(Trans!D556,"AAAAAC/7uWc=")</f>
        <v>1</v>
      </c>
      <c r="DA39" s="15" t="str">
        <f>AND(Trans!E556,"AAAAAC/7uWg=")</f>
        <v>#VALUE!:noResult:No valid cells found for operation.</v>
      </c>
      <c r="DB39" s="15" t="str">
        <f>AND(Trans!F556,"AAAAAC/7uWk=")</f>
        <v>#VALUE!:noResult:No valid cells found for operation.</v>
      </c>
      <c r="DC39" s="15" t="str">
        <f>AND(Trans!G556,"AAAAAC/7uWo=")</f>
        <v>#VALUE!:noResult:No valid cells found for operation.</v>
      </c>
      <c r="DD39" s="15" t="str">
        <f>#REF!</f>
        <v>#VALUE!:noResult:No valid cells found for operation.</v>
      </c>
      <c r="DE39" s="15" t="str">
        <f>AND(Trans!H556,"AAAAAC/7uWw=")</f>
        <v>#VALUE!:noResult:No valid cells found for operation.</v>
      </c>
      <c r="DF39" s="15" t="str">
        <f>#REF!</f>
        <v>#VALUE!:noResult:No valid cells found for operation.</v>
      </c>
      <c r="DG39" s="15" t="str">
        <f>#REF!</f>
        <v>#VALUE!:noResult:No valid cells found for operation.</v>
      </c>
      <c r="DH39" s="15" t="str">
        <f>#REF!</f>
        <v>#VALUE!:noResult:No valid cells found for operation.</v>
      </c>
      <c r="DI39" s="15" t="str">
        <f>#REF!</f>
        <v>#VALUE!:noResult:No valid cells found for operation.</v>
      </c>
      <c r="DJ39" s="15" t="str">
        <f>#REF!</f>
        <v>#VALUE!:noResult:No valid cells found for operation.</v>
      </c>
      <c r="DK39" s="15" t="str">
        <f>#REF!</f>
        <v>#VALUE!:noResult:No valid cells found for operation.</v>
      </c>
      <c r="DL39" s="15">
        <f>IF(Trans!R[518],"AAAAAC/7uXM=",0)</f>
        <v>0</v>
      </c>
      <c r="DM39" s="15" t="b">
        <f>AND(Trans!A557,"AAAAAC/7uXQ=")</f>
        <v>1</v>
      </c>
      <c r="DN39" s="15" t="str">
        <f>AND(Trans!B557,"AAAAAC/7uXU=")</f>
        <v>#VALUE!:noResult:No valid cells found for operation.</v>
      </c>
      <c r="DO39" s="15" t="b">
        <f>AND(Trans!C557,"AAAAAC/7uXY=")</f>
        <v>1</v>
      </c>
      <c r="DP39" s="15" t="b">
        <f>AND(Trans!D557,"AAAAAC/7uXc=")</f>
        <v>1</v>
      </c>
      <c r="DQ39" s="15" t="str">
        <f>AND(Trans!E557,"AAAAAC/7uXg=")</f>
        <v>#VALUE!:noResult:No valid cells found for operation.</v>
      </c>
      <c r="DR39" s="15" t="str">
        <f>AND(Trans!F557,"AAAAAC/7uXk=")</f>
        <v>#VALUE!:noResult:No valid cells found for operation.</v>
      </c>
      <c r="DS39" s="15" t="str">
        <f>AND(Trans!G557,"AAAAAC/7uXo=")</f>
        <v>#VALUE!:noResult:No valid cells found for operation.</v>
      </c>
      <c r="DT39" s="15" t="str">
        <f>#REF!</f>
        <v>#VALUE!:noResult:No valid cells found for operation.</v>
      </c>
      <c r="DU39" s="15" t="str">
        <f>AND(Trans!H557,"AAAAAC/7uXw=")</f>
        <v>#VALUE!:noResult:No valid cells found for operation.</v>
      </c>
      <c r="DV39" s="15" t="str">
        <f>#REF!</f>
        <v>#VALUE!:noResult:No valid cells found for operation.</v>
      </c>
      <c r="DW39" s="15" t="str">
        <f>#REF!</f>
        <v>#VALUE!:noResult:No valid cells found for operation.</v>
      </c>
      <c r="DX39" s="15" t="str">
        <f>#REF!</f>
        <v>#VALUE!:noResult:No valid cells found for operation.</v>
      </c>
      <c r="DY39" s="15" t="str">
        <f>#REF!</f>
        <v>#VALUE!:noResult:No valid cells found for operation.</v>
      </c>
      <c r="DZ39" s="15" t="str">
        <f>#REF!</f>
        <v>#VALUE!:noResult:No valid cells found for operation.</v>
      </c>
      <c r="EA39" s="15" t="str">
        <f>#REF!</f>
        <v>#VALUE!:noResult:No valid cells found for operation.</v>
      </c>
      <c r="EB39" s="15">
        <f>IF(Trans!R[519],"AAAAAC/7uYM=",0)</f>
        <v>0</v>
      </c>
      <c r="EC39" s="15" t="b">
        <f>AND(Trans!A558,"AAAAAC/7uYQ=")</f>
        <v>1</v>
      </c>
      <c r="ED39" s="15" t="str">
        <f>AND(Trans!B558,"AAAAAC/7uYU=")</f>
        <v>#VALUE!:noResult:No valid cells found for operation.</v>
      </c>
      <c r="EE39" s="15" t="b">
        <f>AND(Trans!C558,"AAAAAC/7uYY=")</f>
        <v>1</v>
      </c>
      <c r="EF39" s="15" t="b">
        <f>AND(Trans!D558,"AAAAAC/7uYc=")</f>
        <v>1</v>
      </c>
      <c r="EG39" s="15" t="str">
        <f>AND(Trans!E558,"AAAAAC/7uYg=")</f>
        <v>#VALUE!:noResult:No valid cells found for operation.</v>
      </c>
      <c r="EH39" s="15" t="str">
        <f>AND(Trans!F558,"AAAAAC/7uYk=")</f>
        <v>#VALUE!:noResult:No valid cells found for operation.</v>
      </c>
      <c r="EI39" s="15" t="str">
        <f>AND(Trans!G558,"AAAAAC/7uYo=")</f>
        <v>#VALUE!:noResult:No valid cells found for operation.</v>
      </c>
      <c r="EJ39" s="15" t="str">
        <f>#REF!</f>
        <v>#VALUE!:noResult:No valid cells found for operation.</v>
      </c>
      <c r="EK39" s="15" t="str">
        <f>AND(Trans!H558,"AAAAAC/7uYw=")</f>
        <v>#VALUE!:noResult:No valid cells found for operation.</v>
      </c>
      <c r="EL39" s="15" t="str">
        <f>#REF!</f>
        <v>#VALUE!:noResult:No valid cells found for operation.</v>
      </c>
      <c r="EM39" s="15" t="str">
        <f>#REF!</f>
        <v>#VALUE!:noResult:No valid cells found for operation.</v>
      </c>
      <c r="EN39" s="15" t="str">
        <f>#REF!</f>
        <v>#VALUE!:noResult:No valid cells found for operation.</v>
      </c>
      <c r="EO39" s="15" t="str">
        <f>#REF!</f>
        <v>#VALUE!:noResult:No valid cells found for operation.</v>
      </c>
      <c r="EP39" s="15" t="str">
        <f>#REF!</f>
        <v>#VALUE!:noResult:No valid cells found for operation.</v>
      </c>
      <c r="EQ39" s="15" t="str">
        <f>#REF!</f>
        <v>#VALUE!:noResult:No valid cells found for operation.</v>
      </c>
      <c r="ER39" s="15">
        <f>IF(Trans!R[520],"AAAAAC/7uZM=",0)</f>
        <v>0</v>
      </c>
      <c r="ES39" s="15" t="b">
        <f>AND(Trans!A559,"AAAAAC/7uZQ=")</f>
        <v>1</v>
      </c>
      <c r="ET39" s="15" t="str">
        <f>AND(Trans!B559,"AAAAAC/7uZU=")</f>
        <v>#VALUE!:noResult:No valid cells found for operation.</v>
      </c>
      <c r="EU39" s="15" t="b">
        <f>AND(Trans!C559,"AAAAAC/7uZY=")</f>
        <v>1</v>
      </c>
      <c r="EV39" s="15" t="b">
        <f>AND(Trans!D559,"AAAAAC/7uZc=")</f>
        <v>1</v>
      </c>
      <c r="EW39" s="15" t="str">
        <f>AND(Trans!E559,"AAAAAC/7uZg=")</f>
        <v>#VALUE!:noResult:No valid cells found for operation.</v>
      </c>
      <c r="EX39" s="15" t="str">
        <f>AND(Trans!F559,"AAAAAC/7uZk=")</f>
        <v>#VALUE!:noResult:No valid cells found for operation.</v>
      </c>
      <c r="EY39" s="15" t="str">
        <f>AND(Trans!G559,"AAAAAC/7uZo=")</f>
        <v>#VALUE!:noResult:No valid cells found for operation.</v>
      </c>
      <c r="EZ39" s="15" t="str">
        <f>#REF!</f>
        <v>#VALUE!:noResult:No valid cells found for operation.</v>
      </c>
      <c r="FA39" s="15" t="str">
        <f>AND(Trans!H559,"AAAAAC/7uZw=")</f>
        <v>#VALUE!:noResult:No valid cells found for operation.</v>
      </c>
      <c r="FB39" s="15" t="str">
        <f>#REF!</f>
        <v>#VALUE!:noResult:No valid cells found for operation.</v>
      </c>
      <c r="FC39" s="15" t="str">
        <f>#REF!</f>
        <v>#VALUE!:noResult:No valid cells found for operation.</v>
      </c>
      <c r="FD39" s="15" t="str">
        <f>#REF!</f>
        <v>#VALUE!:noResult:No valid cells found for operation.</v>
      </c>
      <c r="FE39" s="15" t="str">
        <f>#REF!</f>
        <v>#VALUE!:noResult:No valid cells found for operation.</v>
      </c>
      <c r="FF39" s="15" t="str">
        <f>#REF!</f>
        <v>#VALUE!:noResult:No valid cells found for operation.</v>
      </c>
      <c r="FG39" s="15" t="str">
        <f>#REF!</f>
        <v>#VALUE!:noResult:No valid cells found for operation.</v>
      </c>
      <c r="FH39" s="15">
        <f>IF(Trans!R[521],"AAAAAC/7uaM=",0)</f>
        <v>0</v>
      </c>
      <c r="FI39" s="15" t="b">
        <f>AND(Trans!A560,"AAAAAC/7uaQ=")</f>
        <v>1</v>
      </c>
      <c r="FJ39" s="15" t="str">
        <f>AND(Trans!B560,"AAAAAC/7uaU=")</f>
        <v>#VALUE!:noResult:No valid cells found for operation.</v>
      </c>
      <c r="FK39" s="15" t="b">
        <f>AND(Trans!C560,"AAAAAC/7uaY=")</f>
        <v>1</v>
      </c>
      <c r="FL39" s="15" t="b">
        <f>AND(Trans!D560,"AAAAAC/7uac=")</f>
        <v>1</v>
      </c>
      <c r="FM39" s="15" t="str">
        <f>AND(Trans!E560,"AAAAAC/7uag=")</f>
        <v>#VALUE!:noResult:No valid cells found for operation.</v>
      </c>
      <c r="FN39" s="15" t="str">
        <f>AND(Trans!F560,"AAAAAC/7uak=")</f>
        <v>#VALUE!:noResult:No valid cells found for operation.</v>
      </c>
      <c r="FO39" s="15" t="str">
        <f>AND(Trans!G560,"AAAAAC/7uao=")</f>
        <v>#VALUE!:noResult:No valid cells found for operation.</v>
      </c>
      <c r="FP39" s="15" t="str">
        <f>#REF!</f>
        <v>#VALUE!:noResult:No valid cells found for operation.</v>
      </c>
      <c r="FQ39" s="15" t="str">
        <f>AND(Trans!H560,"AAAAAC/7uaw=")</f>
        <v>#VALUE!:noResult:No valid cells found for operation.</v>
      </c>
      <c r="FR39" s="15" t="str">
        <f>#REF!</f>
        <v>#VALUE!:noResult:No valid cells found for operation.</v>
      </c>
      <c r="FS39" s="15" t="str">
        <f>#REF!</f>
        <v>#VALUE!:noResult:No valid cells found for operation.</v>
      </c>
      <c r="FT39" s="15" t="str">
        <f>#REF!</f>
        <v>#VALUE!:noResult:No valid cells found for operation.</v>
      </c>
      <c r="FU39" s="15" t="str">
        <f>#REF!</f>
        <v>#VALUE!:noResult:No valid cells found for operation.</v>
      </c>
      <c r="FV39" s="15" t="str">
        <f>#REF!</f>
        <v>#VALUE!:noResult:No valid cells found for operation.</v>
      </c>
      <c r="FW39" s="15" t="str">
        <f>#REF!</f>
        <v>#VALUE!:noResult:No valid cells found for operation.</v>
      </c>
      <c r="FX39" s="15">
        <f>IF(Trans!R[522],"AAAAAC/7ubM=",0)</f>
        <v>0</v>
      </c>
      <c r="FY39" s="15" t="b">
        <f>AND(Trans!A561,"AAAAAC/7ubQ=")</f>
        <v>1</v>
      </c>
      <c r="FZ39" s="15" t="str">
        <f>AND(Trans!B561,"AAAAAC/7ubU=")</f>
        <v>#VALUE!:noResult:No valid cells found for operation.</v>
      </c>
      <c r="GA39" s="15" t="b">
        <f>AND(Trans!C561,"AAAAAC/7ubY=")</f>
        <v>1</v>
      </c>
      <c r="GB39" s="15" t="b">
        <f>AND(Trans!D561,"AAAAAC/7ubc=")</f>
        <v>1</v>
      </c>
      <c r="GC39" s="15" t="str">
        <f>AND(Trans!E561,"AAAAAC/7ubg=")</f>
        <v>#VALUE!:noResult:No valid cells found for operation.</v>
      </c>
      <c r="GD39" s="15" t="str">
        <f>AND(Trans!F561,"AAAAAC/7ubk=")</f>
        <v>#VALUE!:noResult:No valid cells found for operation.</v>
      </c>
      <c r="GE39" s="15" t="str">
        <f>AND(Trans!G561,"AAAAAC/7ubo=")</f>
        <v>#VALUE!:noResult:No valid cells found for operation.</v>
      </c>
      <c r="GF39" s="15" t="str">
        <f>#REF!</f>
        <v>#VALUE!:noResult:No valid cells found for operation.</v>
      </c>
      <c r="GG39" s="15" t="str">
        <f>AND(Trans!H561,"AAAAAC/7ubw=")</f>
        <v>#VALUE!:noResult:No valid cells found for operation.</v>
      </c>
      <c r="GH39" s="15" t="str">
        <f>#REF!</f>
        <v>#VALUE!:noResult:No valid cells found for operation.</v>
      </c>
      <c r="GI39" s="15" t="str">
        <f>#REF!</f>
        <v>#VALUE!:noResult:No valid cells found for operation.</v>
      </c>
      <c r="GJ39" s="15" t="str">
        <f>#REF!</f>
        <v>#VALUE!:noResult:No valid cells found for operation.</v>
      </c>
      <c r="GK39" s="15" t="str">
        <f>#REF!</f>
        <v>#VALUE!:noResult:No valid cells found for operation.</v>
      </c>
      <c r="GL39" s="15" t="str">
        <f>#REF!</f>
        <v>#VALUE!:noResult:No valid cells found for operation.</v>
      </c>
      <c r="GM39" s="15" t="str">
        <f>#REF!</f>
        <v>#VALUE!:noResult:No valid cells found for operation.</v>
      </c>
      <c r="GN39" s="15">
        <f>IF(Trans!R[523],"AAAAAC/7ucM=",0)</f>
        <v>0</v>
      </c>
      <c r="GO39" s="15" t="b">
        <f>AND(Trans!A562,"AAAAAC/7ucQ=")</f>
        <v>1</v>
      </c>
      <c r="GP39" s="15" t="str">
        <f>AND(Trans!B562,"AAAAAC/7ucU=")</f>
        <v>#VALUE!:noResult:No valid cells found for operation.</v>
      </c>
      <c r="GQ39" s="15" t="b">
        <f>AND(Trans!C562,"AAAAAC/7ucY=")</f>
        <v>1</v>
      </c>
      <c r="GR39" s="15" t="b">
        <f>AND(Trans!D562,"AAAAAC/7ucc=")</f>
        <v>1</v>
      </c>
      <c r="GS39" s="15" t="str">
        <f>AND(Trans!E562,"AAAAAC/7ucg=")</f>
        <v>#VALUE!:noResult:No valid cells found for operation.</v>
      </c>
      <c r="GT39" s="15" t="str">
        <f>AND(Trans!F562,"AAAAAC/7uck=")</f>
        <v>#VALUE!:noResult:No valid cells found for operation.</v>
      </c>
      <c r="GU39" s="15" t="str">
        <f>AND(Trans!G562,"AAAAAC/7uco=")</f>
        <v>#VALUE!:noResult:No valid cells found for operation.</v>
      </c>
      <c r="GV39" s="15" t="str">
        <f>#REF!</f>
        <v>#VALUE!:noResult:No valid cells found for operation.</v>
      </c>
      <c r="GW39" s="15" t="str">
        <f>AND(Trans!H562,"AAAAAC/7ucw=")</f>
        <v>#VALUE!:noResult:No valid cells found for operation.</v>
      </c>
      <c r="GX39" s="15" t="str">
        <f>#REF!</f>
        <v>#VALUE!:noResult:No valid cells found for operation.</v>
      </c>
      <c r="GY39" s="15" t="str">
        <f>#REF!</f>
        <v>#VALUE!:noResult:No valid cells found for operation.</v>
      </c>
      <c r="GZ39" s="15" t="str">
        <f>#REF!</f>
        <v>#VALUE!:noResult:No valid cells found for operation.</v>
      </c>
      <c r="HA39" s="15" t="str">
        <f>#REF!</f>
        <v>#VALUE!:noResult:No valid cells found for operation.</v>
      </c>
      <c r="HB39" s="15" t="str">
        <f>#REF!</f>
        <v>#VALUE!:noResult:No valid cells found for operation.</v>
      </c>
      <c r="HC39" s="15" t="str">
        <f>#REF!</f>
        <v>#VALUE!:noResult:No valid cells found for operation.</v>
      </c>
      <c r="HD39" s="15">
        <f>IF(Trans!R[524],"AAAAAC/7udM=",0)</f>
        <v>0</v>
      </c>
      <c r="HE39" s="15" t="b">
        <f>AND(Trans!A563,"AAAAAC/7udQ=")</f>
        <v>1</v>
      </c>
      <c r="HF39" s="15" t="str">
        <f>AND(Trans!B563,"AAAAAC/7udU=")</f>
        <v>#VALUE!:noResult:No valid cells found for operation.</v>
      </c>
      <c r="HG39" s="15" t="b">
        <f>AND(Trans!C563,"AAAAAC/7udY=")</f>
        <v>1</v>
      </c>
      <c r="HH39" s="15" t="b">
        <f>AND(Trans!D563,"AAAAAC/7udc=")</f>
        <v>1</v>
      </c>
      <c r="HI39" s="15" t="str">
        <f>AND(Trans!E563,"AAAAAC/7udg=")</f>
        <v>#VALUE!:noResult:No valid cells found for operation.</v>
      </c>
      <c r="HJ39" s="15" t="str">
        <f>AND(Trans!F563,"AAAAAC/7udk=")</f>
        <v>#VALUE!:noResult:No valid cells found for operation.</v>
      </c>
      <c r="HK39" s="15" t="str">
        <f>AND(Trans!G563,"AAAAAC/7udo=")</f>
        <v>#VALUE!:noResult:No valid cells found for operation.</v>
      </c>
      <c r="HL39" s="15" t="str">
        <f>#REF!</f>
        <v>#VALUE!:noResult:No valid cells found for operation.</v>
      </c>
      <c r="HM39" s="15" t="str">
        <f>AND(Trans!H563,"AAAAAC/7udw=")</f>
        <v>#VALUE!:noResult:No valid cells found for operation.</v>
      </c>
      <c r="HN39" s="15" t="str">
        <f>#REF!</f>
        <v>#VALUE!:noResult:No valid cells found for operation.</v>
      </c>
      <c r="HO39" s="15" t="str">
        <f>#REF!</f>
        <v>#VALUE!:noResult:No valid cells found for operation.</v>
      </c>
      <c r="HP39" s="15" t="str">
        <f>#REF!</f>
        <v>#VALUE!:noResult:No valid cells found for operation.</v>
      </c>
      <c r="HQ39" s="15" t="str">
        <f>#REF!</f>
        <v>#VALUE!:noResult:No valid cells found for operation.</v>
      </c>
      <c r="HR39" s="15" t="str">
        <f>#REF!</f>
        <v>#VALUE!:noResult:No valid cells found for operation.</v>
      </c>
      <c r="HS39" s="15" t="str">
        <f>#REF!</f>
        <v>#VALUE!:noResult:No valid cells found for operation.</v>
      </c>
      <c r="HT39" s="15">
        <f>IF(Trans!R[525],"AAAAAC/7ueM=",0)</f>
        <v>0</v>
      </c>
      <c r="HU39" s="15" t="b">
        <f>AND(Trans!A564,"AAAAAC/7ueQ=")</f>
        <v>1</v>
      </c>
      <c r="HV39" s="15" t="str">
        <f>AND(Trans!B564,"AAAAAC/7ueU=")</f>
        <v>#VALUE!:noResult:No valid cells found for operation.</v>
      </c>
      <c r="HW39" s="15" t="b">
        <f>AND(Trans!C564,"AAAAAC/7ueY=")</f>
        <v>1</v>
      </c>
      <c r="HX39" s="15" t="b">
        <f>AND(Trans!D564,"AAAAAC/7uec=")</f>
        <v>1</v>
      </c>
      <c r="HY39" s="15" t="str">
        <f>AND(Trans!E564,"AAAAAC/7ueg=")</f>
        <v>#VALUE!:noResult:No valid cells found for operation.</v>
      </c>
      <c r="HZ39" s="15" t="str">
        <f>AND(Trans!F564,"AAAAAC/7uek=")</f>
        <v>#VALUE!:noResult:No valid cells found for operation.</v>
      </c>
      <c r="IA39" s="15" t="str">
        <f>AND(Trans!G564,"AAAAAC/7ueo=")</f>
        <v>#VALUE!:noResult:No valid cells found for operation.</v>
      </c>
      <c r="IB39" s="15" t="str">
        <f>#REF!</f>
        <v>#VALUE!:noResult:No valid cells found for operation.</v>
      </c>
      <c r="IC39" s="15" t="str">
        <f>AND(Trans!H564,"AAAAAC/7uew=")</f>
        <v>#VALUE!:noResult:No valid cells found for operation.</v>
      </c>
      <c r="ID39" s="15" t="str">
        <f>#REF!</f>
        <v>#VALUE!:noResult:No valid cells found for operation.</v>
      </c>
      <c r="IE39" s="15" t="str">
        <f>#REF!</f>
        <v>#VALUE!:noResult:No valid cells found for operation.</v>
      </c>
      <c r="IF39" s="15" t="str">
        <f>#REF!</f>
        <v>#VALUE!:noResult:No valid cells found for operation.</v>
      </c>
      <c r="IG39" s="15" t="str">
        <f>#REF!</f>
        <v>#VALUE!:noResult:No valid cells found for operation.</v>
      </c>
      <c r="IH39" s="15" t="str">
        <f>#REF!</f>
        <v>#VALUE!:noResult:No valid cells found for operation.</v>
      </c>
      <c r="II39" s="15" t="str">
        <f>#REF!</f>
        <v>#VALUE!:noResult:No valid cells found for operation.</v>
      </c>
      <c r="IJ39" s="15">
        <f>IF(Trans!R[526],"AAAAAC/7ufM=",0)</f>
        <v>0</v>
      </c>
      <c r="IK39" s="15" t="b">
        <f>AND(Trans!A565,"AAAAAC/7ufQ=")</f>
        <v>1</v>
      </c>
      <c r="IL39" s="15" t="str">
        <f>AND(Trans!B565,"AAAAAC/7ufU=")</f>
        <v>#VALUE!:noResult:No valid cells found for operation.</v>
      </c>
      <c r="IM39" s="15" t="b">
        <f>AND(Trans!C565,"AAAAAC/7ufY=")</f>
        <v>1</v>
      </c>
      <c r="IN39" s="15" t="b">
        <f>AND(Trans!D565,"AAAAAC/7ufc=")</f>
        <v>1</v>
      </c>
      <c r="IO39" s="15" t="str">
        <f>AND(Trans!E565,"AAAAAC/7ufg=")</f>
        <v>#VALUE!:noResult:No valid cells found for operation.</v>
      </c>
      <c r="IP39" s="15" t="str">
        <f>AND(Trans!F565,"AAAAAC/7ufk=")</f>
        <v>#VALUE!:noResult:No valid cells found for operation.</v>
      </c>
      <c r="IQ39" s="15" t="str">
        <f>AND(Trans!G565,"AAAAAC/7ufo=")</f>
        <v>#VALUE!:noResult:No valid cells found for operation.</v>
      </c>
      <c r="IR39" s="15" t="str">
        <f>#REF!</f>
        <v>#VALUE!:noResult:No valid cells found for operation.</v>
      </c>
      <c r="IS39" s="15" t="str">
        <f>AND(Trans!H565,"AAAAAC/7ufw=")</f>
        <v>#VALUE!:noResult:No valid cells found for operation.</v>
      </c>
      <c r="IT39" s="15" t="str">
        <f>#REF!</f>
        <v>#VALUE!:noResult:No valid cells found for operation.</v>
      </c>
      <c r="IU39" s="15" t="str">
        <f>#REF!</f>
        <v>#VALUE!:noResult:No valid cells found for operation.</v>
      </c>
      <c r="IV39" s="15" t="str">
        <f>#REF!</f>
        <v>#VALUE!:noResult:No valid cells found for operation.</v>
      </c>
    </row>
    <row r="40">
      <c r="A40" s="15" t="str">
        <f>#REF!</f>
        <v>#VALUE!:noResult:No valid cells found for operation.</v>
      </c>
      <c r="B40" s="15" t="str">
        <f>#REF!</f>
        <v>#VALUE!:noResult:No valid cells found for operation.</v>
      </c>
      <c r="C40" s="15" t="str">
        <f>#REF!</f>
        <v>#VALUE!:noResult:No valid cells found for operation.</v>
      </c>
      <c r="D40" s="15" t="str">
        <f>IF(Trans!R[526],"AAAAAE//vwM=",0)</f>
        <v>AAAAAE//vwM=</v>
      </c>
      <c r="E40" s="15" t="b">
        <f>AND(Trans!A566,"AAAAAE//vwQ=")</f>
        <v>1</v>
      </c>
      <c r="F40" s="15" t="str">
        <f>AND(Trans!B566,"AAAAAE//vwU=")</f>
        <v>#VALUE!:noResult:No valid cells found for operation.</v>
      </c>
      <c r="G40" s="15" t="b">
        <f>AND(Trans!C566,"AAAAAE//vwY=")</f>
        <v>1</v>
      </c>
      <c r="H40" s="15" t="b">
        <f>AND(Trans!D566,"AAAAAE//vwc=")</f>
        <v>1</v>
      </c>
      <c r="I40" s="15" t="str">
        <f>AND(Trans!E566,"AAAAAE//vwg=")</f>
        <v>#VALUE!:noResult:No valid cells found for operation.</v>
      </c>
      <c r="J40" s="15" t="str">
        <f>AND(Trans!F566,"AAAAAE//vwk=")</f>
        <v>#VALUE!:noResult:No valid cells found for operation.</v>
      </c>
      <c r="K40" s="15" t="str">
        <f>AND(Trans!G566,"AAAAAE//vwo=")</f>
        <v>#VALUE!:noResult:No valid cells found for operation.</v>
      </c>
      <c r="L40" s="15" t="str">
        <f>#REF!</f>
        <v>#VALUE!:noResult:No valid cells found for operation.</v>
      </c>
      <c r="M40" s="15" t="str">
        <f>AND(Trans!H566,"AAAAAE//vww=")</f>
        <v>#VALUE!:noResult:No valid cells found for operation.</v>
      </c>
      <c r="N40" s="15" t="str">
        <f>#REF!</f>
        <v>#VALUE!:noResult:No valid cells found for operation.</v>
      </c>
      <c r="O40" s="15" t="str">
        <f>#REF!</f>
        <v>#VALUE!:noResult:No valid cells found for operation.</v>
      </c>
      <c r="P40" s="15" t="str">
        <f>#REF!</f>
        <v>#VALUE!:noResult:No valid cells found for operation.</v>
      </c>
      <c r="Q40" s="15" t="str">
        <f>#REF!</f>
        <v>#VALUE!:noResult:No valid cells found for operation.</v>
      </c>
      <c r="R40" s="15" t="str">
        <f>#REF!</f>
        <v>#VALUE!:noResult:No valid cells found for operation.</v>
      </c>
      <c r="S40" s="15" t="str">
        <f>#REF!</f>
        <v>#VALUE!:noResult:No valid cells found for operation.</v>
      </c>
      <c r="T40" s="15">
        <f>IF(Trans!R[527],"AAAAAE//vxM=",0)</f>
        <v>0</v>
      </c>
      <c r="U40" s="15" t="b">
        <f>AND(Trans!A567,"AAAAAE//vxQ=")</f>
        <v>1</v>
      </c>
      <c r="V40" s="15" t="str">
        <f>AND(Trans!B567,"AAAAAE//vxU=")</f>
        <v>#VALUE!:noResult:No valid cells found for operation.</v>
      </c>
      <c r="W40" s="15" t="b">
        <f>AND(Trans!C567,"AAAAAE//vxY=")</f>
        <v>1</v>
      </c>
      <c r="X40" s="15" t="b">
        <f>AND(Trans!D567,"AAAAAE//vxc=")</f>
        <v>1</v>
      </c>
      <c r="Y40" s="15" t="str">
        <f>AND(Trans!E567,"AAAAAE//vxg=")</f>
        <v>#VALUE!:noResult:No valid cells found for operation.</v>
      </c>
      <c r="Z40" s="15" t="str">
        <f>AND(Trans!F567,"AAAAAE//vxk=")</f>
        <v>#VALUE!:noResult:No valid cells found for operation.</v>
      </c>
      <c r="AA40" s="15" t="str">
        <f>AND(Trans!G567,"AAAAAE//vxo=")</f>
        <v>#VALUE!:noResult:No valid cells found for operation.</v>
      </c>
      <c r="AB40" s="15" t="str">
        <f>#REF!</f>
        <v>#VALUE!:noResult:No valid cells found for operation.</v>
      </c>
      <c r="AC40" s="15" t="str">
        <f>AND(Trans!H567,"AAAAAE//vxw=")</f>
        <v>#VALUE!:noResult:No valid cells found for operation.</v>
      </c>
      <c r="AD40" s="15" t="str">
        <f>#REF!</f>
        <v>#VALUE!:noResult:No valid cells found for operation.</v>
      </c>
      <c r="AE40" s="15" t="str">
        <f>#REF!</f>
        <v>#VALUE!:noResult:No valid cells found for operation.</v>
      </c>
      <c r="AF40" s="15" t="str">
        <f>#REF!</f>
        <v>#VALUE!:noResult:No valid cells found for operation.</v>
      </c>
      <c r="AG40" s="15" t="str">
        <f>#REF!</f>
        <v>#VALUE!:noResult:No valid cells found for operation.</v>
      </c>
      <c r="AH40" s="15" t="str">
        <f>#REF!</f>
        <v>#VALUE!:noResult:No valid cells found for operation.</v>
      </c>
      <c r="AI40" s="15" t="str">
        <f>#REF!</f>
        <v>#VALUE!:noResult:No valid cells found for operation.</v>
      </c>
      <c r="AJ40" s="15">
        <f>IF(Trans!R[528],"AAAAAE//vyM=",0)</f>
        <v>0</v>
      </c>
      <c r="AK40" s="15" t="b">
        <f>AND(Trans!A568,"AAAAAE//vyQ=")</f>
        <v>1</v>
      </c>
      <c r="AL40" s="15" t="str">
        <f>AND(Trans!B568,"AAAAAE//vyU=")</f>
        <v>#VALUE!:noResult:No valid cells found for operation.</v>
      </c>
      <c r="AM40" s="15" t="b">
        <f>AND(Trans!C568,"AAAAAE//vyY=")</f>
        <v>1</v>
      </c>
      <c r="AN40" s="15" t="b">
        <f>AND(Trans!D568,"AAAAAE//vyc=")</f>
        <v>1</v>
      </c>
      <c r="AO40" s="15" t="str">
        <f>AND(Trans!E568,"AAAAAE//vyg=")</f>
        <v>#VALUE!:noResult:No valid cells found for operation.</v>
      </c>
      <c r="AP40" s="15" t="str">
        <f>AND(Trans!F568,"AAAAAE//vyk=")</f>
        <v>#VALUE!:noResult:No valid cells found for operation.</v>
      </c>
      <c r="AQ40" s="15" t="str">
        <f>AND(Trans!G568,"AAAAAE//vyo=")</f>
        <v>#VALUE!:noResult:No valid cells found for operation.</v>
      </c>
      <c r="AR40" s="15" t="str">
        <f>#REF!</f>
        <v>#VALUE!:noResult:No valid cells found for operation.</v>
      </c>
      <c r="AS40" s="15" t="str">
        <f>AND(Trans!H568,"AAAAAE//vyw=")</f>
        <v>#VALUE!:noResult:No valid cells found for operation.</v>
      </c>
      <c r="AT40" s="15" t="str">
        <f>#REF!</f>
        <v>#VALUE!:noResult:No valid cells found for operation.</v>
      </c>
      <c r="AU40" s="15" t="str">
        <f>#REF!</f>
        <v>#VALUE!:noResult:No valid cells found for operation.</v>
      </c>
      <c r="AV40" s="15" t="str">
        <f>#REF!</f>
        <v>#VALUE!:noResult:No valid cells found for operation.</v>
      </c>
      <c r="AW40" s="15" t="str">
        <f>#REF!</f>
        <v>#VALUE!:noResult:No valid cells found for operation.</v>
      </c>
      <c r="AX40" s="15" t="str">
        <f>#REF!</f>
        <v>#VALUE!:noResult:No valid cells found for operation.</v>
      </c>
      <c r="AY40" s="15" t="str">
        <f>#REF!</f>
        <v>#VALUE!:noResult:No valid cells found for operation.</v>
      </c>
      <c r="AZ40" s="15">
        <f>IF(Trans!R[529],"AAAAAE//vzM=",0)</f>
        <v>0</v>
      </c>
      <c r="BA40" s="15" t="b">
        <f>AND(Trans!A569,"AAAAAE//vzQ=")</f>
        <v>1</v>
      </c>
      <c r="BB40" s="15" t="str">
        <f>AND(Trans!B569,"AAAAAE//vzU=")</f>
        <v>#VALUE!:noResult:No valid cells found for operation.</v>
      </c>
      <c r="BC40" s="15" t="b">
        <f>AND(Trans!C569,"AAAAAE//vzY=")</f>
        <v>1</v>
      </c>
      <c r="BD40" s="15" t="b">
        <f>AND(Trans!D569,"AAAAAE//vzc=")</f>
        <v>1</v>
      </c>
      <c r="BE40" s="15" t="str">
        <f>AND(Trans!E569,"AAAAAE//vzg=")</f>
        <v>#VALUE!:noResult:No valid cells found for operation.</v>
      </c>
      <c r="BF40" s="15" t="str">
        <f>AND(Trans!F569,"AAAAAE//vzk=")</f>
        <v>#VALUE!:noResult:No valid cells found for operation.</v>
      </c>
      <c r="BG40" s="15" t="str">
        <f>AND(Trans!G569,"AAAAAE//vzo=")</f>
        <v>#VALUE!:noResult:No valid cells found for operation.</v>
      </c>
      <c r="BH40" s="15" t="str">
        <f>#REF!</f>
        <v>#VALUE!:noResult:No valid cells found for operation.</v>
      </c>
      <c r="BI40" s="15" t="str">
        <f>AND(Trans!H569,"AAAAAE//vzw=")</f>
        <v>#VALUE!:noResult:No valid cells found for operation.</v>
      </c>
      <c r="BJ40" s="15" t="str">
        <f>#REF!</f>
        <v>#VALUE!:noResult:No valid cells found for operation.</v>
      </c>
      <c r="BK40" s="15" t="str">
        <f>#REF!</f>
        <v>#VALUE!:noResult:No valid cells found for operation.</v>
      </c>
      <c r="BL40" s="15" t="str">
        <f>#REF!</f>
        <v>#VALUE!:noResult:No valid cells found for operation.</v>
      </c>
      <c r="BM40" s="15" t="str">
        <f>#REF!</f>
        <v>#VALUE!:noResult:No valid cells found for operation.</v>
      </c>
      <c r="BN40" s="15" t="str">
        <f>#REF!</f>
        <v>#VALUE!:noResult:No valid cells found for operation.</v>
      </c>
      <c r="BO40" s="15" t="str">
        <f>#REF!</f>
        <v>#VALUE!:noResult:No valid cells found for operation.</v>
      </c>
      <c r="BP40" s="15">
        <f>IF(Trans!R[530],"AAAAAE//v0M=",0)</f>
        <v>0</v>
      </c>
      <c r="BQ40" s="15" t="b">
        <f>AND(Trans!A570,"AAAAAE//v0Q=")</f>
        <v>1</v>
      </c>
      <c r="BR40" s="15" t="str">
        <f>AND(Trans!B570,"AAAAAE//v0U=")</f>
        <v>#VALUE!:noResult:No valid cells found for operation.</v>
      </c>
      <c r="BS40" s="15" t="b">
        <f>AND(Trans!C570,"AAAAAE//v0Y=")</f>
        <v>1</v>
      </c>
      <c r="BT40" s="15" t="b">
        <f>AND(Trans!D570,"AAAAAE//v0c=")</f>
        <v>1</v>
      </c>
      <c r="BU40" s="15" t="str">
        <f>AND(Trans!E570,"AAAAAE//v0g=")</f>
        <v>#VALUE!:noResult:No valid cells found for operation.</v>
      </c>
      <c r="BV40" s="15" t="str">
        <f>AND(Trans!F570,"AAAAAE//v0k=")</f>
        <v>#VALUE!:noResult:No valid cells found for operation.</v>
      </c>
      <c r="BW40" s="15" t="str">
        <f>AND(Trans!G570,"AAAAAE//v0o=")</f>
        <v>#VALUE!:noResult:No valid cells found for operation.</v>
      </c>
      <c r="BX40" s="15" t="str">
        <f>#REF!</f>
        <v>#VALUE!:noResult:No valid cells found for operation.</v>
      </c>
      <c r="BY40" s="15" t="str">
        <f>AND(Trans!H570,"AAAAAE//v0w=")</f>
        <v>#VALUE!:noResult:No valid cells found for operation.</v>
      </c>
      <c r="BZ40" s="15" t="str">
        <f>#REF!</f>
        <v>#VALUE!:noResult:No valid cells found for operation.</v>
      </c>
      <c r="CA40" s="15" t="str">
        <f>#REF!</f>
        <v>#VALUE!:noResult:No valid cells found for operation.</v>
      </c>
      <c r="CB40" s="15" t="str">
        <f>#REF!</f>
        <v>#VALUE!:noResult:No valid cells found for operation.</v>
      </c>
      <c r="CC40" s="15" t="str">
        <f>#REF!</f>
        <v>#VALUE!:noResult:No valid cells found for operation.</v>
      </c>
      <c r="CD40" s="15" t="str">
        <f>#REF!</f>
        <v>#VALUE!:noResult:No valid cells found for operation.</v>
      </c>
      <c r="CE40" s="15" t="str">
        <f>#REF!</f>
        <v>#VALUE!:noResult:No valid cells found for operation.</v>
      </c>
      <c r="CF40" s="15">
        <f>IF(Trans!R[531],"AAAAAE//v1M=",0)</f>
        <v>0</v>
      </c>
      <c r="CG40" s="15" t="b">
        <f>AND(Trans!A571,"AAAAAE//v1Q=")</f>
        <v>1</v>
      </c>
      <c r="CH40" s="15" t="str">
        <f>AND(Trans!B571,"AAAAAE//v1U=")</f>
        <v>#VALUE!:noResult:No valid cells found for operation.</v>
      </c>
      <c r="CI40" s="15" t="b">
        <f>AND(Trans!C571,"AAAAAE//v1Y=")</f>
        <v>1</v>
      </c>
      <c r="CJ40" s="15" t="b">
        <f>AND(Trans!D571,"AAAAAE//v1c=")</f>
        <v>1</v>
      </c>
      <c r="CK40" s="15" t="str">
        <f>AND(Trans!E571,"AAAAAE//v1g=")</f>
        <v>#VALUE!:noResult:No valid cells found for operation.</v>
      </c>
      <c r="CL40" s="15" t="str">
        <f>AND(Trans!F571,"AAAAAE//v1k=")</f>
        <v>#VALUE!:noResult:No valid cells found for operation.</v>
      </c>
      <c r="CM40" s="15" t="str">
        <f>AND(Trans!G571,"AAAAAE//v1o=")</f>
        <v>#VALUE!:noResult:No valid cells found for operation.</v>
      </c>
      <c r="CN40" s="15" t="str">
        <f>#REF!</f>
        <v>#VALUE!:noResult:No valid cells found for operation.</v>
      </c>
      <c r="CO40" s="15" t="str">
        <f>AND(Trans!H571,"AAAAAE//v1w=")</f>
        <v>#VALUE!:noResult:No valid cells found for operation.</v>
      </c>
      <c r="CP40" s="15" t="str">
        <f>#REF!</f>
        <v>#VALUE!:noResult:No valid cells found for operation.</v>
      </c>
      <c r="CQ40" s="15" t="str">
        <f>#REF!</f>
        <v>#VALUE!:noResult:No valid cells found for operation.</v>
      </c>
      <c r="CR40" s="15" t="str">
        <f>#REF!</f>
        <v>#VALUE!:noResult:No valid cells found for operation.</v>
      </c>
      <c r="CS40" s="15" t="str">
        <f>#REF!</f>
        <v>#VALUE!:noResult:No valid cells found for operation.</v>
      </c>
      <c r="CT40" s="15" t="str">
        <f>#REF!</f>
        <v>#VALUE!:noResult:No valid cells found for operation.</v>
      </c>
      <c r="CU40" s="15" t="str">
        <f>#REF!</f>
        <v>#VALUE!:noResult:No valid cells found for operation.</v>
      </c>
      <c r="CV40" s="15">
        <f>IF(Trans!R[532],"AAAAAE//v2M=",0)</f>
        <v>0</v>
      </c>
      <c r="CW40" s="15" t="b">
        <f>AND(Trans!A572,"AAAAAE//v2Q=")</f>
        <v>1</v>
      </c>
      <c r="CX40" s="15" t="str">
        <f>AND(Trans!B572,"AAAAAE//v2U=")</f>
        <v>#VALUE!:noResult:No valid cells found for operation.</v>
      </c>
      <c r="CY40" s="15" t="b">
        <f>AND(Trans!C572,"AAAAAE//v2Y=")</f>
        <v>1</v>
      </c>
      <c r="CZ40" s="15" t="b">
        <f>AND(Trans!D572,"AAAAAE//v2c=")</f>
        <v>1</v>
      </c>
      <c r="DA40" s="15" t="str">
        <f>AND(Trans!E572,"AAAAAE//v2g=")</f>
        <v>#VALUE!:noResult:No valid cells found for operation.</v>
      </c>
      <c r="DB40" s="15" t="str">
        <f>AND(Trans!F572,"AAAAAE//v2k=")</f>
        <v>#VALUE!:noResult:No valid cells found for operation.</v>
      </c>
      <c r="DC40" s="15" t="str">
        <f>AND(Trans!G572,"AAAAAE//v2o=")</f>
        <v>#VALUE!:noResult:No valid cells found for operation.</v>
      </c>
      <c r="DD40" s="15" t="str">
        <f>#REF!</f>
        <v>#VALUE!:noResult:No valid cells found for operation.</v>
      </c>
      <c r="DE40" s="15" t="str">
        <f>AND(Trans!H572,"AAAAAE//v2w=")</f>
        <v>#VALUE!:noResult:No valid cells found for operation.</v>
      </c>
      <c r="DF40" s="15" t="str">
        <f>#REF!</f>
        <v>#VALUE!:noResult:No valid cells found for operation.</v>
      </c>
      <c r="DG40" s="15" t="str">
        <f>#REF!</f>
        <v>#VALUE!:noResult:No valid cells found for operation.</v>
      </c>
      <c r="DH40" s="15" t="str">
        <f>#REF!</f>
        <v>#VALUE!:noResult:No valid cells found for operation.</v>
      </c>
      <c r="DI40" s="15" t="str">
        <f>#REF!</f>
        <v>#VALUE!:noResult:No valid cells found for operation.</v>
      </c>
      <c r="DJ40" s="15" t="str">
        <f>#REF!</f>
        <v>#VALUE!:noResult:No valid cells found for operation.</v>
      </c>
      <c r="DK40" s="15" t="str">
        <f>#REF!</f>
        <v>#VALUE!:noResult:No valid cells found for operation.</v>
      </c>
      <c r="DL40" s="15">
        <f>IF(Trans!R[533],"AAAAAE//v3M=",0)</f>
        <v>0</v>
      </c>
      <c r="DM40" s="15" t="b">
        <f>AND(Trans!A573,"AAAAAE//v3Q=")</f>
        <v>1</v>
      </c>
      <c r="DN40" s="15" t="str">
        <f>AND(Trans!B573,"AAAAAE//v3U=")</f>
        <v>#VALUE!:noResult:No valid cells found for operation.</v>
      </c>
      <c r="DO40" s="15" t="b">
        <f>AND(Trans!C573,"AAAAAE//v3Y=")</f>
        <v>1</v>
      </c>
      <c r="DP40" s="15" t="b">
        <f>AND(Trans!D573,"AAAAAE//v3c=")</f>
        <v>1</v>
      </c>
      <c r="DQ40" s="15" t="str">
        <f>AND(Trans!E573,"AAAAAE//v3g=")</f>
        <v>#VALUE!:noResult:No valid cells found for operation.</v>
      </c>
      <c r="DR40" s="15" t="str">
        <f>AND(Trans!F573,"AAAAAE//v3k=")</f>
        <v>#VALUE!:noResult:No valid cells found for operation.</v>
      </c>
      <c r="DS40" s="15" t="str">
        <f>AND(Trans!G573,"AAAAAE//v3o=")</f>
        <v>#VALUE!:noResult:No valid cells found for operation.</v>
      </c>
      <c r="DT40" s="15" t="str">
        <f>#REF!</f>
        <v>#VALUE!:noResult:No valid cells found for operation.</v>
      </c>
      <c r="DU40" s="15" t="str">
        <f>AND(Trans!H573,"AAAAAE//v3w=")</f>
        <v>#VALUE!:noResult:No valid cells found for operation.</v>
      </c>
      <c r="DV40" s="15" t="str">
        <f>#REF!</f>
        <v>#VALUE!:noResult:No valid cells found for operation.</v>
      </c>
      <c r="DW40" s="15" t="str">
        <f>#REF!</f>
        <v>#VALUE!:noResult:No valid cells found for operation.</v>
      </c>
      <c r="DX40" s="15" t="str">
        <f>#REF!</f>
        <v>#VALUE!:noResult:No valid cells found for operation.</v>
      </c>
      <c r="DY40" s="15" t="str">
        <f>#REF!</f>
        <v>#VALUE!:noResult:No valid cells found for operation.</v>
      </c>
      <c r="DZ40" s="15" t="str">
        <f>#REF!</f>
        <v>#VALUE!:noResult:No valid cells found for operation.</v>
      </c>
      <c r="EA40" s="15" t="str">
        <f>#REF!</f>
        <v>#VALUE!:noResult:No valid cells found for operation.</v>
      </c>
      <c r="EB40" s="15">
        <f>IF(Trans!R[534],"AAAAAE//v4M=",0)</f>
        <v>0</v>
      </c>
      <c r="EC40" s="15" t="b">
        <f>AND(Trans!A574,"AAAAAE//v4Q=")</f>
        <v>1</v>
      </c>
      <c r="ED40" s="15" t="str">
        <f>AND(Trans!B574,"AAAAAE//v4U=")</f>
        <v>#VALUE!:noResult:No valid cells found for operation.</v>
      </c>
      <c r="EE40" s="15" t="b">
        <f>AND(Trans!C574,"AAAAAE//v4Y=")</f>
        <v>1</v>
      </c>
      <c r="EF40" s="15" t="b">
        <f>AND(Trans!D574,"AAAAAE//v4c=")</f>
        <v>1</v>
      </c>
      <c r="EG40" s="15" t="str">
        <f>AND(Trans!E574,"AAAAAE//v4g=")</f>
        <v>#VALUE!:noResult:No valid cells found for operation.</v>
      </c>
      <c r="EH40" s="15" t="str">
        <f>AND(Trans!F574,"AAAAAE//v4k=")</f>
        <v>#VALUE!:noResult:No valid cells found for operation.</v>
      </c>
      <c r="EI40" s="15" t="str">
        <f>AND(Trans!G574,"AAAAAE//v4o=")</f>
        <v>#VALUE!:noResult:No valid cells found for operation.</v>
      </c>
      <c r="EJ40" s="15" t="str">
        <f>#REF!</f>
        <v>#VALUE!:noResult:No valid cells found for operation.</v>
      </c>
      <c r="EK40" s="15" t="str">
        <f>AND(Trans!H574,"AAAAAE//v4w=")</f>
        <v>#VALUE!:noResult:No valid cells found for operation.</v>
      </c>
      <c r="EL40" s="15" t="str">
        <f>#REF!</f>
        <v>#VALUE!:noResult:No valid cells found for operation.</v>
      </c>
      <c r="EM40" s="15" t="str">
        <f>#REF!</f>
        <v>#VALUE!:noResult:No valid cells found for operation.</v>
      </c>
      <c r="EN40" s="15" t="str">
        <f>#REF!</f>
        <v>#VALUE!:noResult:No valid cells found for operation.</v>
      </c>
      <c r="EO40" s="15" t="str">
        <f>#REF!</f>
        <v>#VALUE!:noResult:No valid cells found for operation.</v>
      </c>
      <c r="EP40" s="15" t="str">
        <f>#REF!</f>
        <v>#VALUE!:noResult:No valid cells found for operation.</v>
      </c>
      <c r="EQ40" s="15" t="str">
        <f>#REF!</f>
        <v>#VALUE!:noResult:No valid cells found for operation.</v>
      </c>
      <c r="ER40" s="15">
        <f>IF(Trans!R[535],"AAAAAE//v5M=",0)</f>
        <v>0</v>
      </c>
      <c r="ES40" s="15" t="b">
        <f>AND(Trans!A575,"AAAAAE//v5Q=")</f>
        <v>1</v>
      </c>
      <c r="ET40" s="15" t="str">
        <f>AND(Trans!B575,"AAAAAE//v5U=")</f>
        <v>#VALUE!:noResult:No valid cells found for operation.</v>
      </c>
      <c r="EU40" s="15" t="b">
        <f>AND(Trans!C575,"AAAAAE//v5Y=")</f>
        <v>1</v>
      </c>
      <c r="EV40" s="15" t="b">
        <f>AND(Trans!D575,"AAAAAE//v5c=")</f>
        <v>1</v>
      </c>
      <c r="EW40" s="15" t="str">
        <f>AND(Trans!E575,"AAAAAE//v5g=")</f>
        <v>#VALUE!:noResult:No valid cells found for operation.</v>
      </c>
      <c r="EX40" s="15" t="str">
        <f>AND(Trans!F575,"AAAAAE//v5k=")</f>
        <v>#VALUE!:noResult:No valid cells found for operation.</v>
      </c>
      <c r="EY40" s="15" t="str">
        <f>AND(Trans!G575,"AAAAAE//v5o=")</f>
        <v>#VALUE!:noResult:No valid cells found for operation.</v>
      </c>
      <c r="EZ40" s="15" t="str">
        <f>#REF!</f>
        <v>#VALUE!:noResult:No valid cells found for operation.</v>
      </c>
      <c r="FA40" s="15" t="str">
        <f>AND(Trans!H575,"AAAAAE//v5w=")</f>
        <v>#VALUE!:noResult:No valid cells found for operation.</v>
      </c>
      <c r="FB40" s="15" t="str">
        <f>#REF!</f>
        <v>#VALUE!:noResult:No valid cells found for operation.</v>
      </c>
      <c r="FC40" s="15" t="str">
        <f>#REF!</f>
        <v>#VALUE!:noResult:No valid cells found for operation.</v>
      </c>
      <c r="FD40" s="15" t="str">
        <f>#REF!</f>
        <v>#VALUE!:noResult:No valid cells found for operation.</v>
      </c>
      <c r="FE40" s="15" t="str">
        <f>#REF!</f>
        <v>#VALUE!:noResult:No valid cells found for operation.</v>
      </c>
      <c r="FF40" s="15" t="str">
        <f>#REF!</f>
        <v>#VALUE!:noResult:No valid cells found for operation.</v>
      </c>
      <c r="FG40" s="15" t="str">
        <f>#REF!</f>
        <v>#VALUE!:noResult:No valid cells found for operation.</v>
      </c>
      <c r="FH40" s="15">
        <f>IF(Trans!R[536],"AAAAAE//v6M=",0)</f>
        <v>0</v>
      </c>
      <c r="FI40" s="15" t="b">
        <f>AND(Trans!A576,"AAAAAE//v6Q=")</f>
        <v>1</v>
      </c>
      <c r="FJ40" s="15" t="str">
        <f>AND(Trans!B576,"AAAAAE//v6U=")</f>
        <v>#VALUE!:noResult:No valid cells found for operation.</v>
      </c>
      <c r="FK40" s="15" t="b">
        <f>AND(Trans!C576,"AAAAAE//v6Y=")</f>
        <v>1</v>
      </c>
      <c r="FL40" s="15" t="b">
        <f>AND(Trans!D576,"AAAAAE//v6c=")</f>
        <v>1</v>
      </c>
      <c r="FM40" s="15" t="str">
        <f>AND(Trans!E576,"AAAAAE//v6g=")</f>
        <v>#VALUE!:noResult:No valid cells found for operation.</v>
      </c>
      <c r="FN40" s="15" t="str">
        <f>AND(Trans!F576,"AAAAAE//v6k=")</f>
        <v>#VALUE!:noResult:No valid cells found for operation.</v>
      </c>
      <c r="FO40" s="15" t="str">
        <f>AND(Trans!G576,"AAAAAE//v6o=")</f>
        <v>#VALUE!:noResult:No valid cells found for operation.</v>
      </c>
      <c r="FP40" s="15" t="str">
        <f>#REF!</f>
        <v>#VALUE!:noResult:No valid cells found for operation.</v>
      </c>
      <c r="FQ40" s="15" t="str">
        <f>AND(Trans!H576,"AAAAAE//v6w=")</f>
        <v>#VALUE!:noResult:No valid cells found for operation.</v>
      </c>
      <c r="FR40" s="15" t="str">
        <f>#REF!</f>
        <v>#VALUE!:noResult:No valid cells found for operation.</v>
      </c>
      <c r="FS40" s="15" t="str">
        <f>#REF!</f>
        <v>#VALUE!:noResult:No valid cells found for operation.</v>
      </c>
      <c r="FT40" s="15" t="str">
        <f>#REF!</f>
        <v>#VALUE!:noResult:No valid cells found for operation.</v>
      </c>
      <c r="FU40" s="15" t="str">
        <f>#REF!</f>
        <v>#VALUE!:noResult:No valid cells found for operation.</v>
      </c>
      <c r="FV40" s="15" t="str">
        <f>#REF!</f>
        <v>#VALUE!:noResult:No valid cells found for operation.</v>
      </c>
      <c r="FW40" s="15" t="str">
        <f>#REF!</f>
        <v>#VALUE!:noResult:No valid cells found for operation.</v>
      </c>
      <c r="FX40" s="15">
        <f>IF(Trans!R[537],"AAAAAE//v7M=",0)</f>
        <v>0</v>
      </c>
      <c r="FY40" s="15" t="b">
        <f>AND(Trans!A577,"AAAAAE//v7Q=")</f>
        <v>1</v>
      </c>
      <c r="FZ40" s="15" t="str">
        <f>AND(Trans!B577,"AAAAAE//v7U=")</f>
        <v>#VALUE!:noResult:No valid cells found for operation.</v>
      </c>
      <c r="GA40" s="15" t="b">
        <f>AND(Trans!C577,"AAAAAE//v7Y=")</f>
        <v>1</v>
      </c>
      <c r="GB40" s="15" t="b">
        <f>AND(Trans!D577,"AAAAAE//v7c=")</f>
        <v>1</v>
      </c>
      <c r="GC40" s="15" t="str">
        <f>AND(Trans!E577,"AAAAAE//v7g=")</f>
        <v>#VALUE!:noResult:No valid cells found for operation.</v>
      </c>
      <c r="GD40" s="15" t="str">
        <f>AND(Trans!F577,"AAAAAE//v7k=")</f>
        <v>#VALUE!:noResult:No valid cells found for operation.</v>
      </c>
      <c r="GE40" s="15" t="str">
        <f>AND(Trans!G577,"AAAAAE//v7o=")</f>
        <v>#VALUE!:noResult:No valid cells found for operation.</v>
      </c>
      <c r="GF40" s="15" t="str">
        <f>#REF!</f>
        <v>#VALUE!:noResult:No valid cells found for operation.</v>
      </c>
      <c r="GG40" s="15" t="str">
        <f>AND(Trans!H577,"AAAAAE//v7w=")</f>
        <v>#VALUE!:noResult:No valid cells found for operation.</v>
      </c>
      <c r="GH40" s="15" t="str">
        <f>#REF!</f>
        <v>#VALUE!:noResult:No valid cells found for operation.</v>
      </c>
      <c r="GI40" s="15" t="str">
        <f>#REF!</f>
        <v>#VALUE!:noResult:No valid cells found for operation.</v>
      </c>
      <c r="GJ40" s="15" t="str">
        <f>#REF!</f>
        <v>#VALUE!:noResult:No valid cells found for operation.</v>
      </c>
      <c r="GK40" s="15" t="str">
        <f>#REF!</f>
        <v>#VALUE!:noResult:No valid cells found for operation.</v>
      </c>
      <c r="GL40" s="15" t="str">
        <f>#REF!</f>
        <v>#VALUE!:noResult:No valid cells found for operation.</v>
      </c>
      <c r="GM40" s="15" t="str">
        <f>#REF!</f>
        <v>#VALUE!:noResult:No valid cells found for operation.</v>
      </c>
      <c r="GN40" s="15">
        <f>IF(Trans!R[538],"AAAAAE//v8M=",0)</f>
        <v>0</v>
      </c>
      <c r="GO40" s="15" t="b">
        <f>AND(Trans!A578,"AAAAAE//v8Q=")</f>
        <v>1</v>
      </c>
      <c r="GP40" s="15" t="str">
        <f>AND(Trans!B578,"AAAAAE//v8U=")</f>
        <v>#VALUE!:noResult:No valid cells found for operation.</v>
      </c>
      <c r="GQ40" s="15" t="b">
        <f>AND(Trans!C578,"AAAAAE//v8Y=")</f>
        <v>1</v>
      </c>
      <c r="GR40" s="15" t="b">
        <f>AND(Trans!D578,"AAAAAE//v8c=")</f>
        <v>1</v>
      </c>
      <c r="GS40" s="15" t="str">
        <f>AND(Trans!E578,"AAAAAE//v8g=")</f>
        <v>#VALUE!:noResult:No valid cells found for operation.</v>
      </c>
      <c r="GT40" s="15" t="str">
        <f>AND(Trans!F578,"AAAAAE//v8k=")</f>
        <v>#VALUE!:noResult:No valid cells found for operation.</v>
      </c>
      <c r="GU40" s="15" t="str">
        <f>AND(Trans!G578,"AAAAAE//v8o=")</f>
        <v>#VALUE!:noResult:No valid cells found for operation.</v>
      </c>
      <c r="GV40" s="15" t="str">
        <f>#REF!</f>
        <v>#VALUE!:noResult:No valid cells found for operation.</v>
      </c>
      <c r="GW40" s="15" t="str">
        <f>AND(Trans!H578,"AAAAAE//v8w=")</f>
        <v>#VALUE!:noResult:No valid cells found for operation.</v>
      </c>
      <c r="GX40" s="15" t="str">
        <f>#REF!</f>
        <v>#VALUE!:noResult:No valid cells found for operation.</v>
      </c>
      <c r="GY40" s="15" t="str">
        <f>#REF!</f>
        <v>#VALUE!:noResult:No valid cells found for operation.</v>
      </c>
      <c r="GZ40" s="15" t="str">
        <f>#REF!</f>
        <v>#VALUE!:noResult:No valid cells found for operation.</v>
      </c>
      <c r="HA40" s="15" t="str">
        <f>#REF!</f>
        <v>#VALUE!:noResult:No valid cells found for operation.</v>
      </c>
      <c r="HB40" s="15" t="str">
        <f>#REF!</f>
        <v>#VALUE!:noResult:No valid cells found for operation.</v>
      </c>
      <c r="HC40" s="15" t="str">
        <f>#REF!</f>
        <v>#VALUE!:noResult:No valid cells found for operation.</v>
      </c>
      <c r="HD40" s="15">
        <f>IF(Trans!R[539],"AAAAAE//v9M=",0)</f>
        <v>0</v>
      </c>
      <c r="HE40" s="15" t="b">
        <f>AND(Trans!A579,"AAAAAE//v9Q=")</f>
        <v>1</v>
      </c>
      <c r="HF40" s="15" t="str">
        <f>AND(Trans!B579,"AAAAAE//v9U=")</f>
        <v>#VALUE!:noResult:No valid cells found for operation.</v>
      </c>
      <c r="HG40" s="15" t="b">
        <f>AND(Trans!C579,"AAAAAE//v9Y=")</f>
        <v>1</v>
      </c>
      <c r="HH40" s="15" t="b">
        <f>AND(Trans!D579,"AAAAAE//v9c=")</f>
        <v>1</v>
      </c>
      <c r="HI40" s="15" t="str">
        <f>AND(Trans!E579,"AAAAAE//v9g=")</f>
        <v>#VALUE!:noResult:No valid cells found for operation.</v>
      </c>
      <c r="HJ40" s="15" t="str">
        <f>AND(Trans!F579,"AAAAAE//v9k=")</f>
        <v>#VALUE!:noResult:No valid cells found for operation.</v>
      </c>
      <c r="HK40" s="15" t="str">
        <f>AND(Trans!G579,"AAAAAE//v9o=")</f>
        <v>#VALUE!:noResult:No valid cells found for operation.</v>
      </c>
      <c r="HL40" s="15" t="str">
        <f>#REF!</f>
        <v>#VALUE!:noResult:No valid cells found for operation.</v>
      </c>
      <c r="HM40" s="15" t="str">
        <f>AND(Trans!H579,"AAAAAE//v9w=")</f>
        <v>#VALUE!:noResult:No valid cells found for operation.</v>
      </c>
      <c r="HN40" s="15" t="str">
        <f>#REF!</f>
        <v>#VALUE!:noResult:No valid cells found for operation.</v>
      </c>
      <c r="HO40" s="15" t="str">
        <f>#REF!</f>
        <v>#VALUE!:noResult:No valid cells found for operation.</v>
      </c>
      <c r="HP40" s="15" t="str">
        <f>#REF!</f>
        <v>#VALUE!:noResult:No valid cells found for operation.</v>
      </c>
      <c r="HQ40" s="15" t="str">
        <f>#REF!</f>
        <v>#VALUE!:noResult:No valid cells found for operation.</v>
      </c>
      <c r="HR40" s="15" t="str">
        <f>#REF!</f>
        <v>#VALUE!:noResult:No valid cells found for operation.</v>
      </c>
      <c r="HS40" s="15" t="str">
        <f>#REF!</f>
        <v>#VALUE!:noResult:No valid cells found for operation.</v>
      </c>
      <c r="HT40" s="15">
        <f>IF(Trans!R[540],"AAAAAE//v+M=",0)</f>
        <v>0</v>
      </c>
      <c r="HU40" s="15" t="b">
        <f>AND(Trans!A580,"AAAAAE//v+Q=")</f>
        <v>1</v>
      </c>
      <c r="HV40" s="15" t="str">
        <f>AND(Trans!B580,"AAAAAE//v+U=")</f>
        <v>#VALUE!:noResult:No valid cells found for operation.</v>
      </c>
      <c r="HW40" s="15" t="b">
        <f>AND(Trans!C580,"AAAAAE//v+Y=")</f>
        <v>1</v>
      </c>
      <c r="HX40" s="15" t="b">
        <f>AND(Trans!D580,"AAAAAE//v+c=")</f>
        <v>1</v>
      </c>
      <c r="HY40" s="15" t="str">
        <f>AND(Trans!E580,"AAAAAE//v+g=")</f>
        <v>#VALUE!:noResult:No valid cells found for operation.</v>
      </c>
      <c r="HZ40" s="15" t="str">
        <f>AND(Trans!F580,"AAAAAE//v+k=")</f>
        <v>#VALUE!:noResult:No valid cells found for operation.</v>
      </c>
      <c r="IA40" s="15" t="str">
        <f>AND(Trans!G580,"AAAAAE//v+o=")</f>
        <v>#VALUE!:noResult:No valid cells found for operation.</v>
      </c>
      <c r="IB40" s="15" t="str">
        <f>#REF!</f>
        <v>#VALUE!:noResult:No valid cells found for operation.</v>
      </c>
      <c r="IC40" s="15" t="str">
        <f>AND(Trans!H580,"AAAAAE//v+w=")</f>
        <v>#VALUE!:noResult:No valid cells found for operation.</v>
      </c>
      <c r="ID40" s="15" t="str">
        <f>#REF!</f>
        <v>#VALUE!:noResult:No valid cells found for operation.</v>
      </c>
      <c r="IE40" s="15" t="str">
        <f>#REF!</f>
        <v>#VALUE!:noResult:No valid cells found for operation.</v>
      </c>
      <c r="IF40" s="15" t="str">
        <f>#REF!</f>
        <v>#VALUE!:noResult:No valid cells found for operation.</v>
      </c>
      <c r="IG40" s="15" t="str">
        <f>#REF!</f>
        <v>#VALUE!:noResult:No valid cells found for operation.</v>
      </c>
      <c r="IH40" s="15" t="str">
        <f>#REF!</f>
        <v>#VALUE!:noResult:No valid cells found for operation.</v>
      </c>
      <c r="II40" s="15" t="str">
        <f>#REF!</f>
        <v>#VALUE!:noResult:No valid cells found for operation.</v>
      </c>
      <c r="IJ40" s="15">
        <f>IF(Trans!R[541],"AAAAAE//v/M=",0)</f>
        <v>0</v>
      </c>
      <c r="IK40" s="15" t="b">
        <f>AND(Trans!A581,"AAAAAE//v/Q=")</f>
        <v>1</v>
      </c>
      <c r="IL40" s="15" t="str">
        <f>AND(Trans!B581,"AAAAAE//v/U=")</f>
        <v>#VALUE!:noResult:No valid cells found for operation.</v>
      </c>
      <c r="IM40" s="15" t="b">
        <f>AND(Trans!C581,"AAAAAE//v/Y=")</f>
        <v>1</v>
      </c>
      <c r="IN40" s="15" t="b">
        <f>AND(Trans!D581,"AAAAAE//v/c=")</f>
        <v>1</v>
      </c>
      <c r="IO40" s="15" t="str">
        <f>AND(Trans!E581,"AAAAAE//v/g=")</f>
        <v>#VALUE!:noResult:No valid cells found for operation.</v>
      </c>
      <c r="IP40" s="15" t="str">
        <f>AND(Trans!F581,"AAAAAE//v/k=")</f>
        <v>#VALUE!:noResult:No valid cells found for operation.</v>
      </c>
      <c r="IQ40" s="15" t="str">
        <f>AND(Trans!G581,"AAAAAE//v/o=")</f>
        <v>#VALUE!:noResult:No valid cells found for operation.</v>
      </c>
      <c r="IR40" s="15" t="str">
        <f>#REF!</f>
        <v>#VALUE!:noResult:No valid cells found for operation.</v>
      </c>
      <c r="IS40" s="15" t="str">
        <f>AND(Trans!H581,"AAAAAE//v/w=")</f>
        <v>#VALUE!:noResult:No valid cells found for operation.</v>
      </c>
      <c r="IT40" s="15" t="str">
        <f>#REF!</f>
        <v>#VALUE!:noResult:No valid cells found for operation.</v>
      </c>
      <c r="IU40" s="15" t="str">
        <f>#REF!</f>
        <v>#VALUE!:noResult:No valid cells found for operation.</v>
      </c>
      <c r="IV40" s="15" t="str">
        <f>#REF!</f>
        <v>#VALUE!:noResult:No valid cells found for operation.</v>
      </c>
    </row>
    <row r="41">
      <c r="A41" s="15" t="str">
        <f>#REF!</f>
        <v>#VALUE!:noResult:No valid cells found for operation.</v>
      </c>
      <c r="B41" s="15" t="str">
        <f>#REF!</f>
        <v>#VALUE!:noResult:No valid cells found for operation.</v>
      </c>
      <c r="C41" s="15" t="str">
        <f>#REF!</f>
        <v>#VALUE!:noResult:No valid cells found for operation.</v>
      </c>
      <c r="D41" s="15" t="str">
        <f>IF(Trans!R[541],"AAAAABu/1gM=",0)</f>
        <v>AAAAABu/1gM=</v>
      </c>
      <c r="E41" s="15" t="b">
        <f>AND(Trans!A582,"AAAAABu/1gQ=")</f>
        <v>1</v>
      </c>
      <c r="F41" s="15" t="str">
        <f>AND(Trans!B582,"AAAAABu/1gU=")</f>
        <v>#VALUE!:noResult:No valid cells found for operation.</v>
      </c>
      <c r="G41" s="15" t="b">
        <f>AND(Trans!C582,"AAAAABu/1gY=")</f>
        <v>1</v>
      </c>
      <c r="H41" s="15" t="b">
        <f>AND(Trans!D582,"AAAAABu/1gc=")</f>
        <v>1</v>
      </c>
      <c r="I41" s="15" t="str">
        <f>AND(Trans!E582,"AAAAABu/1gg=")</f>
        <v>#VALUE!:noResult:No valid cells found for operation.</v>
      </c>
      <c r="J41" s="15" t="str">
        <f>AND(Trans!F582,"AAAAABu/1gk=")</f>
        <v>#VALUE!:noResult:No valid cells found for operation.</v>
      </c>
      <c r="K41" s="15" t="str">
        <f>AND(Trans!G582,"AAAAABu/1go=")</f>
        <v>#VALUE!:noResult:No valid cells found for operation.</v>
      </c>
      <c r="L41" s="15" t="str">
        <f>#REF!</f>
        <v>#VALUE!:noResult:No valid cells found for operation.</v>
      </c>
      <c r="M41" s="15" t="str">
        <f>AND(Trans!H582,"AAAAABu/1gw=")</f>
        <v>#VALUE!:noResult:No valid cells found for operation.</v>
      </c>
      <c r="N41" s="15" t="str">
        <f>#REF!</f>
        <v>#VALUE!:noResult:No valid cells found for operation.</v>
      </c>
      <c r="O41" s="15" t="str">
        <f>#REF!</f>
        <v>#VALUE!:noResult:No valid cells found for operation.</v>
      </c>
      <c r="P41" s="15" t="str">
        <f>#REF!</f>
        <v>#VALUE!:noResult:No valid cells found for operation.</v>
      </c>
      <c r="Q41" s="15" t="str">
        <f>#REF!</f>
        <v>#VALUE!:noResult:No valid cells found for operation.</v>
      </c>
      <c r="R41" s="15" t="str">
        <f>#REF!</f>
        <v>#VALUE!:noResult:No valid cells found for operation.</v>
      </c>
      <c r="S41" s="15" t="str">
        <f>#REF!</f>
        <v>#VALUE!:noResult:No valid cells found for operation.</v>
      </c>
      <c r="T41" s="15">
        <f>IF(Trans!R[542],"AAAAABu/1hM=",0)</f>
        <v>0</v>
      </c>
      <c r="U41" s="15" t="b">
        <f>AND(Trans!A583,"AAAAABu/1hQ=")</f>
        <v>1</v>
      </c>
      <c r="V41" s="15" t="str">
        <f>AND(Trans!B583,"AAAAABu/1hU=")</f>
        <v>#VALUE!:noResult:No valid cells found for operation.</v>
      </c>
      <c r="W41" s="15" t="b">
        <f>AND(Trans!C583,"AAAAABu/1hY=")</f>
        <v>1</v>
      </c>
      <c r="X41" s="15" t="b">
        <f>AND(Trans!D583,"AAAAABu/1hc=")</f>
        <v>1</v>
      </c>
      <c r="Y41" s="15" t="str">
        <f>AND(Trans!E583,"AAAAABu/1hg=")</f>
        <v>#VALUE!:noResult:No valid cells found for operation.</v>
      </c>
      <c r="Z41" s="15" t="str">
        <f>AND(Trans!F583,"AAAAABu/1hk=")</f>
        <v>#VALUE!:noResult:No valid cells found for operation.</v>
      </c>
      <c r="AA41" s="15" t="str">
        <f>AND(Trans!G583,"AAAAABu/1ho=")</f>
        <v>#VALUE!:noResult:No valid cells found for operation.</v>
      </c>
      <c r="AB41" s="15" t="str">
        <f>#REF!</f>
        <v>#VALUE!:noResult:No valid cells found for operation.</v>
      </c>
      <c r="AC41" s="15" t="str">
        <f>AND(Trans!H583,"AAAAABu/1hw=")</f>
        <v>#VALUE!:noResult:No valid cells found for operation.</v>
      </c>
      <c r="AD41" s="15" t="str">
        <f>#REF!</f>
        <v>#VALUE!:noResult:No valid cells found for operation.</v>
      </c>
      <c r="AE41" s="15" t="str">
        <f>#REF!</f>
        <v>#VALUE!:noResult:No valid cells found for operation.</v>
      </c>
      <c r="AF41" s="15" t="str">
        <f>#REF!</f>
        <v>#VALUE!:noResult:No valid cells found for operation.</v>
      </c>
      <c r="AG41" s="15" t="str">
        <f>#REF!</f>
        <v>#VALUE!:noResult:No valid cells found for operation.</v>
      </c>
      <c r="AH41" s="15" t="str">
        <f>#REF!</f>
        <v>#VALUE!:noResult:No valid cells found for operation.</v>
      </c>
      <c r="AI41" s="15" t="str">
        <f>#REF!</f>
        <v>#VALUE!:noResult:No valid cells found for operation.</v>
      </c>
      <c r="AJ41" s="15">
        <f>IF(Trans!R[543],"AAAAABu/1iM=",0)</f>
        <v>0</v>
      </c>
      <c r="AK41" s="15" t="b">
        <f>AND(Trans!A584,"AAAAABu/1iQ=")</f>
        <v>1</v>
      </c>
      <c r="AL41" s="15" t="str">
        <f>AND(Trans!B584,"AAAAABu/1iU=")</f>
        <v>#VALUE!:noResult:No valid cells found for operation.</v>
      </c>
      <c r="AM41" s="15" t="b">
        <f>AND(Trans!C584,"AAAAABu/1iY=")</f>
        <v>1</v>
      </c>
      <c r="AN41" s="15" t="b">
        <f>AND(Trans!D584,"AAAAABu/1ic=")</f>
        <v>1</v>
      </c>
      <c r="AO41" s="15" t="str">
        <f>AND(Trans!E584,"AAAAABu/1ig=")</f>
        <v>#VALUE!:noResult:No valid cells found for operation.</v>
      </c>
      <c r="AP41" s="15" t="str">
        <f>AND(Trans!F584,"AAAAABu/1ik=")</f>
        <v>#VALUE!:noResult:No valid cells found for operation.</v>
      </c>
      <c r="AQ41" s="15" t="str">
        <f>AND(Trans!G584,"AAAAABu/1io=")</f>
        <v>#VALUE!:noResult:No valid cells found for operation.</v>
      </c>
      <c r="AR41" s="15" t="str">
        <f>#REF!</f>
        <v>#VALUE!:noResult:No valid cells found for operation.</v>
      </c>
      <c r="AS41" s="15" t="str">
        <f>AND(Trans!H584,"AAAAABu/1iw=")</f>
        <v>#VALUE!:noResult:No valid cells found for operation.</v>
      </c>
      <c r="AT41" s="15" t="str">
        <f>#REF!</f>
        <v>#VALUE!:noResult:No valid cells found for operation.</v>
      </c>
      <c r="AU41" s="15" t="str">
        <f>#REF!</f>
        <v>#VALUE!:noResult:No valid cells found for operation.</v>
      </c>
      <c r="AV41" s="15" t="str">
        <f>#REF!</f>
        <v>#VALUE!:noResult:No valid cells found for operation.</v>
      </c>
      <c r="AW41" s="15" t="str">
        <f>#REF!</f>
        <v>#VALUE!:noResult:No valid cells found for operation.</v>
      </c>
      <c r="AX41" s="15" t="str">
        <f>#REF!</f>
        <v>#VALUE!:noResult:No valid cells found for operation.</v>
      </c>
      <c r="AY41" s="15" t="str">
        <f>#REF!</f>
        <v>#VALUE!:noResult:No valid cells found for operation.</v>
      </c>
      <c r="AZ41" s="15">
        <f>IF(Trans!R[544],"AAAAABu/1jM=",0)</f>
        <v>0</v>
      </c>
      <c r="BA41" s="15" t="b">
        <f>AND(Trans!A585,"AAAAABu/1jQ=")</f>
        <v>1</v>
      </c>
      <c r="BB41" s="15" t="str">
        <f>AND(Trans!B585,"AAAAABu/1jU=")</f>
        <v>#VALUE!:noResult:No valid cells found for operation.</v>
      </c>
      <c r="BC41" s="15" t="b">
        <f>AND(Trans!C585,"AAAAABu/1jY=")</f>
        <v>1</v>
      </c>
      <c r="BD41" s="15" t="b">
        <f>AND(Trans!D585,"AAAAABu/1jc=")</f>
        <v>1</v>
      </c>
      <c r="BE41" s="15" t="str">
        <f>AND(Trans!E585,"AAAAABu/1jg=")</f>
        <v>#VALUE!:noResult:No valid cells found for operation.</v>
      </c>
      <c r="BF41" s="15" t="str">
        <f>AND(Trans!F585,"AAAAABu/1jk=")</f>
        <v>#VALUE!:noResult:No valid cells found for operation.</v>
      </c>
      <c r="BG41" s="15" t="str">
        <f>AND(Trans!G585,"AAAAABu/1jo=")</f>
        <v>#VALUE!:noResult:No valid cells found for operation.</v>
      </c>
      <c r="BH41" s="15" t="str">
        <f>#REF!</f>
        <v>#VALUE!:noResult:No valid cells found for operation.</v>
      </c>
      <c r="BI41" s="15" t="str">
        <f>AND(Trans!H585,"AAAAABu/1jw=")</f>
        <v>#VALUE!:noResult:No valid cells found for operation.</v>
      </c>
      <c r="BJ41" s="15" t="str">
        <f>#REF!</f>
        <v>#VALUE!:noResult:No valid cells found for operation.</v>
      </c>
      <c r="BK41" s="15" t="str">
        <f>#REF!</f>
        <v>#VALUE!:noResult:No valid cells found for operation.</v>
      </c>
      <c r="BL41" s="15" t="str">
        <f>#REF!</f>
        <v>#VALUE!:noResult:No valid cells found for operation.</v>
      </c>
      <c r="BM41" s="15" t="str">
        <f>#REF!</f>
        <v>#VALUE!:noResult:No valid cells found for operation.</v>
      </c>
      <c r="BN41" s="15" t="str">
        <f>#REF!</f>
        <v>#VALUE!:noResult:No valid cells found for operation.</v>
      </c>
      <c r="BO41" s="15" t="str">
        <f>#REF!</f>
        <v>#VALUE!:noResult:No valid cells found for operation.</v>
      </c>
      <c r="BP41" s="15">
        <f>IF(Trans!R[545],"AAAAABu/1kM=",0)</f>
        <v>0</v>
      </c>
      <c r="BQ41" s="15" t="b">
        <f>AND(Trans!A586,"AAAAABu/1kQ=")</f>
        <v>1</v>
      </c>
      <c r="BR41" s="15" t="str">
        <f>AND(Trans!B586,"AAAAABu/1kU=")</f>
        <v>#VALUE!:noResult:No valid cells found for operation.</v>
      </c>
      <c r="BS41" s="15" t="b">
        <f>AND(Trans!C586,"AAAAABu/1kY=")</f>
        <v>1</v>
      </c>
      <c r="BT41" s="15" t="b">
        <f>AND(Trans!D586,"AAAAABu/1kc=")</f>
        <v>1</v>
      </c>
      <c r="BU41" s="15" t="str">
        <f>AND(Trans!E586,"AAAAABu/1kg=")</f>
        <v>#VALUE!:noResult:No valid cells found for operation.</v>
      </c>
      <c r="BV41" s="15" t="str">
        <f>AND(Trans!F586,"AAAAABu/1kk=")</f>
        <v>#VALUE!:noResult:No valid cells found for operation.</v>
      </c>
      <c r="BW41" s="15" t="str">
        <f>AND(Trans!G586,"AAAAABu/1ko=")</f>
        <v>#VALUE!:noResult:No valid cells found for operation.</v>
      </c>
      <c r="BX41" s="15" t="str">
        <f>#REF!</f>
        <v>#VALUE!:noResult:No valid cells found for operation.</v>
      </c>
      <c r="BY41" s="15" t="str">
        <f>AND(Trans!H586,"AAAAABu/1kw=")</f>
        <v>#VALUE!:noResult:No valid cells found for operation.</v>
      </c>
      <c r="BZ41" s="15" t="str">
        <f>#REF!</f>
        <v>#VALUE!:noResult:No valid cells found for operation.</v>
      </c>
      <c r="CA41" s="15" t="str">
        <f>#REF!</f>
        <v>#VALUE!:noResult:No valid cells found for operation.</v>
      </c>
      <c r="CB41" s="15" t="str">
        <f>#REF!</f>
        <v>#VALUE!:noResult:No valid cells found for operation.</v>
      </c>
      <c r="CC41" s="15" t="str">
        <f>#REF!</f>
        <v>#VALUE!:noResult:No valid cells found for operation.</v>
      </c>
      <c r="CD41" s="15" t="str">
        <f>#REF!</f>
        <v>#VALUE!:noResult:No valid cells found for operation.</v>
      </c>
      <c r="CE41" s="15" t="str">
        <f>#REF!</f>
        <v>#VALUE!:noResult:No valid cells found for operation.</v>
      </c>
      <c r="CF41" s="15">
        <f>IF(Trans!R[546],"AAAAABu/1lM=",0)</f>
        <v>0</v>
      </c>
      <c r="CG41" s="15" t="b">
        <f>AND(Trans!A587,"AAAAABu/1lQ=")</f>
        <v>1</v>
      </c>
      <c r="CH41" s="15" t="str">
        <f>AND(Trans!B587,"AAAAABu/1lU=")</f>
        <v>#VALUE!:noResult:No valid cells found for operation.</v>
      </c>
      <c r="CI41" s="15" t="b">
        <f>AND(Trans!C587,"AAAAABu/1lY=")</f>
        <v>1</v>
      </c>
      <c r="CJ41" s="15" t="b">
        <f>AND(Trans!D587,"AAAAABu/1lc=")</f>
        <v>1</v>
      </c>
      <c r="CK41" s="15" t="str">
        <f>AND(Trans!E587,"AAAAABu/1lg=")</f>
        <v>#VALUE!:noResult:No valid cells found for operation.</v>
      </c>
      <c r="CL41" s="15" t="str">
        <f>AND(Trans!F587,"AAAAABu/1lk=")</f>
        <v>#VALUE!:noResult:No valid cells found for operation.</v>
      </c>
      <c r="CM41" s="15" t="str">
        <f>AND(Trans!G587,"AAAAABu/1lo=")</f>
        <v>#VALUE!:noResult:No valid cells found for operation.</v>
      </c>
      <c r="CN41" s="15" t="str">
        <f>#REF!</f>
        <v>#VALUE!:noResult:No valid cells found for operation.</v>
      </c>
      <c r="CO41" s="15" t="str">
        <f>AND(Trans!H587,"AAAAABu/1lw=")</f>
        <v>#VALUE!:noResult:No valid cells found for operation.</v>
      </c>
      <c r="CP41" s="15" t="str">
        <f>#REF!</f>
        <v>#VALUE!:noResult:No valid cells found for operation.</v>
      </c>
      <c r="CQ41" s="15" t="str">
        <f>#REF!</f>
        <v>#VALUE!:noResult:No valid cells found for operation.</v>
      </c>
      <c r="CR41" s="15" t="str">
        <f>#REF!</f>
        <v>#VALUE!:noResult:No valid cells found for operation.</v>
      </c>
      <c r="CS41" s="15" t="str">
        <f>#REF!</f>
        <v>#VALUE!:noResult:No valid cells found for operation.</v>
      </c>
      <c r="CT41" s="15" t="str">
        <f>#REF!</f>
        <v>#VALUE!:noResult:No valid cells found for operation.</v>
      </c>
      <c r="CU41" s="15" t="str">
        <f>#REF!</f>
        <v>#VALUE!:noResult:No valid cells found for operation.</v>
      </c>
      <c r="CV41" s="15">
        <f>IF(Trans!R[547],"AAAAABu/1mM=",0)</f>
        <v>0</v>
      </c>
      <c r="CW41" s="15" t="b">
        <f>AND(Trans!A588,"AAAAABu/1mQ=")</f>
        <v>1</v>
      </c>
      <c r="CX41" s="15" t="str">
        <f>AND(Trans!B588,"AAAAABu/1mU=")</f>
        <v>#VALUE!:noResult:No valid cells found for operation.</v>
      </c>
      <c r="CY41" s="15" t="b">
        <f>AND(Trans!C588,"AAAAABu/1mY=")</f>
        <v>1</v>
      </c>
      <c r="CZ41" s="15" t="b">
        <f>AND(Trans!D588,"AAAAABu/1mc=")</f>
        <v>1</v>
      </c>
      <c r="DA41" s="15" t="str">
        <f>AND(Trans!E588,"AAAAABu/1mg=")</f>
        <v>#VALUE!:noResult:No valid cells found for operation.</v>
      </c>
      <c r="DB41" s="15" t="str">
        <f>AND(Trans!F588,"AAAAABu/1mk=")</f>
        <v>#VALUE!:noResult:No valid cells found for operation.</v>
      </c>
      <c r="DC41" s="15" t="str">
        <f>AND(Trans!G588,"AAAAABu/1mo=")</f>
        <v>#VALUE!:noResult:No valid cells found for operation.</v>
      </c>
      <c r="DD41" s="15" t="str">
        <f>#REF!</f>
        <v>#VALUE!:noResult:No valid cells found for operation.</v>
      </c>
      <c r="DE41" s="15" t="str">
        <f>AND(Trans!H588,"AAAAABu/1mw=")</f>
        <v>#VALUE!:noResult:No valid cells found for operation.</v>
      </c>
      <c r="DF41" s="15" t="str">
        <f>#REF!</f>
        <v>#VALUE!:noResult:No valid cells found for operation.</v>
      </c>
      <c r="DG41" s="15" t="str">
        <f>#REF!</f>
        <v>#VALUE!:noResult:No valid cells found for operation.</v>
      </c>
      <c r="DH41" s="15" t="str">
        <f>#REF!</f>
        <v>#VALUE!:noResult:No valid cells found for operation.</v>
      </c>
      <c r="DI41" s="15" t="str">
        <f>#REF!</f>
        <v>#VALUE!:noResult:No valid cells found for operation.</v>
      </c>
      <c r="DJ41" s="15" t="str">
        <f>#REF!</f>
        <v>#VALUE!:noResult:No valid cells found for operation.</v>
      </c>
      <c r="DK41" s="15" t="str">
        <f>#REF!</f>
        <v>#VALUE!:noResult:No valid cells found for operation.</v>
      </c>
      <c r="DL41" s="15">
        <f>IF(Trans!R[548],"AAAAABu/1nM=",0)</f>
        <v>0</v>
      </c>
      <c r="DM41" s="15" t="b">
        <f>AND(Trans!A589,"AAAAABu/1nQ=")</f>
        <v>1</v>
      </c>
      <c r="DN41" s="15" t="str">
        <f>AND(Trans!B589,"AAAAABu/1nU=")</f>
        <v>#VALUE!:noResult:No valid cells found for operation.</v>
      </c>
      <c r="DO41" s="15" t="b">
        <f>AND(Trans!C589,"AAAAABu/1nY=")</f>
        <v>1</v>
      </c>
      <c r="DP41" s="15" t="b">
        <f>AND(Trans!D589,"AAAAABu/1nc=")</f>
        <v>1</v>
      </c>
      <c r="DQ41" s="15" t="str">
        <f>AND(Trans!E589,"AAAAABu/1ng=")</f>
        <v>#VALUE!:noResult:No valid cells found for operation.</v>
      </c>
      <c r="DR41" s="15" t="str">
        <f>AND(Trans!F589,"AAAAABu/1nk=")</f>
        <v>#VALUE!:noResult:No valid cells found for operation.</v>
      </c>
      <c r="DS41" s="15" t="str">
        <f>AND(Trans!G589,"AAAAABu/1no=")</f>
        <v>#VALUE!:noResult:No valid cells found for operation.</v>
      </c>
      <c r="DT41" s="15" t="str">
        <f>#REF!</f>
        <v>#VALUE!:noResult:No valid cells found for operation.</v>
      </c>
      <c r="DU41" s="15" t="str">
        <f>AND(Trans!H589,"AAAAABu/1nw=")</f>
        <v>#VALUE!:noResult:No valid cells found for operation.</v>
      </c>
      <c r="DV41" s="15" t="str">
        <f>#REF!</f>
        <v>#VALUE!:noResult:No valid cells found for operation.</v>
      </c>
      <c r="DW41" s="15" t="str">
        <f>#REF!</f>
        <v>#VALUE!:noResult:No valid cells found for operation.</v>
      </c>
      <c r="DX41" s="15" t="str">
        <f>#REF!</f>
        <v>#VALUE!:noResult:No valid cells found for operation.</v>
      </c>
      <c r="DY41" s="15" t="str">
        <f>#REF!</f>
        <v>#VALUE!:noResult:No valid cells found for operation.</v>
      </c>
      <c r="DZ41" s="15" t="str">
        <f>#REF!</f>
        <v>#VALUE!:noResult:No valid cells found for operation.</v>
      </c>
      <c r="EA41" s="15" t="str">
        <f>#REF!</f>
        <v>#VALUE!:noResult:No valid cells found for operation.</v>
      </c>
      <c r="EB41" s="15">
        <f>IF(Trans!R[549],"AAAAABu/1oM=",0)</f>
        <v>0</v>
      </c>
      <c r="EC41" s="15" t="b">
        <f>AND(Trans!A590,"AAAAABu/1oQ=")</f>
        <v>1</v>
      </c>
      <c r="ED41" s="15" t="str">
        <f>AND(Trans!B590,"AAAAABu/1oU=")</f>
        <v>#VALUE!:noResult:No valid cells found for operation.</v>
      </c>
      <c r="EE41" s="15" t="b">
        <f>AND(Trans!C590,"AAAAABu/1oY=")</f>
        <v>1</v>
      </c>
      <c r="EF41" s="15" t="b">
        <f>AND(Trans!D590,"AAAAABu/1oc=")</f>
        <v>1</v>
      </c>
      <c r="EG41" s="15" t="str">
        <f>AND(Trans!E590,"AAAAABu/1og=")</f>
        <v>#VALUE!:noResult:No valid cells found for operation.</v>
      </c>
      <c r="EH41" s="15" t="str">
        <f>AND(Trans!F590,"AAAAABu/1ok=")</f>
        <v>#VALUE!:noResult:No valid cells found for operation.</v>
      </c>
      <c r="EI41" s="15" t="str">
        <f>AND(Trans!G590,"AAAAABu/1oo=")</f>
        <v>#VALUE!:noResult:No valid cells found for operation.</v>
      </c>
      <c r="EJ41" s="15" t="str">
        <f>#REF!</f>
        <v>#VALUE!:noResult:No valid cells found for operation.</v>
      </c>
      <c r="EK41" s="15" t="str">
        <f>AND(Trans!H590,"AAAAABu/1ow=")</f>
        <v>#VALUE!:noResult:No valid cells found for operation.</v>
      </c>
      <c r="EL41" s="15" t="str">
        <f>#REF!</f>
        <v>#VALUE!:noResult:No valid cells found for operation.</v>
      </c>
      <c r="EM41" s="15" t="str">
        <f>#REF!</f>
        <v>#VALUE!:noResult:No valid cells found for operation.</v>
      </c>
      <c r="EN41" s="15" t="str">
        <f>#REF!</f>
        <v>#VALUE!:noResult:No valid cells found for operation.</v>
      </c>
      <c r="EO41" s="15" t="str">
        <f>#REF!</f>
        <v>#VALUE!:noResult:No valid cells found for operation.</v>
      </c>
      <c r="EP41" s="15" t="str">
        <f>#REF!</f>
        <v>#VALUE!:noResult:No valid cells found for operation.</v>
      </c>
      <c r="EQ41" s="15" t="str">
        <f>#REF!</f>
        <v>#VALUE!:noResult:No valid cells found for operation.</v>
      </c>
      <c r="ER41" s="15">
        <f>IF(Trans!R[550],"AAAAABu/1pM=",0)</f>
        <v>0</v>
      </c>
      <c r="ES41" s="15" t="b">
        <f>AND(Trans!A591,"AAAAABu/1pQ=")</f>
        <v>1</v>
      </c>
      <c r="ET41" s="15" t="str">
        <f>AND(Trans!B591,"AAAAABu/1pU=")</f>
        <v>#VALUE!:noResult:No valid cells found for operation.</v>
      </c>
      <c r="EU41" s="15" t="b">
        <f>AND(Trans!C591,"AAAAABu/1pY=")</f>
        <v>1</v>
      </c>
      <c r="EV41" s="15" t="b">
        <f>AND(Trans!D591,"AAAAABu/1pc=")</f>
        <v>1</v>
      </c>
      <c r="EW41" s="15" t="str">
        <f>AND(Trans!E591,"AAAAABu/1pg=")</f>
        <v>#VALUE!:noResult:No valid cells found for operation.</v>
      </c>
      <c r="EX41" s="15" t="str">
        <f>AND(Trans!F591,"AAAAABu/1pk=")</f>
        <v>#VALUE!:noResult:No valid cells found for operation.</v>
      </c>
      <c r="EY41" s="15" t="str">
        <f>AND(Trans!G591,"AAAAABu/1po=")</f>
        <v>#VALUE!:noResult:No valid cells found for operation.</v>
      </c>
      <c r="EZ41" s="15" t="str">
        <f>#REF!</f>
        <v>#VALUE!:noResult:No valid cells found for operation.</v>
      </c>
      <c r="FA41" s="15" t="str">
        <f>AND(Trans!H591,"AAAAABu/1pw=")</f>
        <v>#VALUE!:noResult:No valid cells found for operation.</v>
      </c>
      <c r="FB41" s="15" t="str">
        <f>#REF!</f>
        <v>#VALUE!:noResult:No valid cells found for operation.</v>
      </c>
      <c r="FC41" s="15" t="str">
        <f>#REF!</f>
        <v>#VALUE!:noResult:No valid cells found for operation.</v>
      </c>
      <c r="FD41" s="15" t="str">
        <f>#REF!</f>
        <v>#VALUE!:noResult:No valid cells found for operation.</v>
      </c>
      <c r="FE41" s="15" t="str">
        <f>#REF!</f>
        <v>#VALUE!:noResult:No valid cells found for operation.</v>
      </c>
      <c r="FF41" s="15" t="str">
        <f>#REF!</f>
        <v>#VALUE!:noResult:No valid cells found for operation.</v>
      </c>
      <c r="FG41" s="15" t="str">
        <f>#REF!</f>
        <v>#VALUE!:noResult:No valid cells found for operation.</v>
      </c>
      <c r="FH41" s="15">
        <f>IF(Trans!R[551],"AAAAABu/1qM=",0)</f>
        <v>0</v>
      </c>
      <c r="FI41" s="15" t="b">
        <f>AND(Trans!A592,"AAAAABu/1qQ=")</f>
        <v>1</v>
      </c>
      <c r="FJ41" s="15" t="str">
        <f>AND(Trans!B592,"AAAAABu/1qU=")</f>
        <v>#VALUE!:noResult:No valid cells found for operation.</v>
      </c>
      <c r="FK41" s="15" t="b">
        <f>AND(Trans!C592,"AAAAABu/1qY=")</f>
        <v>1</v>
      </c>
      <c r="FL41" s="15" t="b">
        <f>AND(Trans!D592,"AAAAABu/1qc=")</f>
        <v>1</v>
      </c>
      <c r="FM41" s="15" t="str">
        <f>AND(Trans!E592,"AAAAABu/1qg=")</f>
        <v>#VALUE!:noResult:No valid cells found for operation.</v>
      </c>
      <c r="FN41" s="15" t="str">
        <f>AND(Trans!F592,"AAAAABu/1qk=")</f>
        <v>#VALUE!:noResult:No valid cells found for operation.</v>
      </c>
      <c r="FO41" s="15" t="str">
        <f>AND(Trans!G592,"AAAAABu/1qo=")</f>
        <v>#VALUE!:noResult:No valid cells found for operation.</v>
      </c>
      <c r="FP41" s="15" t="str">
        <f>#REF!</f>
        <v>#VALUE!:noResult:No valid cells found for operation.</v>
      </c>
      <c r="FQ41" s="15" t="str">
        <f>AND(Trans!H592,"AAAAABu/1qw=")</f>
        <v>#VALUE!:noResult:No valid cells found for operation.</v>
      </c>
      <c r="FR41" s="15" t="str">
        <f>#REF!</f>
        <v>#VALUE!:noResult:No valid cells found for operation.</v>
      </c>
      <c r="FS41" s="15" t="str">
        <f>#REF!</f>
        <v>#VALUE!:noResult:No valid cells found for operation.</v>
      </c>
      <c r="FT41" s="15" t="str">
        <f>#REF!</f>
        <v>#VALUE!:noResult:No valid cells found for operation.</v>
      </c>
      <c r="FU41" s="15" t="str">
        <f>#REF!</f>
        <v>#VALUE!:noResult:No valid cells found for operation.</v>
      </c>
      <c r="FV41" s="15" t="str">
        <f>#REF!</f>
        <v>#VALUE!:noResult:No valid cells found for operation.</v>
      </c>
      <c r="FW41" s="15" t="str">
        <f>#REF!</f>
        <v>#VALUE!:noResult:No valid cells found for operation.</v>
      </c>
      <c r="FX41" s="15">
        <f>IF(Trans!R[552],"AAAAABu/1rM=",0)</f>
        <v>0</v>
      </c>
      <c r="FY41" s="15" t="b">
        <f>AND(Trans!A593,"AAAAABu/1rQ=")</f>
        <v>1</v>
      </c>
      <c r="FZ41" s="15" t="str">
        <f>AND(Trans!B593,"AAAAABu/1rU=")</f>
        <v>#VALUE!:noResult:No valid cells found for operation.</v>
      </c>
      <c r="GA41" s="15" t="b">
        <f>AND(Trans!C593,"AAAAABu/1rY=")</f>
        <v>1</v>
      </c>
      <c r="GB41" s="15" t="b">
        <f>AND(Trans!D593,"AAAAABu/1rc=")</f>
        <v>1</v>
      </c>
      <c r="GC41" s="15" t="str">
        <f>AND(Trans!E593,"AAAAABu/1rg=")</f>
        <v>#VALUE!:noResult:No valid cells found for operation.</v>
      </c>
      <c r="GD41" s="15" t="str">
        <f>AND(Trans!F593,"AAAAABu/1rk=")</f>
        <v>#VALUE!:noResult:No valid cells found for operation.</v>
      </c>
      <c r="GE41" s="15" t="str">
        <f>AND(Trans!G593,"AAAAABu/1ro=")</f>
        <v>#VALUE!:noResult:No valid cells found for operation.</v>
      </c>
      <c r="GF41" s="15" t="str">
        <f>#REF!</f>
        <v>#VALUE!:noResult:No valid cells found for operation.</v>
      </c>
      <c r="GG41" s="15" t="str">
        <f>AND(Trans!H593,"AAAAABu/1rw=")</f>
        <v>#VALUE!:noResult:No valid cells found for operation.</v>
      </c>
      <c r="GH41" s="15" t="str">
        <f>#REF!</f>
        <v>#VALUE!:noResult:No valid cells found for operation.</v>
      </c>
      <c r="GI41" s="15" t="str">
        <f>#REF!</f>
        <v>#VALUE!:noResult:No valid cells found for operation.</v>
      </c>
      <c r="GJ41" s="15" t="str">
        <f>#REF!</f>
        <v>#VALUE!:noResult:No valid cells found for operation.</v>
      </c>
      <c r="GK41" s="15" t="str">
        <f>#REF!</f>
        <v>#VALUE!:noResult:No valid cells found for operation.</v>
      </c>
      <c r="GL41" s="15" t="str">
        <f>#REF!</f>
        <v>#VALUE!:noResult:No valid cells found for operation.</v>
      </c>
      <c r="GM41" s="15" t="str">
        <f>#REF!</f>
        <v>#VALUE!:noResult:No valid cells found for operation.</v>
      </c>
      <c r="GN41" s="15">
        <f>IF(Trans!R[553],"AAAAABu/1sM=",0)</f>
        <v>0</v>
      </c>
      <c r="GO41" s="15" t="b">
        <f>AND(Trans!A594,"AAAAABu/1sQ=")</f>
        <v>1</v>
      </c>
      <c r="GP41" s="15" t="str">
        <f>AND(Trans!B594,"AAAAABu/1sU=")</f>
        <v>#VALUE!:noResult:No valid cells found for operation.</v>
      </c>
      <c r="GQ41" s="15" t="b">
        <f>AND(Trans!C594,"AAAAABu/1sY=")</f>
        <v>1</v>
      </c>
      <c r="GR41" s="15" t="b">
        <f>AND(Trans!D594,"AAAAABu/1sc=")</f>
        <v>1</v>
      </c>
      <c r="GS41" s="15" t="str">
        <f>AND(Trans!E594,"AAAAABu/1sg=")</f>
        <v>#VALUE!:noResult:No valid cells found for operation.</v>
      </c>
      <c r="GT41" s="15" t="str">
        <f>AND(Trans!F594,"AAAAABu/1sk=")</f>
        <v>#VALUE!:noResult:No valid cells found for operation.</v>
      </c>
      <c r="GU41" s="15" t="str">
        <f>AND(Trans!G594,"AAAAABu/1so=")</f>
        <v>#VALUE!:noResult:No valid cells found for operation.</v>
      </c>
      <c r="GV41" s="15" t="str">
        <f>#REF!</f>
        <v>#VALUE!:noResult:No valid cells found for operation.</v>
      </c>
      <c r="GW41" s="15" t="str">
        <f>AND(Trans!H594,"AAAAABu/1sw=")</f>
        <v>#VALUE!:noResult:No valid cells found for operation.</v>
      </c>
      <c r="GX41" s="15" t="str">
        <f>#REF!</f>
        <v>#VALUE!:noResult:No valid cells found for operation.</v>
      </c>
      <c r="GY41" s="15" t="str">
        <f>#REF!</f>
        <v>#VALUE!:noResult:No valid cells found for operation.</v>
      </c>
      <c r="GZ41" s="15" t="str">
        <f>#REF!</f>
        <v>#VALUE!:noResult:No valid cells found for operation.</v>
      </c>
      <c r="HA41" s="15" t="str">
        <f>#REF!</f>
        <v>#VALUE!:noResult:No valid cells found for operation.</v>
      </c>
      <c r="HB41" s="15" t="str">
        <f>#REF!</f>
        <v>#VALUE!:noResult:No valid cells found for operation.</v>
      </c>
      <c r="HC41" s="15" t="str">
        <f>#REF!</f>
        <v>#VALUE!:noResult:No valid cells found for operation.</v>
      </c>
      <c r="HD41" s="15">
        <f>IF(Trans!R[554],"AAAAABu/1tM=",0)</f>
        <v>0</v>
      </c>
      <c r="HE41" s="15" t="b">
        <f>AND(Trans!A595,"AAAAABu/1tQ=")</f>
        <v>1</v>
      </c>
      <c r="HF41" s="15" t="str">
        <f>AND(Trans!B595,"AAAAABu/1tU=")</f>
        <v>#VALUE!:noResult:No valid cells found for operation.</v>
      </c>
      <c r="HG41" s="15" t="b">
        <f>AND(Trans!C595,"AAAAABu/1tY=")</f>
        <v>1</v>
      </c>
      <c r="HH41" s="15" t="b">
        <f>AND(Trans!D595,"AAAAABu/1tc=")</f>
        <v>1</v>
      </c>
      <c r="HI41" s="15" t="str">
        <f>AND(Trans!E595,"AAAAABu/1tg=")</f>
        <v>#VALUE!:noResult:No valid cells found for operation.</v>
      </c>
      <c r="HJ41" s="15" t="str">
        <f>AND(Trans!F595,"AAAAABu/1tk=")</f>
        <v>#VALUE!:noResult:No valid cells found for operation.</v>
      </c>
      <c r="HK41" s="15" t="str">
        <f>AND(Trans!G595,"AAAAABu/1to=")</f>
        <v>#VALUE!:noResult:No valid cells found for operation.</v>
      </c>
      <c r="HL41" s="15" t="str">
        <f>#REF!</f>
        <v>#VALUE!:noResult:No valid cells found for operation.</v>
      </c>
      <c r="HM41" s="15" t="str">
        <f>AND(Trans!H595,"AAAAABu/1tw=")</f>
        <v>#VALUE!:noResult:No valid cells found for operation.</v>
      </c>
      <c r="HN41" s="15" t="str">
        <f>#REF!</f>
        <v>#VALUE!:noResult:No valid cells found for operation.</v>
      </c>
      <c r="HO41" s="15" t="str">
        <f>#REF!</f>
        <v>#VALUE!:noResult:No valid cells found for operation.</v>
      </c>
      <c r="HP41" s="15" t="str">
        <f>#REF!</f>
        <v>#VALUE!:noResult:No valid cells found for operation.</v>
      </c>
      <c r="HQ41" s="15" t="str">
        <f>#REF!</f>
        <v>#VALUE!:noResult:No valid cells found for operation.</v>
      </c>
      <c r="HR41" s="15" t="str">
        <f>#REF!</f>
        <v>#VALUE!:noResult:No valid cells found for operation.</v>
      </c>
      <c r="HS41" s="15" t="str">
        <f>#REF!</f>
        <v>#VALUE!:noResult:No valid cells found for operation.</v>
      </c>
      <c r="HT41" s="15">
        <f>IF(Trans!R[555],"AAAAABu/1uM=",0)</f>
        <v>0</v>
      </c>
      <c r="HU41" s="15" t="b">
        <f>AND(Trans!A596,"AAAAABu/1uQ=")</f>
        <v>1</v>
      </c>
      <c r="HV41" s="15" t="str">
        <f>AND(Trans!B596,"AAAAABu/1uU=")</f>
        <v>#VALUE!:noResult:No valid cells found for operation.</v>
      </c>
      <c r="HW41" s="15" t="b">
        <f>AND(Trans!C596,"AAAAABu/1uY=")</f>
        <v>1</v>
      </c>
      <c r="HX41" s="15" t="b">
        <f>AND(Trans!D596,"AAAAABu/1uc=")</f>
        <v>1</v>
      </c>
      <c r="HY41" s="15" t="str">
        <f>AND(Trans!E596,"AAAAABu/1ug=")</f>
        <v>#VALUE!:noResult:No valid cells found for operation.</v>
      </c>
      <c r="HZ41" s="15" t="str">
        <f>AND(Trans!F596,"AAAAABu/1uk=")</f>
        <v>#VALUE!:noResult:No valid cells found for operation.</v>
      </c>
      <c r="IA41" s="15" t="str">
        <f>AND(Trans!G596,"AAAAABu/1uo=")</f>
        <v>#VALUE!:noResult:No valid cells found for operation.</v>
      </c>
      <c r="IB41" s="15" t="str">
        <f>#REF!</f>
        <v>#VALUE!:noResult:No valid cells found for operation.</v>
      </c>
      <c r="IC41" s="15" t="str">
        <f>AND(Trans!H596,"AAAAABu/1uw=")</f>
        <v>#VALUE!:noResult:No valid cells found for operation.</v>
      </c>
      <c r="ID41" s="15" t="str">
        <f>#REF!</f>
        <v>#VALUE!:noResult:No valid cells found for operation.</v>
      </c>
      <c r="IE41" s="15" t="str">
        <f>#REF!</f>
        <v>#VALUE!:noResult:No valid cells found for operation.</v>
      </c>
      <c r="IF41" s="15" t="str">
        <f>#REF!</f>
        <v>#VALUE!:noResult:No valid cells found for operation.</v>
      </c>
      <c r="IG41" s="15" t="str">
        <f>#REF!</f>
        <v>#VALUE!:noResult:No valid cells found for operation.</v>
      </c>
      <c r="IH41" s="15" t="str">
        <f>#REF!</f>
        <v>#VALUE!:noResult:No valid cells found for operation.</v>
      </c>
      <c r="II41" s="15" t="str">
        <f>#REF!</f>
        <v>#VALUE!:noResult:No valid cells found for operation.</v>
      </c>
      <c r="IJ41" s="15">
        <f>IF(Trans!R[556],"AAAAABu/1vM=",0)</f>
        <v>0</v>
      </c>
      <c r="IK41" s="15" t="b">
        <f>AND(Trans!A597,"AAAAABu/1vQ=")</f>
        <v>1</v>
      </c>
      <c r="IL41" s="15" t="str">
        <f>AND(Trans!B597,"AAAAABu/1vU=")</f>
        <v>#VALUE!:noResult:No valid cells found for operation.</v>
      </c>
      <c r="IM41" s="15" t="b">
        <f>AND(Trans!C597,"AAAAABu/1vY=")</f>
        <v>1</v>
      </c>
      <c r="IN41" s="15" t="b">
        <f>AND(Trans!D597,"AAAAABu/1vc=")</f>
        <v>1</v>
      </c>
      <c r="IO41" s="15" t="str">
        <f>AND(Trans!E597,"AAAAABu/1vg=")</f>
        <v>#VALUE!:noResult:No valid cells found for operation.</v>
      </c>
      <c r="IP41" s="15" t="str">
        <f>AND(Trans!F597,"AAAAABu/1vk=")</f>
        <v>#VALUE!:noResult:No valid cells found for operation.</v>
      </c>
      <c r="IQ41" s="15" t="str">
        <f>AND(Trans!G597,"AAAAABu/1vo=")</f>
        <v>#VALUE!:noResult:No valid cells found for operation.</v>
      </c>
      <c r="IR41" s="15" t="str">
        <f>#REF!</f>
        <v>#VALUE!:noResult:No valid cells found for operation.</v>
      </c>
      <c r="IS41" s="15" t="str">
        <f>AND(Trans!H597,"AAAAABu/1vw=")</f>
        <v>#VALUE!:noResult:No valid cells found for operation.</v>
      </c>
      <c r="IT41" s="15" t="str">
        <f>#REF!</f>
        <v>#VALUE!:noResult:No valid cells found for operation.</v>
      </c>
      <c r="IU41" s="15" t="str">
        <f>#REF!</f>
        <v>#VALUE!:noResult:No valid cells found for operation.</v>
      </c>
      <c r="IV41" s="15" t="str">
        <f>#REF!</f>
        <v>#VALUE!:noResult:No valid cells found for operation.</v>
      </c>
    </row>
    <row r="42">
      <c r="A42" s="15" t="str">
        <f>#REF!</f>
        <v>#VALUE!:noResult:No valid cells found for operation.</v>
      </c>
      <c r="B42" s="15" t="str">
        <f>#REF!</f>
        <v>#VALUE!:noResult:No valid cells found for operation.</v>
      </c>
      <c r="C42" s="15" t="str">
        <f>#REF!</f>
        <v>#VALUE!:noResult:No valid cells found for operation.</v>
      </c>
      <c r="D42" s="15" t="str">
        <f>IF(Trans!R[556],"AAAAAHz9vwM=",0)</f>
        <v>AAAAAHz9vwM=</v>
      </c>
      <c r="E42" s="15" t="b">
        <f>AND(Trans!A598,"AAAAAHz9vwQ=")</f>
        <v>1</v>
      </c>
      <c r="F42" s="15" t="str">
        <f>AND(Trans!B598,"AAAAAHz9vwU=")</f>
        <v>#VALUE!:noResult:No valid cells found for operation.</v>
      </c>
      <c r="G42" s="15" t="b">
        <f>AND(Trans!C598,"AAAAAHz9vwY=")</f>
        <v>1</v>
      </c>
      <c r="H42" s="15" t="b">
        <f>AND(Trans!D598,"AAAAAHz9vwc=")</f>
        <v>1</v>
      </c>
      <c r="I42" s="15" t="str">
        <f>AND(Trans!E598,"AAAAAHz9vwg=")</f>
        <v>#VALUE!:noResult:No valid cells found for operation.</v>
      </c>
      <c r="J42" s="15" t="str">
        <f>AND(Trans!F598,"AAAAAHz9vwk=")</f>
        <v>#VALUE!:noResult:No valid cells found for operation.</v>
      </c>
      <c r="K42" s="15" t="str">
        <f>AND(Trans!G598,"AAAAAHz9vwo=")</f>
        <v>#VALUE!:noResult:No valid cells found for operation.</v>
      </c>
      <c r="L42" s="15" t="str">
        <f>#REF!</f>
        <v>#VALUE!:noResult:No valid cells found for operation.</v>
      </c>
      <c r="M42" s="15" t="str">
        <f>AND(Trans!H598,"AAAAAHz9vww=")</f>
        <v>#VALUE!:noResult:No valid cells found for operation.</v>
      </c>
      <c r="N42" s="15" t="str">
        <f>#REF!</f>
        <v>#VALUE!:noResult:No valid cells found for operation.</v>
      </c>
      <c r="O42" s="15" t="str">
        <f>#REF!</f>
        <v>#VALUE!:noResult:No valid cells found for operation.</v>
      </c>
      <c r="P42" s="15" t="str">
        <f>#REF!</f>
        <v>#VALUE!:noResult:No valid cells found for operation.</v>
      </c>
      <c r="Q42" s="15" t="str">
        <f>#REF!</f>
        <v>#VALUE!:noResult:No valid cells found for operation.</v>
      </c>
      <c r="R42" s="15" t="str">
        <f>#REF!</f>
        <v>#VALUE!:noResult:No valid cells found for operation.</v>
      </c>
      <c r="S42" s="15" t="str">
        <f>#REF!</f>
        <v>#VALUE!:noResult:No valid cells found for operation.</v>
      </c>
      <c r="T42" s="15">
        <f>IF(Trans!R[557],"AAAAAHz9vxM=",0)</f>
        <v>0</v>
      </c>
      <c r="U42" s="15" t="b">
        <f>AND(Trans!A599,"AAAAAHz9vxQ=")</f>
        <v>1</v>
      </c>
      <c r="V42" s="15" t="str">
        <f>AND(Trans!B599,"AAAAAHz9vxU=")</f>
        <v>#VALUE!:noResult:No valid cells found for operation.</v>
      </c>
      <c r="W42" s="15" t="b">
        <f>AND(Trans!C599,"AAAAAHz9vxY=")</f>
        <v>1</v>
      </c>
      <c r="X42" s="15" t="b">
        <f>AND(Trans!D599,"AAAAAHz9vxc=")</f>
        <v>1</v>
      </c>
      <c r="Y42" s="15" t="str">
        <f>AND(Trans!E599,"AAAAAHz9vxg=")</f>
        <v>#VALUE!:noResult:No valid cells found for operation.</v>
      </c>
      <c r="Z42" s="15" t="str">
        <f>AND(Trans!F599,"AAAAAHz9vxk=")</f>
        <v>#VALUE!:noResult:No valid cells found for operation.</v>
      </c>
      <c r="AA42" s="15" t="str">
        <f>AND(Trans!G599,"AAAAAHz9vxo=")</f>
        <v>#VALUE!:noResult:No valid cells found for operation.</v>
      </c>
      <c r="AB42" s="15" t="str">
        <f>#REF!</f>
        <v>#VALUE!:noResult:No valid cells found for operation.</v>
      </c>
      <c r="AC42" s="15" t="str">
        <f>AND(Trans!H599,"AAAAAHz9vxw=")</f>
        <v>#VALUE!:noResult:No valid cells found for operation.</v>
      </c>
      <c r="AD42" s="15" t="str">
        <f>#REF!</f>
        <v>#VALUE!:noResult:No valid cells found for operation.</v>
      </c>
      <c r="AE42" s="15" t="str">
        <f>#REF!</f>
        <v>#VALUE!:noResult:No valid cells found for operation.</v>
      </c>
      <c r="AF42" s="15" t="str">
        <f>#REF!</f>
        <v>#VALUE!:noResult:No valid cells found for operation.</v>
      </c>
      <c r="AG42" s="15" t="str">
        <f>#REF!</f>
        <v>#VALUE!:noResult:No valid cells found for operation.</v>
      </c>
      <c r="AH42" s="15" t="str">
        <f>#REF!</f>
        <v>#VALUE!:noResult:No valid cells found for operation.</v>
      </c>
      <c r="AI42" s="15" t="str">
        <f>#REF!</f>
        <v>#VALUE!:noResult:No valid cells found for operation.</v>
      </c>
      <c r="AJ42" s="15">
        <f>IF(Trans!R[558],"AAAAAHz9vyM=",0)</f>
        <v>0</v>
      </c>
      <c r="AK42" s="15" t="b">
        <f>AND(Trans!A600,"AAAAAHz9vyQ=")</f>
        <v>1</v>
      </c>
      <c r="AL42" s="15" t="str">
        <f>AND(Trans!B600,"AAAAAHz9vyU=")</f>
        <v>#VALUE!:noResult:No valid cells found for operation.</v>
      </c>
      <c r="AM42" s="15" t="b">
        <f>AND(Trans!C600,"AAAAAHz9vyY=")</f>
        <v>1</v>
      </c>
      <c r="AN42" s="15" t="b">
        <f>AND(Trans!D600,"AAAAAHz9vyc=")</f>
        <v>1</v>
      </c>
      <c r="AO42" s="15" t="str">
        <f>AND(Trans!E600,"AAAAAHz9vyg=")</f>
        <v>#VALUE!:noResult:No valid cells found for operation.</v>
      </c>
      <c r="AP42" s="15" t="str">
        <f>AND(Trans!F600,"AAAAAHz9vyk=")</f>
        <v>#VALUE!:noResult:No valid cells found for operation.</v>
      </c>
      <c r="AQ42" s="15" t="str">
        <f>AND(Trans!G600,"AAAAAHz9vyo=")</f>
        <v>#VALUE!:noResult:No valid cells found for operation.</v>
      </c>
      <c r="AR42" s="15" t="str">
        <f>#REF!</f>
        <v>#VALUE!:noResult:No valid cells found for operation.</v>
      </c>
      <c r="AS42" s="15" t="str">
        <f>AND(Trans!H600,"AAAAAHz9vyw=")</f>
        <v>#VALUE!:noResult:No valid cells found for operation.</v>
      </c>
      <c r="AT42" s="15" t="str">
        <f>#REF!</f>
        <v>#VALUE!:noResult:No valid cells found for operation.</v>
      </c>
      <c r="AU42" s="15" t="str">
        <f>#REF!</f>
        <v>#VALUE!:noResult:No valid cells found for operation.</v>
      </c>
      <c r="AV42" s="15" t="str">
        <f>#REF!</f>
        <v>#VALUE!:noResult:No valid cells found for operation.</v>
      </c>
      <c r="AW42" s="15" t="str">
        <f>#REF!</f>
        <v>#VALUE!:noResult:No valid cells found for operation.</v>
      </c>
      <c r="AX42" s="15" t="str">
        <f>#REF!</f>
        <v>#VALUE!:noResult:No valid cells found for operation.</v>
      </c>
      <c r="AY42" s="15" t="str">
        <f>#REF!</f>
        <v>#VALUE!:noResult:No valid cells found for operation.</v>
      </c>
      <c r="AZ42" s="15">
        <f>IF(Trans!R[559],"AAAAAHz9vzM=",0)</f>
        <v>0</v>
      </c>
      <c r="BA42" s="15" t="b">
        <f>AND(Trans!A601,"AAAAAHz9vzQ=")</f>
        <v>1</v>
      </c>
      <c r="BB42" s="15" t="str">
        <f>AND(Trans!B601,"AAAAAHz9vzU=")</f>
        <v>#VALUE!:noResult:No valid cells found for operation.</v>
      </c>
      <c r="BC42" s="15" t="b">
        <f>AND(Trans!C601,"AAAAAHz9vzY=")</f>
        <v>1</v>
      </c>
      <c r="BD42" s="15" t="b">
        <f>AND(Trans!D601,"AAAAAHz9vzc=")</f>
        <v>1</v>
      </c>
      <c r="BE42" s="15" t="str">
        <f>AND(Trans!E601,"AAAAAHz9vzg=")</f>
        <v>#VALUE!:noResult:No valid cells found for operation.</v>
      </c>
      <c r="BF42" s="15" t="str">
        <f>AND(Trans!F601,"AAAAAHz9vzk=")</f>
        <v>#VALUE!:noResult:No valid cells found for operation.</v>
      </c>
      <c r="BG42" s="15" t="str">
        <f>AND(Trans!G601,"AAAAAHz9vzo=")</f>
        <v>#VALUE!:noResult:No valid cells found for operation.</v>
      </c>
      <c r="BH42" s="15" t="str">
        <f>#REF!</f>
        <v>#VALUE!:noResult:No valid cells found for operation.</v>
      </c>
      <c r="BI42" s="15" t="str">
        <f>AND(Trans!H601,"AAAAAHz9vzw=")</f>
        <v>#VALUE!:noResult:No valid cells found for operation.</v>
      </c>
      <c r="BJ42" s="15" t="str">
        <f>#REF!</f>
        <v>#VALUE!:noResult:No valid cells found for operation.</v>
      </c>
      <c r="BK42" s="15" t="str">
        <f>#REF!</f>
        <v>#VALUE!:noResult:No valid cells found for operation.</v>
      </c>
      <c r="BL42" s="15" t="str">
        <f>#REF!</f>
        <v>#VALUE!:noResult:No valid cells found for operation.</v>
      </c>
      <c r="BM42" s="15" t="str">
        <f>#REF!</f>
        <v>#VALUE!:noResult:No valid cells found for operation.</v>
      </c>
      <c r="BN42" s="15" t="str">
        <f>#REF!</f>
        <v>#VALUE!:noResult:No valid cells found for operation.</v>
      </c>
      <c r="BO42" s="15" t="str">
        <f>#REF!</f>
        <v>#VALUE!:noResult:No valid cells found for operation.</v>
      </c>
      <c r="BP42" s="15">
        <f>IF(Trans!R[560],"AAAAAHz9v0M=",0)</f>
        <v>0</v>
      </c>
      <c r="BQ42" s="15" t="b">
        <f>AND(Trans!A602,"AAAAAHz9v0Q=")</f>
        <v>1</v>
      </c>
      <c r="BR42" s="15" t="str">
        <f>AND(Trans!B602,"AAAAAHz9v0U=")</f>
        <v>#VALUE!:noResult:No valid cells found for operation.</v>
      </c>
      <c r="BS42" s="15" t="b">
        <f>AND(Trans!C602,"AAAAAHz9v0Y=")</f>
        <v>1</v>
      </c>
      <c r="BT42" s="15" t="b">
        <f>AND(Trans!D602,"AAAAAHz9v0c=")</f>
        <v>1</v>
      </c>
      <c r="BU42" s="15" t="str">
        <f>AND(Trans!E602,"AAAAAHz9v0g=")</f>
        <v>#VALUE!:noResult:No valid cells found for operation.</v>
      </c>
      <c r="BV42" s="15" t="str">
        <f>AND(Trans!F602,"AAAAAHz9v0k=")</f>
        <v>#VALUE!:noResult:No valid cells found for operation.</v>
      </c>
      <c r="BW42" s="15" t="str">
        <f>AND(Trans!G602,"AAAAAHz9v0o=")</f>
        <v>#VALUE!:noResult:No valid cells found for operation.</v>
      </c>
      <c r="BX42" s="15" t="str">
        <f>#REF!</f>
        <v>#VALUE!:noResult:No valid cells found for operation.</v>
      </c>
      <c r="BY42" s="15" t="str">
        <f>AND(Trans!H602,"AAAAAHz9v0w=")</f>
        <v>#VALUE!:noResult:No valid cells found for operation.</v>
      </c>
      <c r="BZ42" s="15" t="str">
        <f>#REF!</f>
        <v>#VALUE!:noResult:No valid cells found for operation.</v>
      </c>
      <c r="CA42" s="15" t="str">
        <f>#REF!</f>
        <v>#VALUE!:noResult:No valid cells found for operation.</v>
      </c>
      <c r="CB42" s="15" t="str">
        <f>#REF!</f>
        <v>#VALUE!:noResult:No valid cells found for operation.</v>
      </c>
      <c r="CC42" s="15" t="str">
        <f>#REF!</f>
        <v>#VALUE!:noResult:No valid cells found for operation.</v>
      </c>
      <c r="CD42" s="15" t="str">
        <f>#REF!</f>
        <v>#VALUE!:noResult:No valid cells found for operation.</v>
      </c>
      <c r="CE42" s="15" t="str">
        <f>#REF!</f>
        <v>#VALUE!:noResult:No valid cells found for operation.</v>
      </c>
      <c r="CF42" s="15">
        <f>IF(Trans!R[561],"AAAAAHz9v1M=",0)</f>
        <v>0</v>
      </c>
      <c r="CG42" s="15" t="b">
        <f>AND(Trans!A603,"AAAAAHz9v1Q=")</f>
        <v>1</v>
      </c>
      <c r="CH42" s="15" t="str">
        <f>AND(Trans!B603,"AAAAAHz9v1U=")</f>
        <v>#VALUE!:noResult:No valid cells found for operation.</v>
      </c>
      <c r="CI42" s="15" t="b">
        <f>AND(Trans!C603,"AAAAAHz9v1Y=")</f>
        <v>1</v>
      </c>
      <c r="CJ42" s="15" t="b">
        <f>AND(Trans!D603,"AAAAAHz9v1c=")</f>
        <v>1</v>
      </c>
      <c r="CK42" s="15" t="str">
        <f>AND(Trans!E603,"AAAAAHz9v1g=")</f>
        <v>#VALUE!:noResult:No valid cells found for operation.</v>
      </c>
      <c r="CL42" s="15" t="str">
        <f>AND(Trans!F603,"AAAAAHz9v1k=")</f>
        <v>#VALUE!:noResult:No valid cells found for operation.</v>
      </c>
      <c r="CM42" s="15" t="str">
        <f>AND(Trans!G603,"AAAAAHz9v1o=")</f>
        <v>#VALUE!:noResult:No valid cells found for operation.</v>
      </c>
      <c r="CN42" s="15" t="str">
        <f>#REF!</f>
        <v>#VALUE!:noResult:No valid cells found for operation.</v>
      </c>
      <c r="CO42" s="15" t="str">
        <f>AND(Trans!H603,"AAAAAHz9v1w=")</f>
        <v>#VALUE!:noResult:No valid cells found for operation.</v>
      </c>
      <c r="CP42" s="15" t="str">
        <f>#REF!</f>
        <v>#VALUE!:noResult:No valid cells found for operation.</v>
      </c>
      <c r="CQ42" s="15" t="str">
        <f>#REF!</f>
        <v>#VALUE!:noResult:No valid cells found for operation.</v>
      </c>
      <c r="CR42" s="15" t="str">
        <f>#REF!</f>
        <v>#VALUE!:noResult:No valid cells found for operation.</v>
      </c>
      <c r="CS42" s="15" t="str">
        <f>#REF!</f>
        <v>#VALUE!:noResult:No valid cells found for operation.</v>
      </c>
      <c r="CT42" s="15" t="str">
        <f>#REF!</f>
        <v>#VALUE!:noResult:No valid cells found for operation.</v>
      </c>
      <c r="CU42" s="15" t="str">
        <f>#REF!</f>
        <v>#VALUE!:noResult:No valid cells found for operation.</v>
      </c>
      <c r="CV42" s="15">
        <f>IF(Trans!R[562],"AAAAAHz9v2M=",0)</f>
        <v>0</v>
      </c>
      <c r="CW42" s="15" t="b">
        <f>AND(Trans!A604,"AAAAAHz9v2Q=")</f>
        <v>1</v>
      </c>
      <c r="CX42" s="15" t="str">
        <f>AND(Trans!B604,"AAAAAHz9v2U=")</f>
        <v>#VALUE!:noResult:No valid cells found for operation.</v>
      </c>
      <c r="CY42" s="15" t="b">
        <f>AND(Trans!C604,"AAAAAHz9v2Y=")</f>
        <v>1</v>
      </c>
      <c r="CZ42" s="15" t="b">
        <f>AND(Trans!D604,"AAAAAHz9v2c=")</f>
        <v>1</v>
      </c>
      <c r="DA42" s="15" t="str">
        <f>AND(Trans!E604,"AAAAAHz9v2g=")</f>
        <v>#VALUE!:noResult:No valid cells found for operation.</v>
      </c>
      <c r="DB42" s="15" t="str">
        <f>AND(Trans!F604,"AAAAAHz9v2k=")</f>
        <v>#VALUE!:noResult:No valid cells found for operation.</v>
      </c>
      <c r="DC42" s="15" t="str">
        <f>AND(Trans!G604,"AAAAAHz9v2o=")</f>
        <v>#VALUE!:noResult:No valid cells found for operation.</v>
      </c>
      <c r="DD42" s="15" t="str">
        <f>#REF!</f>
        <v>#VALUE!:noResult:No valid cells found for operation.</v>
      </c>
      <c r="DE42" s="15" t="str">
        <f>AND(Trans!H604,"AAAAAHz9v2w=")</f>
        <v>#VALUE!:noResult:No valid cells found for operation.</v>
      </c>
      <c r="DF42" s="15" t="str">
        <f>#REF!</f>
        <v>#VALUE!:noResult:No valid cells found for operation.</v>
      </c>
      <c r="DG42" s="15" t="str">
        <f>#REF!</f>
        <v>#VALUE!:noResult:No valid cells found for operation.</v>
      </c>
      <c r="DH42" s="15" t="str">
        <f>#REF!</f>
        <v>#VALUE!:noResult:No valid cells found for operation.</v>
      </c>
      <c r="DI42" s="15" t="str">
        <f>#REF!</f>
        <v>#VALUE!:noResult:No valid cells found for operation.</v>
      </c>
      <c r="DJ42" s="15" t="str">
        <f>#REF!</f>
        <v>#VALUE!:noResult:No valid cells found for operation.</v>
      </c>
      <c r="DK42" s="15" t="str">
        <f>#REF!</f>
        <v>#VALUE!:noResult:No valid cells found for operation.</v>
      </c>
      <c r="DL42" s="15">
        <f>IF(Trans!R[563],"AAAAAHz9v3M=",0)</f>
        <v>0</v>
      </c>
      <c r="DM42" s="15" t="b">
        <f>AND(Trans!A605,"AAAAAHz9v3Q=")</f>
        <v>1</v>
      </c>
      <c r="DN42" s="15" t="str">
        <f>AND(Trans!B605,"AAAAAHz9v3U=")</f>
        <v>#VALUE!:noResult:No valid cells found for operation.</v>
      </c>
      <c r="DO42" s="15" t="b">
        <f>AND(Trans!C605,"AAAAAHz9v3Y=")</f>
        <v>1</v>
      </c>
      <c r="DP42" s="15" t="b">
        <f>AND(Trans!D605,"AAAAAHz9v3c=")</f>
        <v>1</v>
      </c>
      <c r="DQ42" s="15" t="str">
        <f>AND(Trans!E605,"AAAAAHz9v3g=")</f>
        <v>#VALUE!:noResult:No valid cells found for operation.</v>
      </c>
      <c r="DR42" s="15" t="str">
        <f>AND(Trans!F605,"AAAAAHz9v3k=")</f>
        <v>#VALUE!:noResult:No valid cells found for operation.</v>
      </c>
      <c r="DS42" s="15" t="str">
        <f>AND(Trans!G605,"AAAAAHz9v3o=")</f>
        <v>#VALUE!:noResult:No valid cells found for operation.</v>
      </c>
      <c r="DT42" s="15" t="str">
        <f>#REF!</f>
        <v>#VALUE!:noResult:No valid cells found for operation.</v>
      </c>
      <c r="DU42" s="15" t="str">
        <f>AND(Trans!H605,"AAAAAHz9v3w=")</f>
        <v>#VALUE!:noResult:No valid cells found for operation.</v>
      </c>
      <c r="DV42" s="15" t="str">
        <f>#REF!</f>
        <v>#VALUE!:noResult:No valid cells found for operation.</v>
      </c>
      <c r="DW42" s="15" t="str">
        <f>#REF!</f>
        <v>#VALUE!:noResult:No valid cells found for operation.</v>
      </c>
      <c r="DX42" s="15" t="str">
        <f>#REF!</f>
        <v>#VALUE!:noResult:No valid cells found for operation.</v>
      </c>
      <c r="DY42" s="15" t="str">
        <f>#REF!</f>
        <v>#VALUE!:noResult:No valid cells found for operation.</v>
      </c>
      <c r="DZ42" s="15" t="str">
        <f>#REF!</f>
        <v>#VALUE!:noResult:No valid cells found for operation.</v>
      </c>
      <c r="EA42" s="15" t="str">
        <f>#REF!</f>
        <v>#VALUE!:noResult:No valid cells found for operation.</v>
      </c>
      <c r="EB42" s="15">
        <f>IF(Trans!R[564],"AAAAAHz9v4M=",0)</f>
        <v>0</v>
      </c>
      <c r="EC42" s="15" t="b">
        <f>AND(Trans!A606,"AAAAAHz9v4Q=")</f>
        <v>1</v>
      </c>
      <c r="ED42" s="15" t="str">
        <f>AND(Trans!B606,"AAAAAHz9v4U=")</f>
        <v>#VALUE!:noResult:No valid cells found for operation.</v>
      </c>
      <c r="EE42" s="15" t="b">
        <f>AND(Trans!C606,"AAAAAHz9v4Y=")</f>
        <v>1</v>
      </c>
      <c r="EF42" s="15" t="b">
        <f>AND(Trans!D606,"AAAAAHz9v4c=")</f>
        <v>1</v>
      </c>
      <c r="EG42" s="15" t="str">
        <f>AND(Trans!E606,"AAAAAHz9v4g=")</f>
        <v>#VALUE!:noResult:No valid cells found for operation.</v>
      </c>
      <c r="EH42" s="15" t="str">
        <f>AND(Trans!F606,"AAAAAHz9v4k=")</f>
        <v>#VALUE!:noResult:No valid cells found for operation.</v>
      </c>
      <c r="EI42" s="15" t="str">
        <f>AND(Trans!G606,"AAAAAHz9v4o=")</f>
        <v>#VALUE!:noResult:No valid cells found for operation.</v>
      </c>
      <c r="EJ42" s="15" t="str">
        <f>#REF!</f>
        <v>#VALUE!:noResult:No valid cells found for operation.</v>
      </c>
      <c r="EK42" s="15" t="str">
        <f>AND(Trans!H606,"AAAAAHz9v4w=")</f>
        <v>#VALUE!:noResult:No valid cells found for operation.</v>
      </c>
      <c r="EL42" s="15" t="str">
        <f>#REF!</f>
        <v>#VALUE!:noResult:No valid cells found for operation.</v>
      </c>
      <c r="EM42" s="15" t="str">
        <f>#REF!</f>
        <v>#VALUE!:noResult:No valid cells found for operation.</v>
      </c>
      <c r="EN42" s="15" t="str">
        <f>#REF!</f>
        <v>#VALUE!:noResult:No valid cells found for operation.</v>
      </c>
      <c r="EO42" s="15" t="str">
        <f>#REF!</f>
        <v>#VALUE!:noResult:No valid cells found for operation.</v>
      </c>
      <c r="EP42" s="15" t="str">
        <f>#REF!</f>
        <v>#VALUE!:noResult:No valid cells found for operation.</v>
      </c>
      <c r="EQ42" s="15" t="str">
        <f>#REF!</f>
        <v>#VALUE!:noResult:No valid cells found for operation.</v>
      </c>
      <c r="ER42" s="15">
        <f>IF(Trans!R[565],"AAAAAHz9v5M=",0)</f>
        <v>0</v>
      </c>
      <c r="ES42" s="15" t="b">
        <f>AND(Trans!A607,"AAAAAHz9v5Q=")</f>
        <v>1</v>
      </c>
      <c r="ET42" s="15" t="str">
        <f>AND(Trans!B607,"AAAAAHz9v5U=")</f>
        <v>#VALUE!:noResult:No valid cells found for operation.</v>
      </c>
      <c r="EU42" s="15" t="b">
        <f>AND(Trans!C607,"AAAAAHz9v5Y=")</f>
        <v>1</v>
      </c>
      <c r="EV42" s="15" t="b">
        <f>AND(Trans!D607,"AAAAAHz9v5c=")</f>
        <v>1</v>
      </c>
      <c r="EW42" s="15" t="str">
        <f>AND(Trans!E607,"AAAAAHz9v5g=")</f>
        <v>#VALUE!:noResult:No valid cells found for operation.</v>
      </c>
      <c r="EX42" s="15" t="str">
        <f>AND(Trans!F607,"AAAAAHz9v5k=")</f>
        <v>#VALUE!:noResult:No valid cells found for operation.</v>
      </c>
      <c r="EY42" s="15" t="str">
        <f>AND(Trans!G607,"AAAAAHz9v5o=")</f>
        <v>#VALUE!:noResult:No valid cells found for operation.</v>
      </c>
      <c r="EZ42" s="15" t="str">
        <f>#REF!</f>
        <v>#VALUE!:noResult:No valid cells found for operation.</v>
      </c>
      <c r="FA42" s="15" t="str">
        <f>AND(Trans!H607,"AAAAAHz9v5w=")</f>
        <v>#VALUE!:noResult:No valid cells found for operation.</v>
      </c>
      <c r="FB42" s="15" t="str">
        <f>#REF!</f>
        <v>#VALUE!:noResult:No valid cells found for operation.</v>
      </c>
      <c r="FC42" s="15" t="str">
        <f>#REF!</f>
        <v>#VALUE!:noResult:No valid cells found for operation.</v>
      </c>
      <c r="FD42" s="15" t="str">
        <f>#REF!</f>
        <v>#VALUE!:noResult:No valid cells found for operation.</v>
      </c>
      <c r="FE42" s="15" t="str">
        <f>#REF!</f>
        <v>#VALUE!:noResult:No valid cells found for operation.</v>
      </c>
      <c r="FF42" s="15" t="str">
        <f>#REF!</f>
        <v>#VALUE!:noResult:No valid cells found for operation.</v>
      </c>
      <c r="FG42" s="15" t="str">
        <f>#REF!</f>
        <v>#VALUE!:noResult:No valid cells found for operation.</v>
      </c>
      <c r="FH42" s="15">
        <f>IF(Trans!R[566],"AAAAAHz9v6M=",0)</f>
        <v>0</v>
      </c>
      <c r="FI42" s="15" t="b">
        <f>AND(Trans!A608,"AAAAAHz9v6Q=")</f>
        <v>1</v>
      </c>
      <c r="FJ42" s="15" t="str">
        <f>AND(Trans!B608,"AAAAAHz9v6U=")</f>
        <v>#VALUE!:noResult:No valid cells found for operation.</v>
      </c>
      <c r="FK42" s="15" t="b">
        <f>AND(Trans!C608,"AAAAAHz9v6Y=")</f>
        <v>1</v>
      </c>
      <c r="FL42" s="15" t="b">
        <f>AND(Trans!D608,"AAAAAHz9v6c=")</f>
        <v>1</v>
      </c>
      <c r="FM42" s="15" t="str">
        <f>AND(Trans!E608,"AAAAAHz9v6g=")</f>
        <v>#VALUE!:noResult:No valid cells found for operation.</v>
      </c>
      <c r="FN42" s="15" t="str">
        <f>AND(Trans!F608,"AAAAAHz9v6k=")</f>
        <v>#VALUE!:noResult:No valid cells found for operation.</v>
      </c>
      <c r="FO42" s="15" t="str">
        <f>AND(Trans!G608,"AAAAAHz9v6o=")</f>
        <v>#VALUE!:noResult:No valid cells found for operation.</v>
      </c>
      <c r="FP42" s="15" t="str">
        <f>#REF!</f>
        <v>#VALUE!:noResult:No valid cells found for operation.</v>
      </c>
      <c r="FQ42" s="15" t="str">
        <f>AND(Trans!H608,"AAAAAHz9v6w=")</f>
        <v>#VALUE!:noResult:No valid cells found for operation.</v>
      </c>
      <c r="FR42" s="15" t="str">
        <f>#REF!</f>
        <v>#VALUE!:noResult:No valid cells found for operation.</v>
      </c>
      <c r="FS42" s="15" t="str">
        <f>#REF!</f>
        <v>#VALUE!:noResult:No valid cells found for operation.</v>
      </c>
      <c r="FT42" s="15" t="str">
        <f>#REF!</f>
        <v>#VALUE!:noResult:No valid cells found for operation.</v>
      </c>
      <c r="FU42" s="15" t="str">
        <f>#REF!</f>
        <v>#VALUE!:noResult:No valid cells found for operation.</v>
      </c>
      <c r="FV42" s="15" t="str">
        <f>#REF!</f>
        <v>#VALUE!:noResult:No valid cells found for operation.</v>
      </c>
      <c r="FW42" s="15" t="str">
        <f>#REF!</f>
        <v>#VALUE!:noResult:No valid cells found for operation.</v>
      </c>
      <c r="FX42" s="15">
        <f>IF(Trans!R[567],"AAAAAHz9v7M=",0)</f>
        <v>0</v>
      </c>
      <c r="FY42" s="15" t="b">
        <f>AND(Trans!A609,"AAAAAHz9v7Q=")</f>
        <v>1</v>
      </c>
      <c r="FZ42" s="15" t="str">
        <f>AND(Trans!B609,"AAAAAHz9v7U=")</f>
        <v>#VALUE!:noResult:No valid cells found for operation.</v>
      </c>
      <c r="GA42" s="15" t="b">
        <f>AND(Trans!C609,"AAAAAHz9v7Y=")</f>
        <v>1</v>
      </c>
      <c r="GB42" s="15" t="b">
        <f>AND(Trans!D609,"AAAAAHz9v7c=")</f>
        <v>1</v>
      </c>
      <c r="GC42" s="15" t="str">
        <f>AND(Trans!E609,"AAAAAHz9v7g=")</f>
        <v>#VALUE!:noResult:No valid cells found for operation.</v>
      </c>
      <c r="GD42" s="15" t="str">
        <f>AND(Trans!F609,"AAAAAHz9v7k=")</f>
        <v>#VALUE!:noResult:No valid cells found for operation.</v>
      </c>
      <c r="GE42" s="15" t="str">
        <f>AND(Trans!G609,"AAAAAHz9v7o=")</f>
        <v>#VALUE!:noResult:No valid cells found for operation.</v>
      </c>
      <c r="GF42" s="15" t="str">
        <f>#REF!</f>
        <v>#VALUE!:noResult:No valid cells found for operation.</v>
      </c>
      <c r="GG42" s="15" t="str">
        <f>AND(Trans!H609,"AAAAAHz9v7w=")</f>
        <v>#VALUE!:noResult:No valid cells found for operation.</v>
      </c>
      <c r="GH42" s="15" t="str">
        <f>#REF!</f>
        <v>#VALUE!:noResult:No valid cells found for operation.</v>
      </c>
      <c r="GI42" s="15" t="str">
        <f>#REF!</f>
        <v>#VALUE!:noResult:No valid cells found for operation.</v>
      </c>
      <c r="GJ42" s="15" t="str">
        <f>#REF!</f>
        <v>#VALUE!:noResult:No valid cells found for operation.</v>
      </c>
      <c r="GK42" s="15" t="str">
        <f>#REF!</f>
        <v>#VALUE!:noResult:No valid cells found for operation.</v>
      </c>
      <c r="GL42" s="15" t="str">
        <f>#REF!</f>
        <v>#VALUE!:noResult:No valid cells found for operation.</v>
      </c>
      <c r="GM42" s="15" t="str">
        <f>#REF!</f>
        <v>#VALUE!:noResult:No valid cells found for operation.</v>
      </c>
      <c r="GN42" s="15">
        <f>IF(Trans!R[568],"AAAAAHz9v8M=",0)</f>
        <v>0</v>
      </c>
      <c r="GO42" s="15" t="b">
        <f>AND(Trans!A610,"AAAAAHz9v8Q=")</f>
        <v>1</v>
      </c>
      <c r="GP42" s="15" t="str">
        <f>AND(Trans!B610,"AAAAAHz9v8U=")</f>
        <v>#VALUE!:noResult:No valid cells found for operation.</v>
      </c>
      <c r="GQ42" s="15" t="b">
        <f>AND(Trans!C610,"AAAAAHz9v8Y=")</f>
        <v>1</v>
      </c>
      <c r="GR42" s="15" t="b">
        <f>AND(Trans!D610,"AAAAAHz9v8c=")</f>
        <v>1</v>
      </c>
      <c r="GS42" s="15" t="str">
        <f>AND(Trans!E610,"AAAAAHz9v8g=")</f>
        <v>#VALUE!:noResult:No valid cells found for operation.</v>
      </c>
      <c r="GT42" s="15" t="str">
        <f>AND(Trans!F610,"AAAAAHz9v8k=")</f>
        <v>#VALUE!:noResult:No valid cells found for operation.</v>
      </c>
      <c r="GU42" s="15" t="str">
        <f>AND(Trans!G610,"AAAAAHz9v8o=")</f>
        <v>#VALUE!:noResult:No valid cells found for operation.</v>
      </c>
      <c r="GV42" s="15" t="str">
        <f>#REF!</f>
        <v>#VALUE!:noResult:No valid cells found for operation.</v>
      </c>
      <c r="GW42" s="15" t="str">
        <f>AND(Trans!H610,"AAAAAHz9v8w=")</f>
        <v>#VALUE!:noResult:No valid cells found for operation.</v>
      </c>
      <c r="GX42" s="15" t="str">
        <f>#REF!</f>
        <v>#VALUE!:noResult:No valid cells found for operation.</v>
      </c>
      <c r="GY42" s="15" t="str">
        <f>#REF!</f>
        <v>#VALUE!:noResult:No valid cells found for operation.</v>
      </c>
      <c r="GZ42" s="15" t="str">
        <f>#REF!</f>
        <v>#VALUE!:noResult:No valid cells found for operation.</v>
      </c>
      <c r="HA42" s="15" t="str">
        <f>#REF!</f>
        <v>#VALUE!:noResult:No valid cells found for operation.</v>
      </c>
      <c r="HB42" s="15" t="str">
        <f>#REF!</f>
        <v>#VALUE!:noResult:No valid cells found for operation.</v>
      </c>
      <c r="HC42" s="15" t="str">
        <f>#REF!</f>
        <v>#VALUE!:noResult:No valid cells found for operation.</v>
      </c>
      <c r="HD42" s="15">
        <f>IF(Trans!R[569],"AAAAAHz9v9M=",0)</f>
        <v>0</v>
      </c>
      <c r="HE42" s="15" t="b">
        <f>AND(Trans!A611,"AAAAAHz9v9Q=")</f>
        <v>1</v>
      </c>
      <c r="HF42" s="15" t="str">
        <f>AND(Trans!B611,"AAAAAHz9v9U=")</f>
        <v>#VALUE!:noResult:No valid cells found for operation.</v>
      </c>
      <c r="HG42" s="15" t="b">
        <f>AND(Trans!C611,"AAAAAHz9v9Y=")</f>
        <v>1</v>
      </c>
      <c r="HH42" s="15" t="b">
        <f>AND(Trans!D611,"AAAAAHz9v9c=")</f>
        <v>1</v>
      </c>
      <c r="HI42" s="15" t="str">
        <f>AND(Trans!E611,"AAAAAHz9v9g=")</f>
        <v>#VALUE!:noResult:No valid cells found for operation.</v>
      </c>
      <c r="HJ42" s="15" t="str">
        <f>AND(Trans!F611,"AAAAAHz9v9k=")</f>
        <v>#VALUE!:noResult:No valid cells found for operation.</v>
      </c>
      <c r="HK42" s="15" t="str">
        <f>AND(Trans!G611,"AAAAAHz9v9o=")</f>
        <v>#VALUE!:noResult:No valid cells found for operation.</v>
      </c>
      <c r="HL42" s="15" t="str">
        <f>#REF!</f>
        <v>#VALUE!:noResult:No valid cells found for operation.</v>
      </c>
      <c r="HM42" s="15" t="str">
        <f>AND(Trans!H611,"AAAAAHz9v9w=")</f>
        <v>#VALUE!:noResult:No valid cells found for operation.</v>
      </c>
      <c r="HN42" s="15" t="str">
        <f>#REF!</f>
        <v>#VALUE!:noResult:No valid cells found for operation.</v>
      </c>
      <c r="HO42" s="15" t="str">
        <f>#REF!</f>
        <v>#VALUE!:noResult:No valid cells found for operation.</v>
      </c>
      <c r="HP42" s="15" t="str">
        <f>#REF!</f>
        <v>#VALUE!:noResult:No valid cells found for operation.</v>
      </c>
      <c r="HQ42" s="15" t="str">
        <f>#REF!</f>
        <v>#VALUE!:noResult:No valid cells found for operation.</v>
      </c>
      <c r="HR42" s="15" t="str">
        <f>#REF!</f>
        <v>#VALUE!:noResult:No valid cells found for operation.</v>
      </c>
      <c r="HS42" s="15" t="str">
        <f>#REF!</f>
        <v>#VALUE!:noResult:No valid cells found for operation.</v>
      </c>
      <c r="HT42" s="15">
        <f>IF(Trans!R[570],"AAAAAHz9v+M=",0)</f>
        <v>0</v>
      </c>
      <c r="HU42" s="15" t="b">
        <f>AND(Trans!A612,"AAAAAHz9v+Q=")</f>
        <v>1</v>
      </c>
      <c r="HV42" s="15" t="str">
        <f>AND(Trans!B612,"AAAAAHz9v+U=")</f>
        <v>#VALUE!:noResult:No valid cells found for operation.</v>
      </c>
      <c r="HW42" s="15" t="b">
        <f>AND(Trans!C612,"AAAAAHz9v+Y=")</f>
        <v>1</v>
      </c>
      <c r="HX42" s="15" t="b">
        <f>AND(Trans!D612,"AAAAAHz9v+c=")</f>
        <v>1</v>
      </c>
      <c r="HY42" s="15" t="str">
        <f>AND(Trans!E612,"AAAAAHz9v+g=")</f>
        <v>#VALUE!:noResult:No valid cells found for operation.</v>
      </c>
      <c r="HZ42" s="15" t="str">
        <f>AND(Trans!F612,"AAAAAHz9v+k=")</f>
        <v>#VALUE!:noResult:No valid cells found for operation.</v>
      </c>
      <c r="IA42" s="15" t="str">
        <f>AND(Trans!G612,"AAAAAHz9v+o=")</f>
        <v>#VALUE!:noResult:No valid cells found for operation.</v>
      </c>
      <c r="IB42" s="15" t="str">
        <f>#REF!</f>
        <v>#VALUE!:noResult:No valid cells found for operation.</v>
      </c>
      <c r="IC42" s="15" t="str">
        <f>AND(Trans!H612,"AAAAAHz9v+w=")</f>
        <v>#VALUE!:noResult:No valid cells found for operation.</v>
      </c>
      <c r="ID42" s="15" t="str">
        <f>#REF!</f>
        <v>#VALUE!:noResult:No valid cells found for operation.</v>
      </c>
      <c r="IE42" s="15" t="str">
        <f>#REF!</f>
        <v>#VALUE!:noResult:No valid cells found for operation.</v>
      </c>
      <c r="IF42" s="15" t="str">
        <f>#REF!</f>
        <v>#VALUE!:noResult:No valid cells found for operation.</v>
      </c>
      <c r="IG42" s="15" t="str">
        <f>#REF!</f>
        <v>#VALUE!:noResult:No valid cells found for operation.</v>
      </c>
      <c r="IH42" s="15" t="str">
        <f>#REF!</f>
        <v>#VALUE!:noResult:No valid cells found for operation.</v>
      </c>
      <c r="II42" s="15" t="str">
        <f>#REF!</f>
        <v>#VALUE!:noResult:No valid cells found for operation.</v>
      </c>
      <c r="IJ42" s="15">
        <f>IF(Trans!R[571],"AAAAAHz9v/M=",0)</f>
        <v>0</v>
      </c>
      <c r="IK42" s="15" t="b">
        <f>AND(Trans!A613,"AAAAAHz9v/Q=")</f>
        <v>1</v>
      </c>
      <c r="IL42" s="15" t="str">
        <f>AND(Trans!B613,"AAAAAHz9v/U=")</f>
        <v>#VALUE!:noResult:No valid cells found for operation.</v>
      </c>
      <c r="IM42" s="15" t="b">
        <f>AND(Trans!C613,"AAAAAHz9v/Y=")</f>
        <v>1</v>
      </c>
      <c r="IN42" s="15" t="b">
        <f>AND(Trans!D613,"AAAAAHz9v/c=")</f>
        <v>1</v>
      </c>
      <c r="IO42" s="15" t="str">
        <f>AND(Trans!E613,"AAAAAHz9v/g=")</f>
        <v>#VALUE!:noResult:No valid cells found for operation.</v>
      </c>
      <c r="IP42" s="15" t="str">
        <f>AND(Trans!F613,"AAAAAHz9v/k=")</f>
        <v>#VALUE!:noResult:No valid cells found for operation.</v>
      </c>
      <c r="IQ42" s="15" t="str">
        <f>AND(Trans!G613,"AAAAAHz9v/o=")</f>
        <v>#VALUE!:noResult:No valid cells found for operation.</v>
      </c>
      <c r="IR42" s="15" t="str">
        <f>#REF!</f>
        <v>#VALUE!:noResult:No valid cells found for operation.</v>
      </c>
      <c r="IS42" s="15" t="str">
        <f>AND(Trans!H613,"AAAAAHz9v/w=")</f>
        <v>#VALUE!:noResult:No valid cells found for operation.</v>
      </c>
      <c r="IT42" s="15" t="str">
        <f>#REF!</f>
        <v>#VALUE!:noResult:No valid cells found for operation.</v>
      </c>
      <c r="IU42" s="15" t="str">
        <f>#REF!</f>
        <v>#VALUE!:noResult:No valid cells found for operation.</v>
      </c>
      <c r="IV42" s="15" t="str">
        <f>#REF!</f>
        <v>#VALUE!:noResult:No valid cells found for operation.</v>
      </c>
    </row>
    <row r="43">
      <c r="A43" s="15" t="str">
        <f>#REF!</f>
        <v>#VALUE!:noResult:No valid cells found for operation.</v>
      </c>
      <c r="B43" s="15" t="str">
        <f>#REF!</f>
        <v>#VALUE!:noResult:No valid cells found for operation.</v>
      </c>
      <c r="C43" s="15" t="str">
        <f>#REF!</f>
        <v>#VALUE!:noResult:No valid cells found for operation.</v>
      </c>
      <c r="D43" s="15" t="str">
        <f>IF(Trans!R[571],"AAAAAHs3VwM=",0)</f>
        <v>AAAAAHs3VwM=</v>
      </c>
      <c r="E43" s="15" t="b">
        <f>AND(Trans!A614,"AAAAAHs3VwQ=")</f>
        <v>1</v>
      </c>
      <c r="F43" s="15" t="str">
        <f>AND(Trans!B614,"AAAAAHs3VwU=")</f>
        <v>#VALUE!:noResult:No valid cells found for operation.</v>
      </c>
      <c r="G43" s="15" t="b">
        <f>AND(Trans!C614,"AAAAAHs3VwY=")</f>
        <v>1</v>
      </c>
      <c r="H43" s="15" t="b">
        <f>AND(Trans!D614,"AAAAAHs3Vwc=")</f>
        <v>1</v>
      </c>
      <c r="I43" s="15" t="str">
        <f>AND(Trans!E614,"AAAAAHs3Vwg=")</f>
        <v>#VALUE!:noResult:No valid cells found for operation.</v>
      </c>
      <c r="J43" s="15" t="str">
        <f>AND(Trans!F614,"AAAAAHs3Vwk=")</f>
        <v>#VALUE!:noResult:No valid cells found for operation.</v>
      </c>
      <c r="K43" s="15" t="str">
        <f>AND(Trans!G614,"AAAAAHs3Vwo=")</f>
        <v>#VALUE!:noResult:No valid cells found for operation.</v>
      </c>
      <c r="L43" s="15" t="str">
        <f>#REF!</f>
        <v>#VALUE!:noResult:No valid cells found for operation.</v>
      </c>
      <c r="M43" s="15" t="str">
        <f>AND(Trans!H614,"AAAAAHs3Vww=")</f>
        <v>#VALUE!:noResult:No valid cells found for operation.</v>
      </c>
      <c r="N43" s="15" t="str">
        <f>#REF!</f>
        <v>#VALUE!:noResult:No valid cells found for operation.</v>
      </c>
      <c r="O43" s="15" t="str">
        <f>#REF!</f>
        <v>#VALUE!:noResult:No valid cells found for operation.</v>
      </c>
      <c r="P43" s="15" t="str">
        <f>#REF!</f>
        <v>#VALUE!:noResult:No valid cells found for operation.</v>
      </c>
      <c r="Q43" s="15" t="str">
        <f>#REF!</f>
        <v>#VALUE!:noResult:No valid cells found for operation.</v>
      </c>
      <c r="R43" s="15" t="str">
        <f>#REF!</f>
        <v>#VALUE!:noResult:No valid cells found for operation.</v>
      </c>
      <c r="S43" s="15" t="str">
        <f>#REF!</f>
        <v>#VALUE!:noResult:No valid cells found for operation.</v>
      </c>
      <c r="T43" s="15">
        <f>IF(Trans!R[572],"AAAAAHs3VxM=",0)</f>
        <v>0</v>
      </c>
      <c r="U43" s="15" t="b">
        <f>AND(Trans!A615,"AAAAAHs3VxQ=")</f>
        <v>1</v>
      </c>
      <c r="V43" s="15" t="str">
        <f>AND(Trans!B615,"AAAAAHs3VxU=")</f>
        <v>#VALUE!:noResult:No valid cells found for operation.</v>
      </c>
      <c r="W43" s="15" t="b">
        <f>AND(Trans!C615,"AAAAAHs3VxY=")</f>
        <v>1</v>
      </c>
      <c r="X43" s="15" t="b">
        <f>AND(Trans!D615,"AAAAAHs3Vxc=")</f>
        <v>1</v>
      </c>
      <c r="Y43" s="15" t="str">
        <f>AND(Trans!E615,"AAAAAHs3Vxg=")</f>
        <v>#VALUE!:noResult:No valid cells found for operation.</v>
      </c>
      <c r="Z43" s="15" t="str">
        <f>AND(Trans!F615,"AAAAAHs3Vxk=")</f>
        <v>#VALUE!:noResult:No valid cells found for operation.</v>
      </c>
      <c r="AA43" s="15" t="str">
        <f>AND(Trans!G615,"AAAAAHs3Vxo=")</f>
        <v>#VALUE!:noResult:No valid cells found for operation.</v>
      </c>
      <c r="AB43" s="15" t="str">
        <f>#REF!</f>
        <v>#VALUE!:noResult:No valid cells found for operation.</v>
      </c>
      <c r="AC43" s="15" t="str">
        <f>AND(Trans!H615,"AAAAAHs3Vxw=")</f>
        <v>#VALUE!:noResult:No valid cells found for operation.</v>
      </c>
      <c r="AD43" s="15" t="str">
        <f>#REF!</f>
        <v>#VALUE!:noResult:No valid cells found for operation.</v>
      </c>
      <c r="AE43" s="15" t="str">
        <f>#REF!</f>
        <v>#VALUE!:noResult:No valid cells found for operation.</v>
      </c>
      <c r="AF43" s="15" t="str">
        <f>#REF!</f>
        <v>#VALUE!:noResult:No valid cells found for operation.</v>
      </c>
      <c r="AG43" s="15" t="str">
        <f>#REF!</f>
        <v>#VALUE!:noResult:No valid cells found for operation.</v>
      </c>
      <c r="AH43" s="15" t="str">
        <f>#REF!</f>
        <v>#VALUE!:noResult:No valid cells found for operation.</v>
      </c>
      <c r="AI43" s="15" t="str">
        <f>#REF!</f>
        <v>#VALUE!:noResult:No valid cells found for operation.</v>
      </c>
      <c r="AJ43" s="15">
        <f>IF(Trans!R[573],"AAAAAHs3VyM=",0)</f>
        <v>0</v>
      </c>
      <c r="AK43" s="15" t="b">
        <f>AND(Trans!A616,"AAAAAHs3VyQ=")</f>
        <v>1</v>
      </c>
      <c r="AL43" s="15" t="str">
        <f>AND(Trans!B616,"AAAAAHs3VyU=")</f>
        <v>#VALUE!:noResult:No valid cells found for operation.</v>
      </c>
      <c r="AM43" s="15" t="b">
        <f>AND(Trans!C616,"AAAAAHs3VyY=")</f>
        <v>1</v>
      </c>
      <c r="AN43" s="15" t="b">
        <f>AND(Trans!D616,"AAAAAHs3Vyc=")</f>
        <v>1</v>
      </c>
      <c r="AO43" s="15" t="str">
        <f>AND(Trans!E616,"AAAAAHs3Vyg=")</f>
        <v>#VALUE!:noResult:No valid cells found for operation.</v>
      </c>
      <c r="AP43" s="15" t="str">
        <f>AND(Trans!F616,"AAAAAHs3Vyk=")</f>
        <v>#VALUE!:noResult:No valid cells found for operation.</v>
      </c>
      <c r="AQ43" s="15" t="str">
        <f>AND(Trans!G616,"AAAAAHs3Vyo=")</f>
        <v>#VALUE!:noResult:No valid cells found for operation.</v>
      </c>
      <c r="AR43" s="15" t="str">
        <f>#REF!</f>
        <v>#VALUE!:noResult:No valid cells found for operation.</v>
      </c>
      <c r="AS43" s="15" t="str">
        <f>AND(Trans!H616,"AAAAAHs3Vyw=")</f>
        <v>#VALUE!:noResult:No valid cells found for operation.</v>
      </c>
      <c r="AT43" s="15" t="str">
        <f>#REF!</f>
        <v>#VALUE!:noResult:No valid cells found for operation.</v>
      </c>
      <c r="AU43" s="15" t="str">
        <f>#REF!</f>
        <v>#VALUE!:noResult:No valid cells found for operation.</v>
      </c>
      <c r="AV43" s="15" t="str">
        <f>#REF!</f>
        <v>#VALUE!:noResult:No valid cells found for operation.</v>
      </c>
      <c r="AW43" s="15" t="str">
        <f>#REF!</f>
        <v>#VALUE!:noResult:No valid cells found for operation.</v>
      </c>
      <c r="AX43" s="15" t="str">
        <f>#REF!</f>
        <v>#VALUE!:noResult:No valid cells found for operation.</v>
      </c>
      <c r="AY43" s="15" t="str">
        <f>#REF!</f>
        <v>#VALUE!:noResult:No valid cells found for operation.</v>
      </c>
      <c r="AZ43" s="15">
        <f>IF(Trans!R[574],"AAAAAHs3VzM=",0)</f>
        <v>0</v>
      </c>
      <c r="BA43" s="15" t="b">
        <f>AND(Trans!A617,"AAAAAHs3VzQ=")</f>
        <v>1</v>
      </c>
      <c r="BB43" s="15" t="str">
        <f>AND(Trans!B617,"AAAAAHs3VzU=")</f>
        <v>#VALUE!:noResult:No valid cells found for operation.</v>
      </c>
      <c r="BC43" s="15" t="b">
        <f>AND(Trans!C617,"AAAAAHs3VzY=")</f>
        <v>1</v>
      </c>
      <c r="BD43" s="15" t="b">
        <f>AND(Trans!D617,"AAAAAHs3Vzc=")</f>
        <v>1</v>
      </c>
      <c r="BE43" s="15" t="str">
        <f>AND(Trans!E617,"AAAAAHs3Vzg=")</f>
        <v>#VALUE!:noResult:No valid cells found for operation.</v>
      </c>
      <c r="BF43" s="15" t="str">
        <f>AND(Trans!F617,"AAAAAHs3Vzk=")</f>
        <v>#VALUE!:noResult:No valid cells found for operation.</v>
      </c>
      <c r="BG43" s="15" t="str">
        <f>AND(Trans!G617,"AAAAAHs3Vzo=")</f>
        <v>#VALUE!:noResult:No valid cells found for operation.</v>
      </c>
      <c r="BH43" s="15" t="str">
        <f>#REF!</f>
        <v>#VALUE!:noResult:No valid cells found for operation.</v>
      </c>
      <c r="BI43" s="15" t="str">
        <f>AND(Trans!H617,"AAAAAHs3Vzw=")</f>
        <v>#VALUE!:noResult:No valid cells found for operation.</v>
      </c>
      <c r="BJ43" s="15" t="str">
        <f>#REF!</f>
        <v>#VALUE!:noResult:No valid cells found for operation.</v>
      </c>
      <c r="BK43" s="15" t="str">
        <f>#REF!</f>
        <v>#VALUE!:noResult:No valid cells found for operation.</v>
      </c>
      <c r="BL43" s="15" t="str">
        <f>#REF!</f>
        <v>#VALUE!:noResult:No valid cells found for operation.</v>
      </c>
      <c r="BM43" s="15" t="str">
        <f>#REF!</f>
        <v>#VALUE!:noResult:No valid cells found for operation.</v>
      </c>
      <c r="BN43" s="15" t="str">
        <f>#REF!</f>
        <v>#VALUE!:noResult:No valid cells found for operation.</v>
      </c>
      <c r="BO43" s="15" t="str">
        <f>#REF!</f>
        <v>#VALUE!:noResult:No valid cells found for operation.</v>
      </c>
      <c r="BP43" s="15">
        <f>IF(Trans!R[575],"AAAAAHs3V0M=",0)</f>
        <v>0</v>
      </c>
      <c r="BQ43" s="15" t="b">
        <f>AND(Trans!A618,"AAAAAHs3V0Q=")</f>
        <v>1</v>
      </c>
      <c r="BR43" s="15" t="str">
        <f>AND(Trans!B618,"AAAAAHs3V0U=")</f>
        <v>#VALUE!:noResult:No valid cells found for operation.</v>
      </c>
      <c r="BS43" s="15" t="b">
        <f>AND(Trans!C618,"AAAAAHs3V0Y=")</f>
        <v>1</v>
      </c>
      <c r="BT43" s="15" t="b">
        <f>AND(Trans!D618,"AAAAAHs3V0c=")</f>
        <v>1</v>
      </c>
      <c r="BU43" s="15" t="str">
        <f>AND(Trans!E618,"AAAAAHs3V0g=")</f>
        <v>#VALUE!:noResult:No valid cells found for operation.</v>
      </c>
      <c r="BV43" s="15" t="str">
        <f>AND(Trans!F618,"AAAAAHs3V0k=")</f>
        <v>#VALUE!:noResult:No valid cells found for operation.</v>
      </c>
      <c r="BW43" s="15" t="str">
        <f>AND(Trans!G618,"AAAAAHs3V0o=")</f>
        <v>#VALUE!:noResult:No valid cells found for operation.</v>
      </c>
      <c r="BX43" s="15" t="str">
        <f>#REF!</f>
        <v>#VALUE!:noResult:No valid cells found for operation.</v>
      </c>
      <c r="BY43" s="15" t="str">
        <f>AND(Trans!H618,"AAAAAHs3V0w=")</f>
        <v>#VALUE!:noResult:No valid cells found for operation.</v>
      </c>
      <c r="BZ43" s="15" t="str">
        <f>#REF!</f>
        <v>#VALUE!:noResult:No valid cells found for operation.</v>
      </c>
      <c r="CA43" s="15" t="str">
        <f>#REF!</f>
        <v>#VALUE!:noResult:No valid cells found for operation.</v>
      </c>
      <c r="CB43" s="15" t="str">
        <f>#REF!</f>
        <v>#VALUE!:noResult:No valid cells found for operation.</v>
      </c>
      <c r="CC43" s="15" t="str">
        <f>#REF!</f>
        <v>#VALUE!:noResult:No valid cells found for operation.</v>
      </c>
      <c r="CD43" s="15" t="str">
        <f>#REF!</f>
        <v>#VALUE!:noResult:No valid cells found for operation.</v>
      </c>
      <c r="CE43" s="15" t="str">
        <f>#REF!</f>
        <v>#VALUE!:noResult:No valid cells found for operation.</v>
      </c>
      <c r="CF43" s="15">
        <f>IF(Trans!R[576],"AAAAAHs3V1M=",0)</f>
        <v>0</v>
      </c>
      <c r="CG43" s="15" t="b">
        <f>AND(Trans!A619,"AAAAAHs3V1Q=")</f>
        <v>1</v>
      </c>
      <c r="CH43" s="15" t="str">
        <f>AND(Trans!B619,"AAAAAHs3V1U=")</f>
        <v>#VALUE!:noResult:No valid cells found for operation.</v>
      </c>
      <c r="CI43" s="15" t="b">
        <f>AND(Trans!C619,"AAAAAHs3V1Y=")</f>
        <v>1</v>
      </c>
      <c r="CJ43" s="15" t="b">
        <f>AND(Trans!D619,"AAAAAHs3V1c=")</f>
        <v>1</v>
      </c>
      <c r="CK43" s="15" t="str">
        <f>AND(Trans!E619,"AAAAAHs3V1g=")</f>
        <v>#VALUE!:noResult:No valid cells found for operation.</v>
      </c>
      <c r="CL43" s="15" t="str">
        <f>AND(Trans!F619,"AAAAAHs3V1k=")</f>
        <v>#VALUE!:noResult:No valid cells found for operation.</v>
      </c>
      <c r="CM43" s="15" t="str">
        <f>AND(Trans!G619,"AAAAAHs3V1o=")</f>
        <v>#VALUE!:noResult:No valid cells found for operation.</v>
      </c>
      <c r="CN43" s="15" t="str">
        <f>#REF!</f>
        <v>#VALUE!:noResult:No valid cells found for operation.</v>
      </c>
      <c r="CO43" s="15" t="str">
        <f>AND(Trans!H619,"AAAAAHs3V1w=")</f>
        <v>#VALUE!:noResult:No valid cells found for operation.</v>
      </c>
      <c r="CP43" s="15" t="str">
        <f>#REF!</f>
        <v>#VALUE!:noResult:No valid cells found for operation.</v>
      </c>
      <c r="CQ43" s="15" t="str">
        <f>#REF!</f>
        <v>#VALUE!:noResult:No valid cells found for operation.</v>
      </c>
      <c r="CR43" s="15" t="str">
        <f>#REF!</f>
        <v>#VALUE!:noResult:No valid cells found for operation.</v>
      </c>
      <c r="CS43" s="15" t="str">
        <f>#REF!</f>
        <v>#VALUE!:noResult:No valid cells found for operation.</v>
      </c>
      <c r="CT43" s="15" t="str">
        <f>#REF!</f>
        <v>#VALUE!:noResult:No valid cells found for operation.</v>
      </c>
      <c r="CU43" s="15" t="str">
        <f>#REF!</f>
        <v>#VALUE!:noResult:No valid cells found for operation.</v>
      </c>
      <c r="CV43" s="15">
        <f>IF(Trans!R[577],"AAAAAHs3V2M=",0)</f>
        <v>0</v>
      </c>
      <c r="CW43" s="15" t="b">
        <f>AND(Trans!A620,"AAAAAHs3V2Q=")</f>
        <v>1</v>
      </c>
      <c r="CX43" s="15" t="str">
        <f>AND(Trans!B620,"AAAAAHs3V2U=")</f>
        <v>#VALUE!:noResult:No valid cells found for operation.</v>
      </c>
      <c r="CY43" s="15" t="b">
        <f>AND(Trans!C620,"AAAAAHs3V2Y=")</f>
        <v>1</v>
      </c>
      <c r="CZ43" s="15" t="b">
        <f>AND(Trans!D620,"AAAAAHs3V2c=")</f>
        <v>1</v>
      </c>
      <c r="DA43" s="15" t="str">
        <f>AND(Trans!E620,"AAAAAHs3V2g=")</f>
        <v>#VALUE!:noResult:No valid cells found for operation.</v>
      </c>
      <c r="DB43" s="15" t="str">
        <f>AND(Trans!F620,"AAAAAHs3V2k=")</f>
        <v>#VALUE!:noResult:No valid cells found for operation.</v>
      </c>
      <c r="DC43" s="15" t="str">
        <f>AND(Trans!G620,"AAAAAHs3V2o=")</f>
        <v>#VALUE!:noResult:No valid cells found for operation.</v>
      </c>
      <c r="DD43" s="15" t="str">
        <f>#REF!</f>
        <v>#VALUE!:noResult:No valid cells found for operation.</v>
      </c>
      <c r="DE43" s="15" t="str">
        <f>AND(Trans!H620,"AAAAAHs3V2w=")</f>
        <v>#VALUE!:noResult:No valid cells found for operation.</v>
      </c>
      <c r="DF43" s="15" t="str">
        <f>#REF!</f>
        <v>#VALUE!:noResult:No valid cells found for operation.</v>
      </c>
      <c r="DG43" s="15" t="str">
        <f>#REF!</f>
        <v>#VALUE!:noResult:No valid cells found for operation.</v>
      </c>
      <c r="DH43" s="15" t="str">
        <f>#REF!</f>
        <v>#VALUE!:noResult:No valid cells found for operation.</v>
      </c>
      <c r="DI43" s="15" t="str">
        <f>#REF!</f>
        <v>#VALUE!:noResult:No valid cells found for operation.</v>
      </c>
      <c r="DJ43" s="15" t="str">
        <f>#REF!</f>
        <v>#VALUE!:noResult:No valid cells found for operation.</v>
      </c>
      <c r="DK43" s="15" t="str">
        <f>#REF!</f>
        <v>#VALUE!:noResult:No valid cells found for operation.</v>
      </c>
      <c r="DL43" s="15">
        <f>IF(Trans!R[578],"AAAAAHs3V3M=",0)</f>
        <v>0</v>
      </c>
      <c r="DM43" s="15" t="b">
        <f>AND(Trans!A621,"AAAAAHs3V3Q=")</f>
        <v>1</v>
      </c>
      <c r="DN43" s="15" t="str">
        <f>AND(Trans!B621,"AAAAAHs3V3U=")</f>
        <v>#VALUE!:noResult:No valid cells found for operation.</v>
      </c>
      <c r="DO43" s="15" t="b">
        <f>AND(Trans!C621,"AAAAAHs3V3Y=")</f>
        <v>1</v>
      </c>
      <c r="DP43" s="15" t="b">
        <f>AND(Trans!D621,"AAAAAHs3V3c=")</f>
        <v>1</v>
      </c>
      <c r="DQ43" s="15" t="str">
        <f>AND(Trans!E621,"AAAAAHs3V3g=")</f>
        <v>#VALUE!:noResult:No valid cells found for operation.</v>
      </c>
      <c r="DR43" s="15" t="str">
        <f>AND(Trans!F621,"AAAAAHs3V3k=")</f>
        <v>#VALUE!:noResult:No valid cells found for operation.</v>
      </c>
      <c r="DS43" s="15" t="str">
        <f>AND(Trans!G621,"AAAAAHs3V3o=")</f>
        <v>#VALUE!:noResult:No valid cells found for operation.</v>
      </c>
      <c r="DT43" s="15" t="str">
        <f>#REF!</f>
        <v>#VALUE!:noResult:No valid cells found for operation.</v>
      </c>
      <c r="DU43" s="15" t="str">
        <f>AND(Trans!H621,"AAAAAHs3V3w=")</f>
        <v>#VALUE!:noResult:No valid cells found for operation.</v>
      </c>
      <c r="DV43" s="15" t="str">
        <f>#REF!</f>
        <v>#VALUE!:noResult:No valid cells found for operation.</v>
      </c>
      <c r="DW43" s="15" t="str">
        <f>#REF!</f>
        <v>#VALUE!:noResult:No valid cells found for operation.</v>
      </c>
      <c r="DX43" s="15" t="str">
        <f>#REF!</f>
        <v>#VALUE!:noResult:No valid cells found for operation.</v>
      </c>
      <c r="DY43" s="15" t="str">
        <f>#REF!</f>
        <v>#VALUE!:noResult:No valid cells found for operation.</v>
      </c>
      <c r="DZ43" s="15" t="str">
        <f>#REF!</f>
        <v>#VALUE!:noResult:No valid cells found for operation.</v>
      </c>
      <c r="EA43" s="15" t="str">
        <f>#REF!</f>
        <v>#VALUE!:noResult:No valid cells found for operation.</v>
      </c>
      <c r="EB43" s="15">
        <f>IF(Trans!R[579],"AAAAAHs3V4M=",0)</f>
        <v>0</v>
      </c>
      <c r="EC43" s="15" t="b">
        <f>AND(Trans!A622,"AAAAAHs3V4Q=")</f>
        <v>1</v>
      </c>
      <c r="ED43" s="15" t="str">
        <f>AND(Trans!B622,"AAAAAHs3V4U=")</f>
        <v>#VALUE!:noResult:No valid cells found for operation.</v>
      </c>
      <c r="EE43" s="15" t="b">
        <f>AND(Trans!C622,"AAAAAHs3V4Y=")</f>
        <v>1</v>
      </c>
      <c r="EF43" s="15" t="b">
        <f>AND(Trans!D622,"AAAAAHs3V4c=")</f>
        <v>1</v>
      </c>
      <c r="EG43" s="15" t="str">
        <f>AND(Trans!E622,"AAAAAHs3V4g=")</f>
        <v>#VALUE!:noResult:No valid cells found for operation.</v>
      </c>
      <c r="EH43" s="15" t="str">
        <f>AND(Trans!F622,"AAAAAHs3V4k=")</f>
        <v>#VALUE!:noResult:No valid cells found for operation.</v>
      </c>
      <c r="EI43" s="15" t="str">
        <f>AND(Trans!G622,"AAAAAHs3V4o=")</f>
        <v>#VALUE!:noResult:No valid cells found for operation.</v>
      </c>
      <c r="EJ43" s="15" t="str">
        <f>#REF!</f>
        <v>#VALUE!:noResult:No valid cells found for operation.</v>
      </c>
      <c r="EK43" s="15" t="str">
        <f>AND(Trans!H622,"AAAAAHs3V4w=")</f>
        <v>#VALUE!:noResult:No valid cells found for operation.</v>
      </c>
      <c r="EL43" s="15" t="str">
        <f>#REF!</f>
        <v>#VALUE!:noResult:No valid cells found for operation.</v>
      </c>
      <c r="EM43" s="15" t="str">
        <f>#REF!</f>
        <v>#VALUE!:noResult:No valid cells found for operation.</v>
      </c>
      <c r="EN43" s="15" t="str">
        <f>#REF!</f>
        <v>#VALUE!:noResult:No valid cells found for operation.</v>
      </c>
      <c r="EO43" s="15" t="str">
        <f>#REF!</f>
        <v>#VALUE!:noResult:No valid cells found for operation.</v>
      </c>
      <c r="EP43" s="15" t="str">
        <f>#REF!</f>
        <v>#VALUE!:noResult:No valid cells found for operation.</v>
      </c>
      <c r="EQ43" s="15" t="str">
        <f>#REF!</f>
        <v>#VALUE!:noResult:No valid cells found for operation.</v>
      </c>
      <c r="ER43" s="15">
        <f>IF(Trans!R[580],"AAAAAHs3V5M=",0)</f>
        <v>0</v>
      </c>
      <c r="ES43" s="15" t="b">
        <f>AND(Trans!A623,"AAAAAHs3V5Q=")</f>
        <v>1</v>
      </c>
      <c r="ET43" s="15" t="str">
        <f>AND(Trans!B623,"AAAAAHs3V5U=")</f>
        <v>#VALUE!:noResult:No valid cells found for operation.</v>
      </c>
      <c r="EU43" s="15" t="b">
        <f>AND(Trans!C623,"AAAAAHs3V5Y=")</f>
        <v>1</v>
      </c>
      <c r="EV43" s="15" t="b">
        <f>AND(Trans!D623,"AAAAAHs3V5c=")</f>
        <v>1</v>
      </c>
      <c r="EW43" s="15" t="str">
        <f>AND(Trans!E623,"AAAAAHs3V5g=")</f>
        <v>#VALUE!:noResult:No valid cells found for operation.</v>
      </c>
      <c r="EX43" s="15" t="str">
        <f>AND(Trans!F623,"AAAAAHs3V5k=")</f>
        <v>#VALUE!:noResult:No valid cells found for operation.</v>
      </c>
      <c r="EY43" s="15" t="str">
        <f>AND(Trans!G623,"AAAAAHs3V5o=")</f>
        <v>#VALUE!:noResult:No valid cells found for operation.</v>
      </c>
      <c r="EZ43" s="15" t="str">
        <f>#REF!</f>
        <v>#VALUE!:noResult:No valid cells found for operation.</v>
      </c>
      <c r="FA43" s="15" t="str">
        <f>AND(Trans!H623,"AAAAAHs3V5w=")</f>
        <v>#VALUE!:noResult:No valid cells found for operation.</v>
      </c>
      <c r="FB43" s="15" t="str">
        <f>#REF!</f>
        <v>#VALUE!:noResult:No valid cells found for operation.</v>
      </c>
      <c r="FC43" s="15" t="str">
        <f>#REF!</f>
        <v>#VALUE!:noResult:No valid cells found for operation.</v>
      </c>
      <c r="FD43" s="15" t="str">
        <f>#REF!</f>
        <v>#VALUE!:noResult:No valid cells found for operation.</v>
      </c>
      <c r="FE43" s="15" t="str">
        <f>#REF!</f>
        <v>#VALUE!:noResult:No valid cells found for operation.</v>
      </c>
      <c r="FF43" s="15" t="str">
        <f>#REF!</f>
        <v>#VALUE!:noResult:No valid cells found for operation.</v>
      </c>
      <c r="FG43" s="15" t="str">
        <f>#REF!</f>
        <v>#VALUE!:noResult:No valid cells found for operation.</v>
      </c>
      <c r="FH43" s="15">
        <f>IF(Trans!R[581],"AAAAAHs3V6M=",0)</f>
        <v>0</v>
      </c>
      <c r="FI43" s="15" t="b">
        <f>AND(Trans!A624,"AAAAAHs3V6Q=")</f>
        <v>1</v>
      </c>
      <c r="FJ43" s="15" t="str">
        <f>AND(Trans!B624,"AAAAAHs3V6U=")</f>
        <v>#VALUE!:noResult:No valid cells found for operation.</v>
      </c>
      <c r="FK43" s="15" t="b">
        <f>AND(Trans!C624,"AAAAAHs3V6Y=")</f>
        <v>1</v>
      </c>
      <c r="FL43" s="15" t="b">
        <f>AND(Trans!D624,"AAAAAHs3V6c=")</f>
        <v>1</v>
      </c>
      <c r="FM43" s="15" t="str">
        <f>AND(Trans!E624,"AAAAAHs3V6g=")</f>
        <v>#VALUE!:noResult:No valid cells found for operation.</v>
      </c>
      <c r="FN43" s="15" t="str">
        <f>AND(Trans!F624,"AAAAAHs3V6k=")</f>
        <v>#VALUE!:noResult:No valid cells found for operation.</v>
      </c>
      <c r="FO43" s="15" t="str">
        <f>AND(Trans!G624,"AAAAAHs3V6o=")</f>
        <v>#VALUE!:noResult:No valid cells found for operation.</v>
      </c>
      <c r="FP43" s="15" t="str">
        <f>#REF!</f>
        <v>#VALUE!:noResult:No valid cells found for operation.</v>
      </c>
      <c r="FQ43" s="15" t="str">
        <f>AND(Trans!H624,"AAAAAHs3V6w=")</f>
        <v>#VALUE!:noResult:No valid cells found for operation.</v>
      </c>
      <c r="FR43" s="15" t="str">
        <f>#REF!</f>
        <v>#VALUE!:noResult:No valid cells found for operation.</v>
      </c>
      <c r="FS43" s="15" t="str">
        <f>#REF!</f>
        <v>#VALUE!:noResult:No valid cells found for operation.</v>
      </c>
      <c r="FT43" s="15" t="str">
        <f>#REF!</f>
        <v>#VALUE!:noResult:No valid cells found for operation.</v>
      </c>
      <c r="FU43" s="15" t="str">
        <f>#REF!</f>
        <v>#VALUE!:noResult:No valid cells found for operation.</v>
      </c>
      <c r="FV43" s="15" t="str">
        <f>#REF!</f>
        <v>#VALUE!:noResult:No valid cells found for operation.</v>
      </c>
      <c r="FW43" s="15" t="str">
        <f>#REF!</f>
        <v>#VALUE!:noResult:No valid cells found for operation.</v>
      </c>
      <c r="FX43" s="15">
        <f>IF(Trans!R[582],"AAAAAHs3V7M=",0)</f>
        <v>0</v>
      </c>
      <c r="FY43" s="15" t="b">
        <f>AND(Trans!A625,"AAAAAHs3V7Q=")</f>
        <v>1</v>
      </c>
      <c r="FZ43" s="15" t="str">
        <f>AND(Trans!B625,"AAAAAHs3V7U=")</f>
        <v>#VALUE!:noResult:No valid cells found for operation.</v>
      </c>
      <c r="GA43" s="15" t="b">
        <f>AND(Trans!C625,"AAAAAHs3V7Y=")</f>
        <v>1</v>
      </c>
      <c r="GB43" s="15" t="b">
        <f>AND(Trans!D625,"AAAAAHs3V7c=")</f>
        <v>1</v>
      </c>
      <c r="GC43" s="15" t="str">
        <f>AND(Trans!E625,"AAAAAHs3V7g=")</f>
        <v>#VALUE!:noResult:No valid cells found for operation.</v>
      </c>
      <c r="GD43" s="15" t="str">
        <f>AND(Trans!F625,"AAAAAHs3V7k=")</f>
        <v>#VALUE!:noResult:No valid cells found for operation.</v>
      </c>
      <c r="GE43" s="15" t="str">
        <f>AND(Trans!G625,"AAAAAHs3V7o=")</f>
        <v>#VALUE!:noResult:No valid cells found for operation.</v>
      </c>
      <c r="GF43" s="15" t="str">
        <f>#REF!</f>
        <v>#VALUE!:noResult:No valid cells found for operation.</v>
      </c>
      <c r="GG43" s="15" t="str">
        <f>AND(Trans!H625,"AAAAAHs3V7w=")</f>
        <v>#VALUE!:noResult:No valid cells found for operation.</v>
      </c>
      <c r="GH43" s="15" t="str">
        <f>#REF!</f>
        <v>#VALUE!:noResult:No valid cells found for operation.</v>
      </c>
      <c r="GI43" s="15" t="str">
        <f>#REF!</f>
        <v>#VALUE!:noResult:No valid cells found for operation.</v>
      </c>
      <c r="GJ43" s="15" t="str">
        <f>#REF!</f>
        <v>#VALUE!:noResult:No valid cells found for operation.</v>
      </c>
      <c r="GK43" s="15" t="str">
        <f>#REF!</f>
        <v>#VALUE!:noResult:No valid cells found for operation.</v>
      </c>
      <c r="GL43" s="15" t="str">
        <f>#REF!</f>
        <v>#VALUE!:noResult:No valid cells found for operation.</v>
      </c>
      <c r="GM43" s="15" t="str">
        <f>#REF!</f>
        <v>#VALUE!:noResult:No valid cells found for operation.</v>
      </c>
      <c r="GN43" s="15">
        <f>IF(Trans!R[583],"AAAAAHs3V8M=",0)</f>
        <v>0</v>
      </c>
      <c r="GO43" s="15" t="b">
        <f>AND(Trans!A626,"AAAAAHs3V8Q=")</f>
        <v>1</v>
      </c>
      <c r="GP43" s="15" t="str">
        <f>AND(Trans!B626,"AAAAAHs3V8U=")</f>
        <v>#VALUE!:noResult:No valid cells found for operation.</v>
      </c>
      <c r="GQ43" s="15" t="b">
        <f>AND(Trans!C626,"AAAAAHs3V8Y=")</f>
        <v>1</v>
      </c>
      <c r="GR43" s="15" t="b">
        <f>AND(Trans!D626,"AAAAAHs3V8c=")</f>
        <v>1</v>
      </c>
      <c r="GS43" s="15" t="str">
        <f>AND(Trans!E626,"AAAAAHs3V8g=")</f>
        <v>#VALUE!:noResult:No valid cells found for operation.</v>
      </c>
      <c r="GT43" s="15" t="str">
        <f>AND(Trans!F626,"AAAAAHs3V8k=")</f>
        <v>#VALUE!:noResult:No valid cells found for operation.</v>
      </c>
      <c r="GU43" s="15" t="str">
        <f>AND(Trans!G626,"AAAAAHs3V8o=")</f>
        <v>#VALUE!:noResult:No valid cells found for operation.</v>
      </c>
      <c r="GV43" s="15" t="str">
        <f>#REF!</f>
        <v>#VALUE!:noResult:No valid cells found for operation.</v>
      </c>
      <c r="GW43" s="15" t="str">
        <f>AND(Trans!H626,"AAAAAHs3V8w=")</f>
        <v>#VALUE!:noResult:No valid cells found for operation.</v>
      </c>
      <c r="GX43" s="15" t="str">
        <f>#REF!</f>
        <v>#VALUE!:noResult:No valid cells found for operation.</v>
      </c>
      <c r="GY43" s="15" t="str">
        <f>#REF!</f>
        <v>#VALUE!:noResult:No valid cells found for operation.</v>
      </c>
      <c r="GZ43" s="15" t="str">
        <f>#REF!</f>
        <v>#VALUE!:noResult:No valid cells found for operation.</v>
      </c>
      <c r="HA43" s="15" t="str">
        <f>#REF!</f>
        <v>#VALUE!:noResult:No valid cells found for operation.</v>
      </c>
      <c r="HB43" s="15" t="str">
        <f>#REF!</f>
        <v>#VALUE!:noResult:No valid cells found for operation.</v>
      </c>
      <c r="HC43" s="15" t="str">
        <f>#REF!</f>
        <v>#VALUE!:noResult:No valid cells found for operation.</v>
      </c>
      <c r="HD43" s="15">
        <f>IF(Trans!R[584],"AAAAAHs3V9M=",0)</f>
        <v>0</v>
      </c>
      <c r="HE43" s="15" t="b">
        <f>AND(Trans!A627,"AAAAAHs3V9Q=")</f>
        <v>1</v>
      </c>
      <c r="HF43" s="15" t="str">
        <f>AND(Trans!B627,"AAAAAHs3V9U=")</f>
        <v>#VALUE!:noResult:No valid cells found for operation.</v>
      </c>
      <c r="HG43" s="15" t="b">
        <f>AND(Trans!C627,"AAAAAHs3V9Y=")</f>
        <v>1</v>
      </c>
      <c r="HH43" s="15" t="b">
        <f>AND(Trans!D627,"AAAAAHs3V9c=")</f>
        <v>1</v>
      </c>
      <c r="HI43" s="15" t="str">
        <f>AND(Trans!E627,"AAAAAHs3V9g=")</f>
        <v>#VALUE!:noResult:No valid cells found for operation.</v>
      </c>
      <c r="HJ43" s="15" t="str">
        <f>AND(Trans!F627,"AAAAAHs3V9k=")</f>
        <v>#VALUE!:noResult:No valid cells found for operation.</v>
      </c>
      <c r="HK43" s="15" t="str">
        <f>AND(Trans!G627,"AAAAAHs3V9o=")</f>
        <v>#VALUE!:noResult:No valid cells found for operation.</v>
      </c>
      <c r="HL43" s="15" t="str">
        <f>#REF!</f>
        <v>#VALUE!:noResult:No valid cells found for operation.</v>
      </c>
      <c r="HM43" s="15" t="str">
        <f>AND(Trans!H627,"AAAAAHs3V9w=")</f>
        <v>#VALUE!:noResult:No valid cells found for operation.</v>
      </c>
      <c r="HN43" s="15" t="str">
        <f>#REF!</f>
        <v>#VALUE!:noResult:No valid cells found for operation.</v>
      </c>
      <c r="HO43" s="15" t="str">
        <f>#REF!</f>
        <v>#VALUE!:noResult:No valid cells found for operation.</v>
      </c>
      <c r="HP43" s="15" t="str">
        <f>#REF!</f>
        <v>#VALUE!:noResult:No valid cells found for operation.</v>
      </c>
      <c r="HQ43" s="15" t="str">
        <f>#REF!</f>
        <v>#VALUE!:noResult:No valid cells found for operation.</v>
      </c>
      <c r="HR43" s="15" t="str">
        <f>#REF!</f>
        <v>#VALUE!:noResult:No valid cells found for operation.</v>
      </c>
      <c r="HS43" s="15" t="str">
        <f>#REF!</f>
        <v>#VALUE!:noResult:No valid cells found for operation.</v>
      </c>
      <c r="HT43" s="15">
        <f>IF(Trans!R[585],"AAAAAHs3V+M=",0)</f>
        <v>0</v>
      </c>
      <c r="HU43" s="15" t="b">
        <f>AND(Trans!A628,"AAAAAHs3V+Q=")</f>
        <v>1</v>
      </c>
      <c r="HV43" s="15" t="str">
        <f>AND(Trans!B628,"AAAAAHs3V+U=")</f>
        <v>#VALUE!:noResult:No valid cells found for operation.</v>
      </c>
      <c r="HW43" s="15" t="b">
        <f>AND(Trans!C628,"AAAAAHs3V+Y=")</f>
        <v>1</v>
      </c>
      <c r="HX43" s="15" t="b">
        <f>AND(Trans!D628,"AAAAAHs3V+c=")</f>
        <v>1</v>
      </c>
      <c r="HY43" s="15" t="str">
        <f>AND(Trans!E628,"AAAAAHs3V+g=")</f>
        <v>#VALUE!:noResult:No valid cells found for operation.</v>
      </c>
      <c r="HZ43" s="15" t="str">
        <f>AND(Trans!F628,"AAAAAHs3V+k=")</f>
        <v>#VALUE!:noResult:No valid cells found for operation.</v>
      </c>
      <c r="IA43" s="15" t="str">
        <f>AND(Trans!G628,"AAAAAHs3V+o=")</f>
        <v>#VALUE!:noResult:No valid cells found for operation.</v>
      </c>
      <c r="IB43" s="15" t="str">
        <f>#REF!</f>
        <v>#VALUE!:noResult:No valid cells found for operation.</v>
      </c>
      <c r="IC43" s="15" t="str">
        <f>AND(Trans!H628,"AAAAAHs3V+w=")</f>
        <v>#VALUE!:noResult:No valid cells found for operation.</v>
      </c>
      <c r="ID43" s="15" t="str">
        <f>#REF!</f>
        <v>#VALUE!:noResult:No valid cells found for operation.</v>
      </c>
      <c r="IE43" s="15" t="str">
        <f>#REF!</f>
        <v>#VALUE!:noResult:No valid cells found for operation.</v>
      </c>
      <c r="IF43" s="15" t="str">
        <f>#REF!</f>
        <v>#VALUE!:noResult:No valid cells found for operation.</v>
      </c>
      <c r="IG43" s="15" t="str">
        <f>#REF!</f>
        <v>#VALUE!:noResult:No valid cells found for operation.</v>
      </c>
      <c r="IH43" s="15" t="str">
        <f>#REF!</f>
        <v>#VALUE!:noResult:No valid cells found for operation.</v>
      </c>
      <c r="II43" s="15" t="str">
        <f>#REF!</f>
        <v>#VALUE!:noResult:No valid cells found for operation.</v>
      </c>
      <c r="IJ43" s="15">
        <f>IF(Trans!R[586],"AAAAAHs3V/M=",0)</f>
        <v>0</v>
      </c>
      <c r="IK43" s="15" t="b">
        <f>AND(Trans!A629,"AAAAAHs3V/Q=")</f>
        <v>1</v>
      </c>
      <c r="IL43" s="15" t="str">
        <f>AND(Trans!B629,"AAAAAHs3V/U=")</f>
        <v>#VALUE!:noResult:No valid cells found for operation.</v>
      </c>
      <c r="IM43" s="15" t="b">
        <f>AND(Trans!C629,"AAAAAHs3V/Y=")</f>
        <v>1</v>
      </c>
      <c r="IN43" s="15" t="b">
        <f>AND(Trans!D629,"AAAAAHs3V/c=")</f>
        <v>1</v>
      </c>
      <c r="IO43" s="15" t="str">
        <f>AND(Trans!E629,"AAAAAHs3V/g=")</f>
        <v>#VALUE!:noResult:No valid cells found for operation.</v>
      </c>
      <c r="IP43" s="15" t="str">
        <f>AND(Trans!F629,"AAAAAHs3V/k=")</f>
        <v>#VALUE!:noResult:No valid cells found for operation.</v>
      </c>
      <c r="IQ43" s="15" t="str">
        <f>AND(Trans!G629,"AAAAAHs3V/o=")</f>
        <v>#VALUE!:noResult:No valid cells found for operation.</v>
      </c>
      <c r="IR43" s="15" t="str">
        <f>#REF!</f>
        <v>#VALUE!:noResult:No valid cells found for operation.</v>
      </c>
      <c r="IS43" s="15" t="str">
        <f>AND(Trans!H629,"AAAAAHs3V/w=")</f>
        <v>#VALUE!:noResult:No valid cells found for operation.</v>
      </c>
      <c r="IT43" s="15" t="str">
        <f>#REF!</f>
        <v>#VALUE!:noResult:No valid cells found for operation.</v>
      </c>
      <c r="IU43" s="15" t="str">
        <f>#REF!</f>
        <v>#VALUE!:noResult:No valid cells found for operation.</v>
      </c>
      <c r="IV43" s="15" t="str">
        <f>#REF!</f>
        <v>#VALUE!:noResult:No valid cells found for operation.</v>
      </c>
    </row>
    <row r="44">
      <c r="A44" s="15" t="str">
        <f>#REF!</f>
        <v>#VALUE!:noResult:No valid cells found for operation.</v>
      </c>
      <c r="B44" s="15" t="str">
        <f>#REF!</f>
        <v>#VALUE!:noResult:No valid cells found for operation.</v>
      </c>
      <c r="C44" s="15" t="str">
        <f>#REF!</f>
        <v>#VALUE!:noResult:No valid cells found for operation.</v>
      </c>
      <c r="D44" s="15" t="str">
        <f>IF(Trans!R[586],"AAAAAB6+vgM=",0)</f>
        <v>AAAAAB6+vgM=</v>
      </c>
      <c r="E44" s="15" t="b">
        <f>AND(Trans!A630,"AAAAAB6+vgQ=")</f>
        <v>1</v>
      </c>
      <c r="F44" s="15" t="str">
        <f>AND(Trans!B630,"AAAAAB6+vgU=")</f>
        <v>#VALUE!:noResult:No valid cells found for operation.</v>
      </c>
      <c r="G44" s="15" t="b">
        <f>AND(Trans!C630,"AAAAAB6+vgY=")</f>
        <v>1</v>
      </c>
      <c r="H44" s="15" t="b">
        <f>AND(Trans!D630,"AAAAAB6+vgc=")</f>
        <v>1</v>
      </c>
      <c r="I44" s="15" t="str">
        <f>AND(Trans!E630,"AAAAAB6+vgg=")</f>
        <v>#VALUE!:noResult:No valid cells found for operation.</v>
      </c>
      <c r="J44" s="15" t="str">
        <f>AND(Trans!F630,"AAAAAB6+vgk=")</f>
        <v>#VALUE!:noResult:No valid cells found for operation.</v>
      </c>
      <c r="K44" s="15" t="str">
        <f>AND(Trans!G630,"AAAAAB6+vgo=")</f>
        <v>#VALUE!:noResult:No valid cells found for operation.</v>
      </c>
      <c r="L44" s="15" t="str">
        <f>#REF!</f>
        <v>#VALUE!:noResult:No valid cells found for operation.</v>
      </c>
      <c r="M44" s="15" t="str">
        <f>AND(Trans!H630,"AAAAAB6+vgw=")</f>
        <v>#VALUE!:noResult:No valid cells found for operation.</v>
      </c>
      <c r="N44" s="15" t="str">
        <f>#REF!</f>
        <v>#VALUE!:noResult:No valid cells found for operation.</v>
      </c>
      <c r="O44" s="15" t="str">
        <f>#REF!</f>
        <v>#VALUE!:noResult:No valid cells found for operation.</v>
      </c>
      <c r="P44" s="15" t="str">
        <f>#REF!</f>
        <v>#VALUE!:noResult:No valid cells found for operation.</v>
      </c>
      <c r="Q44" s="15" t="str">
        <f>#REF!</f>
        <v>#VALUE!:noResult:No valid cells found for operation.</v>
      </c>
      <c r="R44" s="15" t="str">
        <f>#REF!</f>
        <v>#VALUE!:noResult:No valid cells found for operation.</v>
      </c>
      <c r="S44" s="15" t="str">
        <f>#REF!</f>
        <v>#VALUE!:noResult:No valid cells found for operation.</v>
      </c>
      <c r="T44" s="15">
        <f>IF(Trans!R[587],"AAAAAB6+vhM=",0)</f>
        <v>0</v>
      </c>
      <c r="U44" s="15" t="b">
        <f>AND(Trans!A631,"AAAAAB6+vhQ=")</f>
        <v>1</v>
      </c>
      <c r="V44" s="15" t="str">
        <f>AND(Trans!B631,"AAAAAB6+vhU=")</f>
        <v>#VALUE!:noResult:No valid cells found for operation.</v>
      </c>
      <c r="W44" s="15" t="b">
        <f>AND(Trans!C631,"AAAAAB6+vhY=")</f>
        <v>1</v>
      </c>
      <c r="X44" s="15" t="b">
        <f>AND(Trans!D631,"AAAAAB6+vhc=")</f>
        <v>1</v>
      </c>
      <c r="Y44" s="15" t="str">
        <f>AND(Trans!E631,"AAAAAB6+vhg=")</f>
        <v>#VALUE!:noResult:No valid cells found for operation.</v>
      </c>
      <c r="Z44" s="15" t="str">
        <f>AND(Trans!F631,"AAAAAB6+vhk=")</f>
        <v>#VALUE!:noResult:No valid cells found for operation.</v>
      </c>
      <c r="AA44" s="15" t="str">
        <f>AND(Trans!G631,"AAAAAB6+vho=")</f>
        <v>#VALUE!:noResult:No valid cells found for operation.</v>
      </c>
      <c r="AB44" s="15" t="str">
        <f>#REF!</f>
        <v>#VALUE!:noResult:No valid cells found for operation.</v>
      </c>
      <c r="AC44" s="15" t="str">
        <f>AND(Trans!H631,"AAAAAB6+vhw=")</f>
        <v>#VALUE!:noResult:No valid cells found for operation.</v>
      </c>
      <c r="AD44" s="15" t="str">
        <f>#REF!</f>
        <v>#VALUE!:noResult:No valid cells found for operation.</v>
      </c>
      <c r="AE44" s="15" t="str">
        <f>#REF!</f>
        <v>#VALUE!:noResult:No valid cells found for operation.</v>
      </c>
      <c r="AF44" s="15" t="str">
        <f>#REF!</f>
        <v>#VALUE!:noResult:No valid cells found for operation.</v>
      </c>
      <c r="AG44" s="15" t="str">
        <f>#REF!</f>
        <v>#VALUE!:noResult:No valid cells found for operation.</v>
      </c>
      <c r="AH44" s="15" t="str">
        <f>#REF!</f>
        <v>#VALUE!:noResult:No valid cells found for operation.</v>
      </c>
      <c r="AI44" s="15" t="str">
        <f>#REF!</f>
        <v>#VALUE!:noResult:No valid cells found for operation.</v>
      </c>
      <c r="AJ44" s="15">
        <f>IF(Trans!R[588],"AAAAAB6+viM=",0)</f>
        <v>0</v>
      </c>
      <c r="AK44" s="15" t="b">
        <f>AND(Trans!A632,"AAAAAB6+viQ=")</f>
        <v>1</v>
      </c>
      <c r="AL44" s="15" t="str">
        <f>AND(Trans!B632,"AAAAAB6+viU=")</f>
        <v>#VALUE!:noResult:No valid cells found for operation.</v>
      </c>
      <c r="AM44" s="15" t="b">
        <f>AND(Trans!C632,"AAAAAB6+viY=")</f>
        <v>1</v>
      </c>
      <c r="AN44" s="15" t="b">
        <f>AND(Trans!D632,"AAAAAB6+vic=")</f>
        <v>1</v>
      </c>
      <c r="AO44" s="15" t="str">
        <f>AND(Trans!E632,"AAAAAB6+vig=")</f>
        <v>#VALUE!:noResult:No valid cells found for operation.</v>
      </c>
      <c r="AP44" s="15" t="str">
        <f>AND(Trans!F632,"AAAAAB6+vik=")</f>
        <v>#VALUE!:noResult:No valid cells found for operation.</v>
      </c>
      <c r="AQ44" s="15" t="str">
        <f>AND(Trans!G632,"AAAAAB6+vio=")</f>
        <v>#VALUE!:noResult:No valid cells found for operation.</v>
      </c>
      <c r="AR44" s="15" t="str">
        <f>#REF!</f>
        <v>#VALUE!:noResult:No valid cells found for operation.</v>
      </c>
      <c r="AS44" s="15" t="str">
        <f>AND(Trans!H632,"AAAAAB6+viw=")</f>
        <v>#VALUE!:noResult:No valid cells found for operation.</v>
      </c>
      <c r="AT44" s="15" t="str">
        <f>#REF!</f>
        <v>#VALUE!:noResult:No valid cells found for operation.</v>
      </c>
      <c r="AU44" s="15" t="str">
        <f>#REF!</f>
        <v>#VALUE!:noResult:No valid cells found for operation.</v>
      </c>
      <c r="AV44" s="15" t="str">
        <f>#REF!</f>
        <v>#VALUE!:noResult:No valid cells found for operation.</v>
      </c>
      <c r="AW44" s="15" t="str">
        <f>#REF!</f>
        <v>#VALUE!:noResult:No valid cells found for operation.</v>
      </c>
      <c r="AX44" s="15" t="str">
        <f>#REF!</f>
        <v>#VALUE!:noResult:No valid cells found for operation.</v>
      </c>
      <c r="AY44" s="15" t="str">
        <f>#REF!</f>
        <v>#VALUE!:noResult:No valid cells found for operation.</v>
      </c>
      <c r="AZ44" s="15">
        <f>IF(Trans!R[589],"AAAAAB6+vjM=",0)</f>
        <v>0</v>
      </c>
      <c r="BA44" s="15" t="b">
        <f>AND(Trans!A633,"AAAAAB6+vjQ=")</f>
        <v>1</v>
      </c>
      <c r="BB44" s="15" t="str">
        <f>AND(Trans!B633,"AAAAAB6+vjU=")</f>
        <v>#VALUE!:noResult:No valid cells found for operation.</v>
      </c>
      <c r="BC44" s="15" t="b">
        <f>AND(Trans!C633,"AAAAAB6+vjY=")</f>
        <v>1</v>
      </c>
      <c r="BD44" s="15" t="b">
        <f>AND(Trans!D633,"AAAAAB6+vjc=")</f>
        <v>1</v>
      </c>
      <c r="BE44" s="15" t="str">
        <f>AND(Trans!E633,"AAAAAB6+vjg=")</f>
        <v>#VALUE!:noResult:No valid cells found for operation.</v>
      </c>
      <c r="BF44" s="15" t="str">
        <f>AND(Trans!F633,"AAAAAB6+vjk=")</f>
        <v>#VALUE!:noResult:No valid cells found for operation.</v>
      </c>
      <c r="BG44" s="15" t="str">
        <f>AND(Trans!G633,"AAAAAB6+vjo=")</f>
        <v>#VALUE!:noResult:No valid cells found for operation.</v>
      </c>
      <c r="BH44" s="15" t="str">
        <f>#REF!</f>
        <v>#VALUE!:noResult:No valid cells found for operation.</v>
      </c>
      <c r="BI44" s="15" t="str">
        <f>AND(Trans!H633,"AAAAAB6+vjw=")</f>
        <v>#VALUE!:noResult:No valid cells found for operation.</v>
      </c>
      <c r="BJ44" s="15" t="str">
        <f>#REF!</f>
        <v>#VALUE!:noResult:No valid cells found for operation.</v>
      </c>
      <c r="BK44" s="15" t="str">
        <f>#REF!</f>
        <v>#VALUE!:noResult:No valid cells found for operation.</v>
      </c>
      <c r="BL44" s="15" t="str">
        <f>#REF!</f>
        <v>#VALUE!:noResult:No valid cells found for operation.</v>
      </c>
      <c r="BM44" s="15" t="str">
        <f>#REF!</f>
        <v>#VALUE!:noResult:No valid cells found for operation.</v>
      </c>
      <c r="BN44" s="15" t="str">
        <f>#REF!</f>
        <v>#VALUE!:noResult:No valid cells found for operation.</v>
      </c>
      <c r="BO44" s="15" t="str">
        <f>#REF!</f>
        <v>#VALUE!:noResult:No valid cells found for operation.</v>
      </c>
      <c r="BP44" s="15">
        <f>IF(Trans!R[590],"AAAAAB6+vkM=",0)</f>
        <v>0</v>
      </c>
      <c r="BQ44" s="15" t="b">
        <f>AND(Trans!A634,"AAAAAB6+vkQ=")</f>
        <v>1</v>
      </c>
      <c r="BR44" s="15" t="str">
        <f>AND(Trans!B634,"AAAAAB6+vkU=")</f>
        <v>#VALUE!:noResult:No valid cells found for operation.</v>
      </c>
      <c r="BS44" s="15" t="b">
        <f>AND(Trans!C634,"AAAAAB6+vkY=")</f>
        <v>1</v>
      </c>
      <c r="BT44" s="15" t="b">
        <f>AND(Trans!D634,"AAAAAB6+vkc=")</f>
        <v>1</v>
      </c>
      <c r="BU44" s="15" t="str">
        <f>AND(Trans!E634,"AAAAAB6+vkg=")</f>
        <v>#VALUE!:noResult:No valid cells found for operation.</v>
      </c>
      <c r="BV44" s="15" t="str">
        <f>AND(Trans!F634,"AAAAAB6+vkk=")</f>
        <v>#VALUE!:noResult:No valid cells found for operation.</v>
      </c>
      <c r="BW44" s="15" t="str">
        <f>AND(Trans!G634,"AAAAAB6+vko=")</f>
        <v>#VALUE!:noResult:No valid cells found for operation.</v>
      </c>
      <c r="BX44" s="15" t="str">
        <f>#REF!</f>
        <v>#VALUE!:noResult:No valid cells found for operation.</v>
      </c>
      <c r="BY44" s="15" t="str">
        <f>AND(Trans!H634,"AAAAAB6+vkw=")</f>
        <v>#VALUE!:noResult:No valid cells found for operation.</v>
      </c>
      <c r="BZ44" s="15" t="str">
        <f>#REF!</f>
        <v>#VALUE!:noResult:No valid cells found for operation.</v>
      </c>
      <c r="CA44" s="15" t="str">
        <f>#REF!</f>
        <v>#VALUE!:noResult:No valid cells found for operation.</v>
      </c>
      <c r="CB44" s="15" t="str">
        <f>#REF!</f>
        <v>#VALUE!:noResult:No valid cells found for operation.</v>
      </c>
      <c r="CC44" s="15" t="str">
        <f>#REF!</f>
        <v>#VALUE!:noResult:No valid cells found for operation.</v>
      </c>
      <c r="CD44" s="15" t="str">
        <f>#REF!</f>
        <v>#VALUE!:noResult:No valid cells found for operation.</v>
      </c>
      <c r="CE44" s="15" t="str">
        <f>#REF!</f>
        <v>#VALUE!:noResult:No valid cells found for operation.</v>
      </c>
      <c r="CF44" s="15">
        <f>IF(Trans!R[591],"AAAAAB6+vlM=",0)</f>
        <v>0</v>
      </c>
      <c r="CG44" s="15" t="b">
        <f>AND(Trans!A635,"AAAAAB6+vlQ=")</f>
        <v>1</v>
      </c>
      <c r="CH44" s="15" t="str">
        <f>AND(Trans!B635,"AAAAAB6+vlU=")</f>
        <v>#VALUE!:noResult:No valid cells found for operation.</v>
      </c>
      <c r="CI44" s="15" t="b">
        <f>AND(Trans!C635,"AAAAAB6+vlY=")</f>
        <v>1</v>
      </c>
      <c r="CJ44" s="15" t="b">
        <f>AND(Trans!D635,"AAAAAB6+vlc=")</f>
        <v>1</v>
      </c>
      <c r="CK44" s="15" t="str">
        <f>AND(Trans!E635,"AAAAAB6+vlg=")</f>
        <v>#VALUE!:noResult:No valid cells found for operation.</v>
      </c>
      <c r="CL44" s="15" t="str">
        <f>AND(Trans!F635,"AAAAAB6+vlk=")</f>
        <v>#VALUE!:noResult:No valid cells found for operation.</v>
      </c>
      <c r="CM44" s="15" t="str">
        <f>AND(Trans!G635,"AAAAAB6+vlo=")</f>
        <v>#VALUE!:noResult:No valid cells found for operation.</v>
      </c>
      <c r="CN44" s="15" t="str">
        <f>#REF!</f>
        <v>#VALUE!:noResult:No valid cells found for operation.</v>
      </c>
      <c r="CO44" s="15" t="str">
        <f>AND(Trans!H635,"AAAAAB6+vlw=")</f>
        <v>#VALUE!:noResult:No valid cells found for operation.</v>
      </c>
      <c r="CP44" s="15" t="str">
        <f>#REF!</f>
        <v>#VALUE!:noResult:No valid cells found for operation.</v>
      </c>
      <c r="CQ44" s="15" t="str">
        <f>#REF!</f>
        <v>#VALUE!:noResult:No valid cells found for operation.</v>
      </c>
      <c r="CR44" s="15" t="str">
        <f>#REF!</f>
        <v>#VALUE!:noResult:No valid cells found for operation.</v>
      </c>
      <c r="CS44" s="15" t="str">
        <f>#REF!</f>
        <v>#VALUE!:noResult:No valid cells found for operation.</v>
      </c>
      <c r="CT44" s="15" t="str">
        <f>#REF!</f>
        <v>#VALUE!:noResult:No valid cells found for operation.</v>
      </c>
      <c r="CU44" s="15" t="str">
        <f>#REF!</f>
        <v>#VALUE!:noResult:No valid cells found for operation.</v>
      </c>
      <c r="CV44" s="15">
        <f>IF(Trans!R[592],"AAAAAB6+vmM=",0)</f>
        <v>0</v>
      </c>
      <c r="CW44" s="15" t="b">
        <f>AND(Trans!A636,"AAAAAB6+vmQ=")</f>
        <v>1</v>
      </c>
      <c r="CX44" s="15" t="str">
        <f>AND(Trans!B636,"AAAAAB6+vmU=")</f>
        <v>#VALUE!:noResult:No valid cells found for operation.</v>
      </c>
      <c r="CY44" s="15" t="b">
        <f>AND(Trans!C636,"AAAAAB6+vmY=")</f>
        <v>1</v>
      </c>
      <c r="CZ44" s="15" t="b">
        <f>AND(Trans!D636,"AAAAAB6+vmc=")</f>
        <v>1</v>
      </c>
      <c r="DA44" s="15" t="str">
        <f>AND(Trans!E636,"AAAAAB6+vmg=")</f>
        <v>#VALUE!:noResult:No valid cells found for operation.</v>
      </c>
      <c r="DB44" s="15" t="str">
        <f>AND(Trans!F636,"AAAAAB6+vmk=")</f>
        <v>#VALUE!:noResult:No valid cells found for operation.</v>
      </c>
      <c r="DC44" s="15" t="str">
        <f>AND(Trans!G636,"AAAAAB6+vmo=")</f>
        <v>#VALUE!:noResult:No valid cells found for operation.</v>
      </c>
      <c r="DD44" s="15" t="str">
        <f>#REF!</f>
        <v>#VALUE!:noResult:No valid cells found for operation.</v>
      </c>
      <c r="DE44" s="15" t="str">
        <f>AND(Trans!H636,"AAAAAB6+vmw=")</f>
        <v>#VALUE!:noResult:No valid cells found for operation.</v>
      </c>
      <c r="DF44" s="15" t="str">
        <f>#REF!</f>
        <v>#VALUE!:noResult:No valid cells found for operation.</v>
      </c>
      <c r="DG44" s="15" t="str">
        <f>#REF!</f>
        <v>#VALUE!:noResult:No valid cells found for operation.</v>
      </c>
      <c r="DH44" s="15" t="str">
        <f>#REF!</f>
        <v>#VALUE!:noResult:No valid cells found for operation.</v>
      </c>
      <c r="DI44" s="15" t="str">
        <f>#REF!</f>
        <v>#VALUE!:noResult:No valid cells found for operation.</v>
      </c>
      <c r="DJ44" s="15" t="str">
        <f>#REF!</f>
        <v>#VALUE!:noResult:No valid cells found for operation.</v>
      </c>
      <c r="DK44" s="15" t="str">
        <f>#REF!</f>
        <v>#VALUE!:noResult:No valid cells found for operation.</v>
      </c>
      <c r="DL44" s="15">
        <f>IF(Trans!R[593],"AAAAAB6+vnM=",0)</f>
        <v>0</v>
      </c>
      <c r="DM44" s="15" t="b">
        <f>AND(Trans!A637,"AAAAAB6+vnQ=")</f>
        <v>1</v>
      </c>
      <c r="DN44" s="15" t="str">
        <f>AND(Trans!B637,"AAAAAB6+vnU=")</f>
        <v>#VALUE!:noResult:No valid cells found for operation.</v>
      </c>
      <c r="DO44" s="15" t="b">
        <f>AND(Trans!C637,"AAAAAB6+vnY=")</f>
        <v>1</v>
      </c>
      <c r="DP44" s="15" t="b">
        <f>AND(Trans!D637,"AAAAAB6+vnc=")</f>
        <v>1</v>
      </c>
      <c r="DQ44" s="15" t="str">
        <f>AND(Trans!E637,"AAAAAB6+vng=")</f>
        <v>#VALUE!:noResult:No valid cells found for operation.</v>
      </c>
      <c r="DR44" s="15" t="str">
        <f>AND(Trans!F637,"AAAAAB6+vnk=")</f>
        <v>#VALUE!:noResult:No valid cells found for operation.</v>
      </c>
      <c r="DS44" s="15" t="str">
        <f>AND(Trans!G637,"AAAAAB6+vno=")</f>
        <v>#VALUE!:noResult:No valid cells found for operation.</v>
      </c>
      <c r="DT44" s="15" t="str">
        <f>#REF!</f>
        <v>#VALUE!:noResult:No valid cells found for operation.</v>
      </c>
      <c r="DU44" s="15" t="str">
        <f>AND(Trans!H637,"AAAAAB6+vnw=")</f>
        <v>#VALUE!:noResult:No valid cells found for operation.</v>
      </c>
      <c r="DV44" s="15" t="str">
        <f>#REF!</f>
        <v>#VALUE!:noResult:No valid cells found for operation.</v>
      </c>
      <c r="DW44" s="15" t="str">
        <f>#REF!</f>
        <v>#VALUE!:noResult:No valid cells found for operation.</v>
      </c>
      <c r="DX44" s="15" t="str">
        <f>#REF!</f>
        <v>#VALUE!:noResult:No valid cells found for operation.</v>
      </c>
      <c r="DY44" s="15" t="str">
        <f>#REF!</f>
        <v>#VALUE!:noResult:No valid cells found for operation.</v>
      </c>
      <c r="DZ44" s="15" t="str">
        <f>#REF!</f>
        <v>#VALUE!:noResult:No valid cells found for operation.</v>
      </c>
      <c r="EA44" s="15" t="str">
        <f>#REF!</f>
        <v>#VALUE!:noResult:No valid cells found for operation.</v>
      </c>
      <c r="EB44" s="15">
        <f>IF(Trans!R[594],"AAAAAB6+voM=",0)</f>
        <v>0</v>
      </c>
      <c r="EC44" s="15" t="b">
        <f>AND(Trans!A638,"AAAAAB6+voQ=")</f>
        <v>1</v>
      </c>
      <c r="ED44" s="15" t="str">
        <f>AND(Trans!B638,"AAAAAB6+voU=")</f>
        <v>#VALUE!:noResult:No valid cells found for operation.</v>
      </c>
      <c r="EE44" s="15" t="b">
        <f>AND(Trans!C638,"AAAAAB6+voY=")</f>
        <v>1</v>
      </c>
      <c r="EF44" s="15" t="b">
        <f>AND(Trans!D638,"AAAAAB6+voc=")</f>
        <v>1</v>
      </c>
      <c r="EG44" s="15" t="str">
        <f>AND(Trans!E638,"AAAAAB6+vog=")</f>
        <v>#VALUE!:noResult:No valid cells found for operation.</v>
      </c>
      <c r="EH44" s="15" t="str">
        <f>AND(Trans!F638,"AAAAAB6+vok=")</f>
        <v>#VALUE!:noResult:No valid cells found for operation.</v>
      </c>
      <c r="EI44" s="15" t="str">
        <f>AND(Trans!G638,"AAAAAB6+voo=")</f>
        <v>#VALUE!:noResult:No valid cells found for operation.</v>
      </c>
      <c r="EJ44" s="15" t="str">
        <f>#REF!</f>
        <v>#VALUE!:noResult:No valid cells found for operation.</v>
      </c>
      <c r="EK44" s="15" t="str">
        <f>AND(Trans!H638,"AAAAAB6+vow=")</f>
        <v>#VALUE!:noResult:No valid cells found for operation.</v>
      </c>
      <c r="EL44" s="15" t="str">
        <f>#REF!</f>
        <v>#VALUE!:noResult:No valid cells found for operation.</v>
      </c>
      <c r="EM44" s="15" t="str">
        <f>#REF!</f>
        <v>#VALUE!:noResult:No valid cells found for operation.</v>
      </c>
      <c r="EN44" s="15" t="str">
        <f>#REF!</f>
        <v>#VALUE!:noResult:No valid cells found for operation.</v>
      </c>
      <c r="EO44" s="15" t="str">
        <f>#REF!</f>
        <v>#VALUE!:noResult:No valid cells found for operation.</v>
      </c>
      <c r="EP44" s="15" t="str">
        <f>#REF!</f>
        <v>#VALUE!:noResult:No valid cells found for operation.</v>
      </c>
      <c r="EQ44" s="15" t="str">
        <f>#REF!</f>
        <v>#VALUE!:noResult:No valid cells found for operation.</v>
      </c>
      <c r="ER44" s="15">
        <f>IF(Trans!R[595],"AAAAAB6+vpM=",0)</f>
        <v>0</v>
      </c>
      <c r="ES44" s="15" t="b">
        <f>AND(Trans!A639,"AAAAAB6+vpQ=")</f>
        <v>1</v>
      </c>
      <c r="ET44" s="15" t="str">
        <f>AND(Trans!B639,"AAAAAB6+vpU=")</f>
        <v>#VALUE!:noResult:No valid cells found for operation.</v>
      </c>
      <c r="EU44" s="15" t="b">
        <f>AND(Trans!C639,"AAAAAB6+vpY=")</f>
        <v>1</v>
      </c>
      <c r="EV44" s="15" t="b">
        <f>AND(Trans!D639,"AAAAAB6+vpc=")</f>
        <v>1</v>
      </c>
      <c r="EW44" s="15" t="str">
        <f>AND(Trans!E639,"AAAAAB6+vpg=")</f>
        <v>#VALUE!:noResult:No valid cells found for operation.</v>
      </c>
      <c r="EX44" s="15" t="str">
        <f>AND(Trans!F639,"AAAAAB6+vpk=")</f>
        <v>#VALUE!:noResult:No valid cells found for operation.</v>
      </c>
      <c r="EY44" s="15" t="str">
        <f>AND(Trans!G639,"AAAAAB6+vpo=")</f>
        <v>#VALUE!:noResult:No valid cells found for operation.</v>
      </c>
      <c r="EZ44" s="15" t="str">
        <f>#REF!</f>
        <v>#VALUE!:noResult:No valid cells found for operation.</v>
      </c>
      <c r="FA44" s="15" t="str">
        <f>AND(Trans!H639,"AAAAAB6+vpw=")</f>
        <v>#VALUE!:noResult:No valid cells found for operation.</v>
      </c>
      <c r="FB44" s="15" t="str">
        <f>#REF!</f>
        <v>#VALUE!:noResult:No valid cells found for operation.</v>
      </c>
      <c r="FC44" s="15" t="str">
        <f>#REF!</f>
        <v>#VALUE!:noResult:No valid cells found for operation.</v>
      </c>
      <c r="FD44" s="15" t="str">
        <f>#REF!</f>
        <v>#VALUE!:noResult:No valid cells found for operation.</v>
      </c>
      <c r="FE44" s="15" t="str">
        <f>#REF!</f>
        <v>#VALUE!:noResult:No valid cells found for operation.</v>
      </c>
      <c r="FF44" s="15" t="str">
        <f>#REF!</f>
        <v>#VALUE!:noResult:No valid cells found for operation.</v>
      </c>
      <c r="FG44" s="15" t="str">
        <f>#REF!</f>
        <v>#VALUE!:noResult:No valid cells found for operation.</v>
      </c>
      <c r="FH44" s="15">
        <f>IF(Trans!R[596],"AAAAAB6+vqM=",0)</f>
        <v>0</v>
      </c>
      <c r="FI44" s="15" t="b">
        <f>AND(Trans!A640,"AAAAAB6+vqQ=")</f>
        <v>1</v>
      </c>
      <c r="FJ44" s="15" t="str">
        <f>AND(Trans!B640,"AAAAAB6+vqU=")</f>
        <v>#VALUE!:noResult:No valid cells found for operation.</v>
      </c>
      <c r="FK44" s="15" t="b">
        <f>AND(Trans!C640,"AAAAAB6+vqY=")</f>
        <v>1</v>
      </c>
      <c r="FL44" s="15" t="b">
        <f>AND(Trans!D640,"AAAAAB6+vqc=")</f>
        <v>1</v>
      </c>
      <c r="FM44" s="15" t="str">
        <f>AND(Trans!E640,"AAAAAB6+vqg=")</f>
        <v>#VALUE!:noResult:No valid cells found for operation.</v>
      </c>
      <c r="FN44" s="15" t="str">
        <f>AND(Trans!F640,"AAAAAB6+vqk=")</f>
        <v>#VALUE!:noResult:No valid cells found for operation.</v>
      </c>
      <c r="FO44" s="15" t="str">
        <f>AND(Trans!G640,"AAAAAB6+vqo=")</f>
        <v>#VALUE!:noResult:No valid cells found for operation.</v>
      </c>
      <c r="FP44" s="15" t="str">
        <f>#REF!</f>
        <v>#VALUE!:noResult:No valid cells found for operation.</v>
      </c>
      <c r="FQ44" s="15" t="str">
        <f>AND(Trans!H640,"AAAAAB6+vqw=")</f>
        <v>#VALUE!:noResult:No valid cells found for operation.</v>
      </c>
      <c r="FR44" s="15" t="str">
        <f>#REF!</f>
        <v>#VALUE!:noResult:No valid cells found for operation.</v>
      </c>
      <c r="FS44" s="15" t="str">
        <f>#REF!</f>
        <v>#VALUE!:noResult:No valid cells found for operation.</v>
      </c>
      <c r="FT44" s="15" t="str">
        <f>#REF!</f>
        <v>#VALUE!:noResult:No valid cells found for operation.</v>
      </c>
      <c r="FU44" s="15" t="str">
        <f>#REF!</f>
        <v>#VALUE!:noResult:No valid cells found for operation.</v>
      </c>
      <c r="FV44" s="15" t="str">
        <f>#REF!</f>
        <v>#VALUE!:noResult:No valid cells found for operation.</v>
      </c>
      <c r="FW44" s="15" t="str">
        <f>#REF!</f>
        <v>#VALUE!:noResult:No valid cells found for operation.</v>
      </c>
      <c r="FX44" s="15">
        <f>IF(Trans!R[597],"AAAAAB6+vrM=",0)</f>
        <v>0</v>
      </c>
      <c r="FY44" s="15" t="b">
        <f>AND(Trans!A641,"AAAAAB6+vrQ=")</f>
        <v>1</v>
      </c>
      <c r="FZ44" s="15" t="str">
        <f>AND(Trans!B641,"AAAAAB6+vrU=")</f>
        <v>#VALUE!:noResult:No valid cells found for operation.</v>
      </c>
      <c r="GA44" s="15" t="b">
        <f>AND(Trans!C641,"AAAAAB6+vrY=")</f>
        <v>1</v>
      </c>
      <c r="GB44" s="15" t="b">
        <f>AND(Trans!D641,"AAAAAB6+vrc=")</f>
        <v>1</v>
      </c>
      <c r="GC44" s="15" t="str">
        <f>AND(Trans!E641,"AAAAAB6+vrg=")</f>
        <v>#VALUE!:noResult:No valid cells found for operation.</v>
      </c>
      <c r="GD44" s="15" t="str">
        <f>AND(Trans!F641,"AAAAAB6+vrk=")</f>
        <v>#VALUE!:noResult:No valid cells found for operation.</v>
      </c>
      <c r="GE44" s="15" t="str">
        <f>AND(Trans!G641,"AAAAAB6+vro=")</f>
        <v>#VALUE!:noResult:No valid cells found for operation.</v>
      </c>
      <c r="GF44" s="15" t="str">
        <f>#REF!</f>
        <v>#VALUE!:noResult:No valid cells found for operation.</v>
      </c>
      <c r="GG44" s="15" t="str">
        <f>AND(Trans!H641,"AAAAAB6+vrw=")</f>
        <v>#VALUE!:noResult:No valid cells found for operation.</v>
      </c>
      <c r="GH44" s="15" t="str">
        <f>#REF!</f>
        <v>#VALUE!:noResult:No valid cells found for operation.</v>
      </c>
      <c r="GI44" s="15" t="str">
        <f>#REF!</f>
        <v>#VALUE!:noResult:No valid cells found for operation.</v>
      </c>
      <c r="GJ44" s="15" t="str">
        <f>#REF!</f>
        <v>#VALUE!:noResult:No valid cells found for operation.</v>
      </c>
      <c r="GK44" s="15" t="str">
        <f>#REF!</f>
        <v>#VALUE!:noResult:No valid cells found for operation.</v>
      </c>
      <c r="GL44" s="15" t="str">
        <f>#REF!</f>
        <v>#VALUE!:noResult:No valid cells found for operation.</v>
      </c>
      <c r="GM44" s="15" t="str">
        <f>#REF!</f>
        <v>#VALUE!:noResult:No valid cells found for operation.</v>
      </c>
      <c r="GN44" s="15">
        <f>IF(Trans!R[598],"AAAAAB6+vsM=",0)</f>
        <v>0</v>
      </c>
      <c r="GO44" s="15" t="b">
        <f>AND(Trans!A642,"AAAAAB6+vsQ=")</f>
        <v>1</v>
      </c>
      <c r="GP44" s="15" t="str">
        <f>AND(Trans!B642,"AAAAAB6+vsU=")</f>
        <v>#VALUE!:noResult:No valid cells found for operation.</v>
      </c>
      <c r="GQ44" s="15" t="b">
        <f>AND(Trans!C642,"AAAAAB6+vsY=")</f>
        <v>1</v>
      </c>
      <c r="GR44" s="15" t="b">
        <f>AND(Trans!D642,"AAAAAB6+vsc=")</f>
        <v>1</v>
      </c>
      <c r="GS44" s="15" t="str">
        <f>AND(Trans!E642,"AAAAAB6+vsg=")</f>
        <v>#VALUE!:noResult:No valid cells found for operation.</v>
      </c>
      <c r="GT44" s="15" t="str">
        <f>AND(Trans!F642,"AAAAAB6+vsk=")</f>
        <v>#VALUE!:noResult:No valid cells found for operation.</v>
      </c>
      <c r="GU44" s="15" t="str">
        <f>AND(Trans!G642,"AAAAAB6+vso=")</f>
        <v>#VALUE!:noResult:No valid cells found for operation.</v>
      </c>
      <c r="GV44" s="15" t="str">
        <f>#REF!</f>
        <v>#VALUE!:noResult:No valid cells found for operation.</v>
      </c>
      <c r="GW44" s="15" t="str">
        <f>AND(Trans!H642,"AAAAAB6+vsw=")</f>
        <v>#VALUE!:noResult:No valid cells found for operation.</v>
      </c>
      <c r="GX44" s="15" t="str">
        <f>#REF!</f>
        <v>#VALUE!:noResult:No valid cells found for operation.</v>
      </c>
      <c r="GY44" s="15" t="str">
        <f>#REF!</f>
        <v>#VALUE!:noResult:No valid cells found for operation.</v>
      </c>
      <c r="GZ44" s="15" t="str">
        <f>#REF!</f>
        <v>#VALUE!:noResult:No valid cells found for operation.</v>
      </c>
      <c r="HA44" s="15" t="str">
        <f>#REF!</f>
        <v>#VALUE!:noResult:No valid cells found for operation.</v>
      </c>
      <c r="HB44" s="15" t="str">
        <f>#REF!</f>
        <v>#VALUE!:noResult:No valid cells found for operation.</v>
      </c>
      <c r="HC44" s="15" t="str">
        <f>#REF!</f>
        <v>#VALUE!:noResult:No valid cells found for operation.</v>
      </c>
      <c r="HD44" s="15">
        <f>IF(Trans!R[599],"AAAAAB6+vtM=",0)</f>
        <v>0</v>
      </c>
      <c r="HE44" s="15" t="b">
        <f>AND(Trans!A643,"AAAAAB6+vtQ=")</f>
        <v>1</v>
      </c>
      <c r="HF44" s="15" t="str">
        <f>AND(Trans!B643,"AAAAAB6+vtU=")</f>
        <v>#VALUE!:noResult:No valid cells found for operation.</v>
      </c>
      <c r="HG44" s="15" t="b">
        <f>AND(Trans!C643,"AAAAAB6+vtY=")</f>
        <v>1</v>
      </c>
      <c r="HH44" s="15" t="b">
        <f>AND(Trans!D643,"AAAAAB6+vtc=")</f>
        <v>1</v>
      </c>
      <c r="HI44" s="15" t="str">
        <f>AND(Trans!E643,"AAAAAB6+vtg=")</f>
        <v>#VALUE!:noResult:No valid cells found for operation.</v>
      </c>
      <c r="HJ44" s="15" t="str">
        <f>AND(Trans!F643,"AAAAAB6+vtk=")</f>
        <v>#VALUE!:noResult:No valid cells found for operation.</v>
      </c>
      <c r="HK44" s="15" t="str">
        <f>AND(Trans!G643,"AAAAAB6+vto=")</f>
        <v>#VALUE!:noResult:No valid cells found for operation.</v>
      </c>
      <c r="HL44" s="15" t="str">
        <f>#REF!</f>
        <v>#VALUE!:noResult:No valid cells found for operation.</v>
      </c>
      <c r="HM44" s="15" t="str">
        <f>AND(Trans!H643,"AAAAAB6+vtw=")</f>
        <v>#VALUE!:noResult:No valid cells found for operation.</v>
      </c>
      <c r="HN44" s="15" t="str">
        <f>#REF!</f>
        <v>#VALUE!:noResult:No valid cells found for operation.</v>
      </c>
      <c r="HO44" s="15" t="str">
        <f>#REF!</f>
        <v>#VALUE!:noResult:No valid cells found for operation.</v>
      </c>
      <c r="HP44" s="15" t="str">
        <f>#REF!</f>
        <v>#VALUE!:noResult:No valid cells found for operation.</v>
      </c>
      <c r="HQ44" s="15" t="str">
        <f>#REF!</f>
        <v>#VALUE!:noResult:No valid cells found for operation.</v>
      </c>
      <c r="HR44" s="15" t="str">
        <f>#REF!</f>
        <v>#VALUE!:noResult:No valid cells found for operation.</v>
      </c>
      <c r="HS44" s="15" t="str">
        <f>#REF!</f>
        <v>#VALUE!:noResult:No valid cells found for operation.</v>
      </c>
      <c r="HT44" s="15">
        <f>IF(Trans!R[600],"AAAAAB6+vuM=",0)</f>
        <v>0</v>
      </c>
      <c r="HU44" s="15" t="b">
        <f>AND(Trans!A644,"AAAAAB6+vuQ=")</f>
        <v>1</v>
      </c>
      <c r="HV44" s="15" t="str">
        <f>AND(Trans!B644,"AAAAAB6+vuU=")</f>
        <v>#VALUE!:noResult:No valid cells found for operation.</v>
      </c>
      <c r="HW44" s="15" t="b">
        <f>AND(Trans!C644,"AAAAAB6+vuY=")</f>
        <v>1</v>
      </c>
      <c r="HX44" s="15" t="b">
        <f>AND(Trans!D644,"AAAAAB6+vuc=")</f>
        <v>1</v>
      </c>
      <c r="HY44" s="15" t="str">
        <f>AND(Trans!E644,"AAAAAB6+vug=")</f>
        <v>#VALUE!:noResult:No valid cells found for operation.</v>
      </c>
      <c r="HZ44" s="15" t="str">
        <f>AND(Trans!F644,"AAAAAB6+vuk=")</f>
        <v>#VALUE!:noResult:No valid cells found for operation.</v>
      </c>
      <c r="IA44" s="15" t="str">
        <f>AND(Trans!G644,"AAAAAB6+vuo=")</f>
        <v>#VALUE!:noResult:No valid cells found for operation.</v>
      </c>
      <c r="IB44" s="15" t="str">
        <f>#REF!</f>
        <v>#VALUE!:noResult:No valid cells found for operation.</v>
      </c>
      <c r="IC44" s="15" t="str">
        <f>AND(Trans!H644,"AAAAAB6+vuw=")</f>
        <v>#VALUE!:noResult:No valid cells found for operation.</v>
      </c>
      <c r="ID44" s="15" t="str">
        <f>#REF!</f>
        <v>#VALUE!:noResult:No valid cells found for operation.</v>
      </c>
      <c r="IE44" s="15" t="str">
        <f>#REF!</f>
        <v>#VALUE!:noResult:No valid cells found for operation.</v>
      </c>
      <c r="IF44" s="15" t="str">
        <f>#REF!</f>
        <v>#VALUE!:noResult:No valid cells found for operation.</v>
      </c>
      <c r="IG44" s="15" t="str">
        <f>#REF!</f>
        <v>#VALUE!:noResult:No valid cells found for operation.</v>
      </c>
      <c r="IH44" s="15" t="str">
        <f>#REF!</f>
        <v>#VALUE!:noResult:No valid cells found for operation.</v>
      </c>
      <c r="II44" s="15" t="str">
        <f>#REF!</f>
        <v>#VALUE!:noResult:No valid cells found for operation.</v>
      </c>
      <c r="IJ44" s="15">
        <f>IF(Trans!R[601],"AAAAAB6+vvM=",0)</f>
        <v>0</v>
      </c>
      <c r="IK44" s="15" t="b">
        <f>AND(Trans!A645,"AAAAAB6+vvQ=")</f>
        <v>1</v>
      </c>
      <c r="IL44" s="15" t="str">
        <f>AND(Trans!B645,"AAAAAB6+vvU=")</f>
        <v>#VALUE!:noResult:No valid cells found for operation.</v>
      </c>
      <c r="IM44" s="15" t="b">
        <f>AND(Trans!C645,"AAAAAB6+vvY=")</f>
        <v>1</v>
      </c>
      <c r="IN44" s="15" t="b">
        <f>AND(Trans!D645,"AAAAAB6+vvc=")</f>
        <v>1</v>
      </c>
      <c r="IO44" s="15" t="str">
        <f>AND(Trans!E645,"AAAAAB6+vvg=")</f>
        <v>#VALUE!:noResult:No valid cells found for operation.</v>
      </c>
      <c r="IP44" s="15" t="str">
        <f>AND(Trans!F645,"AAAAAB6+vvk=")</f>
        <v>#VALUE!:noResult:No valid cells found for operation.</v>
      </c>
      <c r="IQ44" s="15" t="str">
        <f>AND(Trans!G645,"AAAAAB6+vvo=")</f>
        <v>#VALUE!:noResult:No valid cells found for operation.</v>
      </c>
      <c r="IR44" s="15" t="str">
        <f>#REF!</f>
        <v>#VALUE!:noResult:No valid cells found for operation.</v>
      </c>
      <c r="IS44" s="15" t="str">
        <f>AND(Trans!H645,"AAAAAB6+vvw=")</f>
        <v>#VALUE!:noResult:No valid cells found for operation.</v>
      </c>
      <c r="IT44" s="15" t="str">
        <f>#REF!</f>
        <v>#VALUE!:noResult:No valid cells found for operation.</v>
      </c>
      <c r="IU44" s="15" t="str">
        <f>#REF!</f>
        <v>#VALUE!:noResult:No valid cells found for operation.</v>
      </c>
      <c r="IV44" s="15" t="str">
        <f>#REF!</f>
        <v>#VALUE!:noResult:No valid cells found for operation.</v>
      </c>
    </row>
    <row r="45">
      <c r="A45" s="15" t="str">
        <f>#REF!</f>
        <v>#VALUE!:noResult:No valid cells found for operation.</v>
      </c>
      <c r="B45" s="15" t="str">
        <f>#REF!</f>
        <v>#VALUE!:noResult:No valid cells found for operation.</v>
      </c>
      <c r="C45" s="15" t="str">
        <f>#REF!</f>
        <v>#VALUE!:noResult:No valid cells found for operation.</v>
      </c>
      <c r="D45" s="15" t="str">
        <f>IF(Trans!R[601],"AAAAAH71zwM=",0)</f>
        <v>AAAAAH71zwM=</v>
      </c>
      <c r="E45" s="15" t="b">
        <f>AND(Trans!A646,"AAAAAH71zwQ=")</f>
        <v>1</v>
      </c>
      <c r="F45" s="15" t="str">
        <f>AND(Trans!B646,"AAAAAH71zwU=")</f>
        <v>#VALUE!:noResult:No valid cells found for operation.</v>
      </c>
      <c r="G45" s="15" t="b">
        <f>AND(Trans!C646,"AAAAAH71zwY=")</f>
        <v>1</v>
      </c>
      <c r="H45" s="15" t="b">
        <f>AND(Trans!D646,"AAAAAH71zwc=")</f>
        <v>1</v>
      </c>
      <c r="I45" s="15" t="str">
        <f>AND(Trans!E646,"AAAAAH71zwg=")</f>
        <v>#VALUE!:noResult:No valid cells found for operation.</v>
      </c>
      <c r="J45" s="15" t="str">
        <f>AND(Trans!F646,"AAAAAH71zwk=")</f>
        <v>#VALUE!:noResult:No valid cells found for operation.</v>
      </c>
      <c r="K45" s="15" t="str">
        <f>AND(Trans!G646,"AAAAAH71zwo=")</f>
        <v>#VALUE!:noResult:No valid cells found for operation.</v>
      </c>
      <c r="L45" s="15" t="str">
        <f>#REF!</f>
        <v>#VALUE!:noResult:No valid cells found for operation.</v>
      </c>
      <c r="M45" s="15" t="str">
        <f>AND(Trans!H646,"AAAAAH71zww=")</f>
        <v>#VALUE!:noResult:No valid cells found for operation.</v>
      </c>
      <c r="N45" s="15" t="str">
        <f>#REF!</f>
        <v>#VALUE!:noResult:No valid cells found for operation.</v>
      </c>
      <c r="O45" s="15" t="str">
        <f>#REF!</f>
        <v>#VALUE!:noResult:No valid cells found for operation.</v>
      </c>
      <c r="P45" s="15" t="str">
        <f>#REF!</f>
        <v>#VALUE!:noResult:No valid cells found for operation.</v>
      </c>
      <c r="Q45" s="15" t="str">
        <f>#REF!</f>
        <v>#VALUE!:noResult:No valid cells found for operation.</v>
      </c>
      <c r="R45" s="15" t="str">
        <f>#REF!</f>
        <v>#VALUE!:noResult:No valid cells found for operation.</v>
      </c>
      <c r="S45" s="15" t="str">
        <f>#REF!</f>
        <v>#VALUE!:noResult:No valid cells found for operation.</v>
      </c>
      <c r="T45" s="15">
        <f>IF(Trans!R[602],"AAAAAH71zxM=",0)</f>
        <v>0</v>
      </c>
      <c r="U45" s="15" t="b">
        <f>AND(Trans!A647,"AAAAAH71zxQ=")</f>
        <v>1</v>
      </c>
      <c r="V45" s="15" t="str">
        <f>AND(Trans!B647,"AAAAAH71zxU=")</f>
        <v>#VALUE!:noResult:No valid cells found for operation.</v>
      </c>
      <c r="W45" s="15" t="b">
        <f>AND(Trans!C647,"AAAAAH71zxY=")</f>
        <v>1</v>
      </c>
      <c r="X45" s="15" t="b">
        <f>AND(Trans!D647,"AAAAAH71zxc=")</f>
        <v>1</v>
      </c>
      <c r="Y45" s="15" t="str">
        <f>AND(Trans!E647,"AAAAAH71zxg=")</f>
        <v>#VALUE!:noResult:No valid cells found for operation.</v>
      </c>
      <c r="Z45" s="15" t="str">
        <f>AND(Trans!F647,"AAAAAH71zxk=")</f>
        <v>#VALUE!:noResult:No valid cells found for operation.</v>
      </c>
      <c r="AA45" s="15" t="str">
        <f>AND(Trans!G647,"AAAAAH71zxo=")</f>
        <v>#VALUE!:noResult:No valid cells found for operation.</v>
      </c>
      <c r="AB45" s="15" t="str">
        <f>#REF!</f>
        <v>#VALUE!:noResult:No valid cells found for operation.</v>
      </c>
      <c r="AC45" s="15" t="str">
        <f>AND(Trans!H647,"AAAAAH71zxw=")</f>
        <v>#VALUE!:noResult:No valid cells found for operation.</v>
      </c>
      <c r="AD45" s="15" t="str">
        <f>#REF!</f>
        <v>#VALUE!:noResult:No valid cells found for operation.</v>
      </c>
      <c r="AE45" s="15" t="str">
        <f>#REF!</f>
        <v>#VALUE!:noResult:No valid cells found for operation.</v>
      </c>
      <c r="AF45" s="15" t="str">
        <f>#REF!</f>
        <v>#VALUE!:noResult:No valid cells found for operation.</v>
      </c>
      <c r="AG45" s="15" t="str">
        <f>#REF!</f>
        <v>#VALUE!:noResult:No valid cells found for operation.</v>
      </c>
      <c r="AH45" s="15" t="str">
        <f>#REF!</f>
        <v>#VALUE!:noResult:No valid cells found for operation.</v>
      </c>
      <c r="AI45" s="15" t="str">
        <f>#REF!</f>
        <v>#VALUE!:noResult:No valid cells found for operation.</v>
      </c>
      <c r="AJ45" s="15">
        <f>IF(Trans!R[603],"AAAAAH71zyM=",0)</f>
        <v>0</v>
      </c>
      <c r="AK45" s="15" t="b">
        <f>AND(Trans!A648,"AAAAAH71zyQ=")</f>
        <v>1</v>
      </c>
      <c r="AL45" s="15" t="str">
        <f>AND(Trans!B648,"AAAAAH71zyU=")</f>
        <v>#VALUE!:noResult:No valid cells found for operation.</v>
      </c>
      <c r="AM45" s="15" t="b">
        <f>AND(Trans!C648,"AAAAAH71zyY=")</f>
        <v>1</v>
      </c>
      <c r="AN45" s="15" t="b">
        <f>AND(Trans!D648,"AAAAAH71zyc=")</f>
        <v>1</v>
      </c>
      <c r="AO45" s="15" t="str">
        <f>AND(Trans!E648,"AAAAAH71zyg=")</f>
        <v>#VALUE!:noResult:No valid cells found for operation.</v>
      </c>
      <c r="AP45" s="15" t="str">
        <f>AND(Trans!F648,"AAAAAH71zyk=")</f>
        <v>#VALUE!:noResult:No valid cells found for operation.</v>
      </c>
      <c r="AQ45" s="15" t="str">
        <f>AND(Trans!G648,"AAAAAH71zyo=")</f>
        <v>#VALUE!:noResult:No valid cells found for operation.</v>
      </c>
      <c r="AR45" s="15" t="str">
        <f>#REF!</f>
        <v>#VALUE!:noResult:No valid cells found for operation.</v>
      </c>
      <c r="AS45" s="15" t="str">
        <f>AND(Trans!H648,"AAAAAH71zyw=")</f>
        <v>#VALUE!:noResult:No valid cells found for operation.</v>
      </c>
      <c r="AT45" s="15" t="str">
        <f>#REF!</f>
        <v>#VALUE!:noResult:No valid cells found for operation.</v>
      </c>
      <c r="AU45" s="15" t="str">
        <f>#REF!</f>
        <v>#VALUE!:noResult:No valid cells found for operation.</v>
      </c>
      <c r="AV45" s="15" t="str">
        <f>#REF!</f>
        <v>#VALUE!:noResult:No valid cells found for operation.</v>
      </c>
      <c r="AW45" s="15" t="str">
        <f>#REF!</f>
        <v>#VALUE!:noResult:No valid cells found for operation.</v>
      </c>
      <c r="AX45" s="15" t="str">
        <f>#REF!</f>
        <v>#VALUE!:noResult:No valid cells found for operation.</v>
      </c>
      <c r="AY45" s="15" t="str">
        <f>#REF!</f>
        <v>#VALUE!:noResult:No valid cells found for operation.</v>
      </c>
      <c r="AZ45" s="15">
        <f>IF(Trans!R[604],"AAAAAH71zzM=",0)</f>
        <v>0</v>
      </c>
      <c r="BA45" s="15" t="b">
        <f>AND(Trans!A649,"AAAAAH71zzQ=")</f>
        <v>1</v>
      </c>
      <c r="BB45" s="15" t="str">
        <f>AND(Trans!B649,"AAAAAH71zzU=")</f>
        <v>#VALUE!:noResult:No valid cells found for operation.</v>
      </c>
      <c r="BC45" s="15" t="b">
        <f>AND(Trans!C649,"AAAAAH71zzY=")</f>
        <v>1</v>
      </c>
      <c r="BD45" s="15" t="b">
        <f>AND(Trans!D649,"AAAAAH71zzc=")</f>
        <v>1</v>
      </c>
      <c r="BE45" s="15" t="str">
        <f>AND(Trans!E649,"AAAAAH71zzg=")</f>
        <v>#VALUE!:noResult:No valid cells found for operation.</v>
      </c>
      <c r="BF45" s="15" t="str">
        <f>AND(Trans!F649,"AAAAAH71zzk=")</f>
        <v>#VALUE!:noResult:No valid cells found for operation.</v>
      </c>
      <c r="BG45" s="15" t="str">
        <f>AND(Trans!G649,"AAAAAH71zzo=")</f>
        <v>#VALUE!:noResult:No valid cells found for operation.</v>
      </c>
      <c r="BH45" s="15" t="str">
        <f>#REF!</f>
        <v>#VALUE!:noResult:No valid cells found for operation.</v>
      </c>
      <c r="BI45" s="15" t="str">
        <f>AND(Trans!H649,"AAAAAH71zzw=")</f>
        <v>#VALUE!:noResult:No valid cells found for operation.</v>
      </c>
      <c r="BJ45" s="15" t="str">
        <f>#REF!</f>
        <v>#VALUE!:noResult:No valid cells found for operation.</v>
      </c>
      <c r="BK45" s="15" t="str">
        <f>#REF!</f>
        <v>#VALUE!:noResult:No valid cells found for operation.</v>
      </c>
      <c r="BL45" s="15" t="str">
        <f>#REF!</f>
        <v>#VALUE!:noResult:No valid cells found for operation.</v>
      </c>
      <c r="BM45" s="15" t="str">
        <f>#REF!</f>
        <v>#VALUE!:noResult:No valid cells found for operation.</v>
      </c>
      <c r="BN45" s="15" t="str">
        <f>#REF!</f>
        <v>#VALUE!:noResult:No valid cells found for operation.</v>
      </c>
      <c r="BO45" s="15" t="str">
        <f>#REF!</f>
        <v>#VALUE!:noResult:No valid cells found for operation.</v>
      </c>
      <c r="BP45" s="15">
        <f>IF(Trans!R[605],"AAAAAH71z0M=",0)</f>
        <v>0</v>
      </c>
      <c r="BQ45" s="15" t="b">
        <f>AND(Trans!A650,"AAAAAH71z0Q=")</f>
        <v>1</v>
      </c>
      <c r="BR45" s="15" t="str">
        <f>AND(Trans!B650,"AAAAAH71z0U=")</f>
        <v>#VALUE!:noResult:No valid cells found for operation.</v>
      </c>
      <c r="BS45" s="15" t="b">
        <f>AND(Trans!C650,"AAAAAH71z0Y=")</f>
        <v>1</v>
      </c>
      <c r="BT45" s="15" t="b">
        <f>AND(Trans!D650,"AAAAAH71z0c=")</f>
        <v>1</v>
      </c>
      <c r="BU45" s="15" t="str">
        <f>AND(Trans!E650,"AAAAAH71z0g=")</f>
        <v>#VALUE!:noResult:No valid cells found for operation.</v>
      </c>
      <c r="BV45" s="15" t="str">
        <f>AND(Trans!F650,"AAAAAH71z0k=")</f>
        <v>#VALUE!:noResult:No valid cells found for operation.</v>
      </c>
      <c r="BW45" s="15" t="str">
        <f>AND(Trans!G650,"AAAAAH71z0o=")</f>
        <v>#VALUE!:noResult:No valid cells found for operation.</v>
      </c>
      <c r="BX45" s="15" t="str">
        <f>#REF!</f>
        <v>#VALUE!:noResult:No valid cells found for operation.</v>
      </c>
      <c r="BY45" s="15" t="str">
        <f>AND(Trans!H650,"AAAAAH71z0w=")</f>
        <v>#VALUE!:noResult:No valid cells found for operation.</v>
      </c>
      <c r="BZ45" s="15" t="str">
        <f>#REF!</f>
        <v>#VALUE!:noResult:No valid cells found for operation.</v>
      </c>
      <c r="CA45" s="15" t="str">
        <f>#REF!</f>
        <v>#VALUE!:noResult:No valid cells found for operation.</v>
      </c>
      <c r="CB45" s="15" t="str">
        <f>#REF!</f>
        <v>#VALUE!:noResult:No valid cells found for operation.</v>
      </c>
      <c r="CC45" s="15" t="str">
        <f>#REF!</f>
        <v>#VALUE!:noResult:No valid cells found for operation.</v>
      </c>
      <c r="CD45" s="15" t="str">
        <f>#REF!</f>
        <v>#VALUE!:noResult:No valid cells found for operation.</v>
      </c>
      <c r="CE45" s="15" t="str">
        <f>#REF!</f>
        <v>#VALUE!:noResult:No valid cells found for operation.</v>
      </c>
      <c r="CF45" s="15">
        <f>IF(Trans!R[606],"AAAAAH71z1M=",0)</f>
        <v>0</v>
      </c>
      <c r="CG45" s="15" t="b">
        <f>AND(Trans!A651,"AAAAAH71z1Q=")</f>
        <v>1</v>
      </c>
      <c r="CH45" s="15" t="str">
        <f>AND(Trans!B651,"AAAAAH71z1U=")</f>
        <v>#VALUE!:noResult:No valid cells found for operation.</v>
      </c>
      <c r="CI45" s="15" t="b">
        <f>AND(Trans!C651,"AAAAAH71z1Y=")</f>
        <v>1</v>
      </c>
      <c r="CJ45" s="15" t="b">
        <f>AND(Trans!D651,"AAAAAH71z1c=")</f>
        <v>1</v>
      </c>
      <c r="CK45" s="15" t="str">
        <f>AND(Trans!E651,"AAAAAH71z1g=")</f>
        <v>#VALUE!:noResult:No valid cells found for operation.</v>
      </c>
      <c r="CL45" s="15" t="str">
        <f>AND(Trans!F651,"AAAAAH71z1k=")</f>
        <v>#VALUE!:noResult:No valid cells found for operation.</v>
      </c>
      <c r="CM45" s="15" t="str">
        <f>AND(Trans!G651,"AAAAAH71z1o=")</f>
        <v>#VALUE!:noResult:No valid cells found for operation.</v>
      </c>
      <c r="CN45" s="15" t="str">
        <f>#REF!</f>
        <v>#VALUE!:noResult:No valid cells found for operation.</v>
      </c>
      <c r="CO45" s="15" t="str">
        <f>AND(Trans!H651,"AAAAAH71z1w=")</f>
        <v>#VALUE!:noResult:No valid cells found for operation.</v>
      </c>
      <c r="CP45" s="15" t="str">
        <f>#REF!</f>
        <v>#VALUE!:noResult:No valid cells found for operation.</v>
      </c>
      <c r="CQ45" s="15" t="str">
        <f>#REF!</f>
        <v>#VALUE!:noResult:No valid cells found for operation.</v>
      </c>
      <c r="CR45" s="15" t="str">
        <f>#REF!</f>
        <v>#VALUE!:noResult:No valid cells found for operation.</v>
      </c>
      <c r="CS45" s="15" t="str">
        <f>#REF!</f>
        <v>#VALUE!:noResult:No valid cells found for operation.</v>
      </c>
      <c r="CT45" s="15" t="str">
        <f>#REF!</f>
        <v>#VALUE!:noResult:No valid cells found for operation.</v>
      </c>
      <c r="CU45" s="15" t="str">
        <f>#REF!</f>
        <v>#VALUE!:noResult:No valid cells found for operation.</v>
      </c>
      <c r="CV45" s="15">
        <f>IF(Trans!R[607],"AAAAAH71z2M=",0)</f>
        <v>0</v>
      </c>
      <c r="CW45" s="15" t="b">
        <f>AND(Trans!A652,"AAAAAH71z2Q=")</f>
        <v>1</v>
      </c>
      <c r="CX45" s="15" t="str">
        <f>AND(Trans!B652,"AAAAAH71z2U=")</f>
        <v>#VALUE!:noResult:No valid cells found for operation.</v>
      </c>
      <c r="CY45" s="15" t="b">
        <f>AND(Trans!C652,"AAAAAH71z2Y=")</f>
        <v>1</v>
      </c>
      <c r="CZ45" s="15" t="b">
        <f>AND(Trans!D652,"AAAAAH71z2c=")</f>
        <v>1</v>
      </c>
      <c r="DA45" s="15" t="str">
        <f>AND(Trans!E652,"AAAAAH71z2g=")</f>
        <v>#VALUE!:noResult:No valid cells found for operation.</v>
      </c>
      <c r="DB45" s="15" t="str">
        <f>AND(Trans!F652,"AAAAAH71z2k=")</f>
        <v>#VALUE!:noResult:No valid cells found for operation.</v>
      </c>
      <c r="DC45" s="15" t="str">
        <f>AND(Trans!G652,"AAAAAH71z2o=")</f>
        <v>#VALUE!:noResult:No valid cells found for operation.</v>
      </c>
      <c r="DD45" s="15" t="str">
        <f>#REF!</f>
        <v>#VALUE!:noResult:No valid cells found for operation.</v>
      </c>
      <c r="DE45" s="15" t="str">
        <f>AND(Trans!H652,"AAAAAH71z2w=")</f>
        <v>#VALUE!:noResult:No valid cells found for operation.</v>
      </c>
      <c r="DF45" s="15" t="str">
        <f>#REF!</f>
        <v>#VALUE!:noResult:No valid cells found for operation.</v>
      </c>
      <c r="DG45" s="15" t="str">
        <f>#REF!</f>
        <v>#VALUE!:noResult:No valid cells found for operation.</v>
      </c>
      <c r="DH45" s="15" t="str">
        <f>#REF!</f>
        <v>#VALUE!:noResult:No valid cells found for operation.</v>
      </c>
      <c r="DI45" s="15" t="str">
        <f>#REF!</f>
        <v>#VALUE!:noResult:No valid cells found for operation.</v>
      </c>
      <c r="DJ45" s="15" t="str">
        <f>#REF!</f>
        <v>#VALUE!:noResult:No valid cells found for operation.</v>
      </c>
      <c r="DK45" s="15" t="str">
        <f>#REF!</f>
        <v>#VALUE!:noResult:No valid cells found for operation.</v>
      </c>
      <c r="DL45" s="15">
        <f>IF(Trans!R[608],"AAAAAH71z3M=",0)</f>
        <v>0</v>
      </c>
      <c r="DM45" s="15" t="b">
        <f>AND(Trans!A653,"AAAAAH71z3Q=")</f>
        <v>1</v>
      </c>
      <c r="DN45" s="15" t="str">
        <f>AND(Trans!B653,"AAAAAH71z3U=")</f>
        <v>#VALUE!:noResult:No valid cells found for operation.</v>
      </c>
      <c r="DO45" s="15" t="b">
        <f>AND(Trans!C653,"AAAAAH71z3Y=")</f>
        <v>1</v>
      </c>
      <c r="DP45" s="15" t="b">
        <f>AND(Trans!D653,"AAAAAH71z3c=")</f>
        <v>1</v>
      </c>
      <c r="DQ45" s="15" t="str">
        <f>AND(Trans!E653,"AAAAAH71z3g=")</f>
        <v>#VALUE!:noResult:No valid cells found for operation.</v>
      </c>
      <c r="DR45" s="15" t="str">
        <f>AND(Trans!F653,"AAAAAH71z3k=")</f>
        <v>#VALUE!:noResult:No valid cells found for operation.</v>
      </c>
      <c r="DS45" s="15" t="str">
        <f>AND(Trans!G653,"AAAAAH71z3o=")</f>
        <v>#VALUE!:noResult:No valid cells found for operation.</v>
      </c>
      <c r="DT45" s="15" t="str">
        <f>#REF!</f>
        <v>#VALUE!:noResult:No valid cells found for operation.</v>
      </c>
      <c r="DU45" s="15" t="str">
        <f>AND(Trans!H653,"AAAAAH71z3w=")</f>
        <v>#VALUE!:noResult:No valid cells found for operation.</v>
      </c>
      <c r="DV45" s="15" t="str">
        <f>#REF!</f>
        <v>#VALUE!:noResult:No valid cells found for operation.</v>
      </c>
      <c r="DW45" s="15" t="str">
        <f>#REF!</f>
        <v>#VALUE!:noResult:No valid cells found for operation.</v>
      </c>
      <c r="DX45" s="15" t="str">
        <f>#REF!</f>
        <v>#VALUE!:noResult:No valid cells found for operation.</v>
      </c>
      <c r="DY45" s="15" t="str">
        <f>#REF!</f>
        <v>#VALUE!:noResult:No valid cells found for operation.</v>
      </c>
      <c r="DZ45" s="15" t="str">
        <f>#REF!</f>
        <v>#VALUE!:noResult:No valid cells found for operation.</v>
      </c>
      <c r="EA45" s="15" t="str">
        <f>#REF!</f>
        <v>#VALUE!:noResult:No valid cells found for operation.</v>
      </c>
      <c r="EB45" s="15">
        <f>IF(Trans!R[609],"AAAAAH71z4M=",0)</f>
        <v>0</v>
      </c>
      <c r="EC45" s="15" t="b">
        <f>AND(Trans!A654,"AAAAAH71z4Q=")</f>
        <v>1</v>
      </c>
      <c r="ED45" s="15" t="str">
        <f>AND(Trans!B654,"AAAAAH71z4U=")</f>
        <v>#VALUE!:noResult:No valid cells found for operation.</v>
      </c>
      <c r="EE45" s="15" t="b">
        <f>AND(Trans!C654,"AAAAAH71z4Y=")</f>
        <v>1</v>
      </c>
      <c r="EF45" s="15" t="b">
        <f>AND(Trans!D654,"AAAAAH71z4c=")</f>
        <v>1</v>
      </c>
      <c r="EG45" s="15" t="str">
        <f>AND(Trans!E654,"AAAAAH71z4g=")</f>
        <v>#VALUE!:noResult:No valid cells found for operation.</v>
      </c>
      <c r="EH45" s="15" t="str">
        <f>AND(Trans!F654,"AAAAAH71z4k=")</f>
        <v>#VALUE!:noResult:No valid cells found for operation.</v>
      </c>
      <c r="EI45" s="15" t="str">
        <f>AND(Trans!G654,"AAAAAH71z4o=")</f>
        <v>#VALUE!:noResult:No valid cells found for operation.</v>
      </c>
      <c r="EJ45" s="15" t="str">
        <f>#REF!</f>
        <v>#VALUE!:noResult:No valid cells found for operation.</v>
      </c>
      <c r="EK45" s="15" t="str">
        <f>AND(Trans!H654,"AAAAAH71z4w=")</f>
        <v>#VALUE!:noResult:No valid cells found for operation.</v>
      </c>
      <c r="EL45" s="15" t="str">
        <f>#REF!</f>
        <v>#VALUE!:noResult:No valid cells found for operation.</v>
      </c>
      <c r="EM45" s="15" t="str">
        <f>#REF!</f>
        <v>#VALUE!:noResult:No valid cells found for operation.</v>
      </c>
      <c r="EN45" s="15" t="str">
        <f>#REF!</f>
        <v>#VALUE!:noResult:No valid cells found for operation.</v>
      </c>
      <c r="EO45" s="15" t="str">
        <f>#REF!</f>
        <v>#VALUE!:noResult:No valid cells found for operation.</v>
      </c>
      <c r="EP45" s="15" t="str">
        <f>#REF!</f>
        <v>#VALUE!:noResult:No valid cells found for operation.</v>
      </c>
      <c r="EQ45" s="15" t="str">
        <f>#REF!</f>
        <v>#VALUE!:noResult:No valid cells found for operation.</v>
      </c>
      <c r="ER45" s="15">
        <f>IF(Trans!R[610],"AAAAAH71z5M=",0)</f>
        <v>0</v>
      </c>
      <c r="ES45" s="15" t="b">
        <f>AND(Trans!A655,"AAAAAH71z5Q=")</f>
        <v>1</v>
      </c>
      <c r="ET45" s="15" t="str">
        <f>AND(Trans!B655,"AAAAAH71z5U=")</f>
        <v>#VALUE!:noResult:No valid cells found for operation.</v>
      </c>
      <c r="EU45" s="15" t="b">
        <f>AND(Trans!C655,"AAAAAH71z5Y=")</f>
        <v>1</v>
      </c>
      <c r="EV45" s="15" t="b">
        <f>AND(Trans!D655,"AAAAAH71z5c=")</f>
        <v>1</v>
      </c>
      <c r="EW45" s="15" t="str">
        <f>AND(Trans!E655,"AAAAAH71z5g=")</f>
        <v>#VALUE!:noResult:No valid cells found for operation.</v>
      </c>
      <c r="EX45" s="15" t="str">
        <f>AND(Trans!F655,"AAAAAH71z5k=")</f>
        <v>#VALUE!:noResult:No valid cells found for operation.</v>
      </c>
      <c r="EY45" s="15" t="str">
        <f>AND(Trans!G655,"AAAAAH71z5o=")</f>
        <v>#VALUE!:noResult:No valid cells found for operation.</v>
      </c>
      <c r="EZ45" s="15" t="str">
        <f>#REF!</f>
        <v>#VALUE!:noResult:No valid cells found for operation.</v>
      </c>
      <c r="FA45" s="15" t="str">
        <f>AND(Trans!H655,"AAAAAH71z5w=")</f>
        <v>#VALUE!:noResult:No valid cells found for operation.</v>
      </c>
      <c r="FB45" s="15" t="str">
        <f>#REF!</f>
        <v>#VALUE!:noResult:No valid cells found for operation.</v>
      </c>
      <c r="FC45" s="15" t="str">
        <f>#REF!</f>
        <v>#VALUE!:noResult:No valid cells found for operation.</v>
      </c>
      <c r="FD45" s="15" t="str">
        <f>#REF!</f>
        <v>#VALUE!:noResult:No valid cells found for operation.</v>
      </c>
      <c r="FE45" s="15" t="str">
        <f>#REF!</f>
        <v>#VALUE!:noResult:No valid cells found for operation.</v>
      </c>
      <c r="FF45" s="15" t="str">
        <f>#REF!</f>
        <v>#VALUE!:noResult:No valid cells found for operation.</v>
      </c>
      <c r="FG45" s="15" t="str">
        <f>#REF!</f>
        <v>#VALUE!:noResult:No valid cells found for operation.</v>
      </c>
      <c r="FH45" s="15">
        <f>IF(Trans!R[611],"AAAAAH71z6M=",0)</f>
        <v>0</v>
      </c>
      <c r="FI45" s="15" t="b">
        <f>AND(Trans!A656,"AAAAAH71z6Q=")</f>
        <v>1</v>
      </c>
      <c r="FJ45" s="15" t="str">
        <f>AND(Trans!B656,"AAAAAH71z6U=")</f>
        <v>#VALUE!:noResult:No valid cells found for operation.</v>
      </c>
      <c r="FK45" s="15" t="b">
        <f>AND(Trans!C656,"AAAAAH71z6Y=")</f>
        <v>1</v>
      </c>
      <c r="FL45" s="15" t="b">
        <f>AND(Trans!D656,"AAAAAH71z6c=")</f>
        <v>1</v>
      </c>
      <c r="FM45" s="15" t="str">
        <f>AND(Trans!E656,"AAAAAH71z6g=")</f>
        <v>#VALUE!:noResult:No valid cells found for operation.</v>
      </c>
      <c r="FN45" s="15" t="str">
        <f>AND(Trans!F656,"AAAAAH71z6k=")</f>
        <v>#VALUE!:noResult:No valid cells found for operation.</v>
      </c>
      <c r="FO45" s="15" t="str">
        <f>AND(Trans!G656,"AAAAAH71z6o=")</f>
        <v>#VALUE!:noResult:No valid cells found for operation.</v>
      </c>
      <c r="FP45" s="15" t="str">
        <f>#REF!</f>
        <v>#VALUE!:noResult:No valid cells found for operation.</v>
      </c>
      <c r="FQ45" s="15" t="str">
        <f>AND(Trans!H656,"AAAAAH71z6w=")</f>
        <v>#VALUE!:noResult:No valid cells found for operation.</v>
      </c>
      <c r="FR45" s="15" t="str">
        <f>#REF!</f>
        <v>#VALUE!:noResult:No valid cells found for operation.</v>
      </c>
      <c r="FS45" s="15" t="str">
        <f>#REF!</f>
        <v>#VALUE!:noResult:No valid cells found for operation.</v>
      </c>
      <c r="FT45" s="15" t="str">
        <f>#REF!</f>
        <v>#VALUE!:noResult:No valid cells found for operation.</v>
      </c>
      <c r="FU45" s="15" t="str">
        <f>#REF!</f>
        <v>#VALUE!:noResult:No valid cells found for operation.</v>
      </c>
      <c r="FV45" s="15" t="str">
        <f>#REF!</f>
        <v>#VALUE!:noResult:No valid cells found for operation.</v>
      </c>
      <c r="FW45" s="15" t="str">
        <f>#REF!</f>
        <v>#VALUE!:noResult:No valid cells found for operation.</v>
      </c>
      <c r="FX45" s="15">
        <f>IF(Trans!R[612],"AAAAAH71z7M=",0)</f>
        <v>0</v>
      </c>
      <c r="FY45" s="15" t="b">
        <f>AND(Trans!A657,"AAAAAH71z7Q=")</f>
        <v>1</v>
      </c>
      <c r="FZ45" s="15" t="str">
        <f>AND(Trans!B657,"AAAAAH71z7U=")</f>
        <v>#VALUE!:noResult:No valid cells found for operation.</v>
      </c>
      <c r="GA45" s="15" t="b">
        <f>AND(Trans!C657,"AAAAAH71z7Y=")</f>
        <v>1</v>
      </c>
      <c r="GB45" s="15" t="b">
        <f>AND(Trans!D657,"AAAAAH71z7c=")</f>
        <v>1</v>
      </c>
      <c r="GC45" s="15" t="str">
        <f>AND(Trans!E657,"AAAAAH71z7g=")</f>
        <v>#VALUE!:noResult:No valid cells found for operation.</v>
      </c>
      <c r="GD45" s="15" t="str">
        <f>AND(Trans!F657,"AAAAAH71z7k=")</f>
        <v>#VALUE!:noResult:No valid cells found for operation.</v>
      </c>
      <c r="GE45" s="15" t="str">
        <f>AND(Trans!G657,"AAAAAH71z7o=")</f>
        <v>#VALUE!:noResult:No valid cells found for operation.</v>
      </c>
      <c r="GF45" s="15" t="str">
        <f>#REF!</f>
        <v>#VALUE!:noResult:No valid cells found for operation.</v>
      </c>
      <c r="GG45" s="15" t="str">
        <f>AND(Trans!H657,"AAAAAH71z7w=")</f>
        <v>#VALUE!:noResult:No valid cells found for operation.</v>
      </c>
      <c r="GH45" s="15" t="str">
        <f>#REF!</f>
        <v>#VALUE!:noResult:No valid cells found for operation.</v>
      </c>
      <c r="GI45" s="15" t="str">
        <f>#REF!</f>
        <v>#VALUE!:noResult:No valid cells found for operation.</v>
      </c>
      <c r="GJ45" s="15" t="str">
        <f>#REF!</f>
        <v>#VALUE!:noResult:No valid cells found for operation.</v>
      </c>
      <c r="GK45" s="15" t="str">
        <f>#REF!</f>
        <v>#VALUE!:noResult:No valid cells found for operation.</v>
      </c>
      <c r="GL45" s="15" t="str">
        <f>#REF!</f>
        <v>#VALUE!:noResult:No valid cells found for operation.</v>
      </c>
      <c r="GM45" s="15" t="str">
        <f>#REF!</f>
        <v>#VALUE!:noResult:No valid cells found for operation.</v>
      </c>
      <c r="GN45" s="15">
        <f>IF(Trans!R[613],"AAAAAH71z8M=",0)</f>
        <v>0</v>
      </c>
      <c r="GO45" s="15" t="b">
        <f>AND(Trans!A658,"AAAAAH71z8Q=")</f>
        <v>1</v>
      </c>
      <c r="GP45" s="15" t="str">
        <f>AND(Trans!B658,"AAAAAH71z8U=")</f>
        <v>#VALUE!:noResult:No valid cells found for operation.</v>
      </c>
      <c r="GQ45" s="15" t="b">
        <f>AND(Trans!C658,"AAAAAH71z8Y=")</f>
        <v>1</v>
      </c>
      <c r="GR45" s="15" t="b">
        <f>AND(Trans!D658,"AAAAAH71z8c=")</f>
        <v>1</v>
      </c>
      <c r="GS45" s="15" t="str">
        <f>AND(Trans!E658,"AAAAAH71z8g=")</f>
        <v>#VALUE!:noResult:No valid cells found for operation.</v>
      </c>
      <c r="GT45" s="15" t="str">
        <f>AND(Trans!F658,"AAAAAH71z8k=")</f>
        <v>#VALUE!:noResult:No valid cells found for operation.</v>
      </c>
      <c r="GU45" s="15" t="str">
        <f>AND(Trans!G658,"AAAAAH71z8o=")</f>
        <v>#VALUE!:noResult:No valid cells found for operation.</v>
      </c>
      <c r="GV45" s="15" t="str">
        <f>#REF!</f>
        <v>#VALUE!:noResult:No valid cells found for operation.</v>
      </c>
      <c r="GW45" s="15" t="str">
        <f>AND(Trans!H658,"AAAAAH71z8w=")</f>
        <v>#VALUE!:noResult:No valid cells found for operation.</v>
      </c>
      <c r="GX45" s="15" t="str">
        <f>#REF!</f>
        <v>#VALUE!:noResult:No valid cells found for operation.</v>
      </c>
      <c r="GY45" s="15" t="str">
        <f>#REF!</f>
        <v>#VALUE!:noResult:No valid cells found for operation.</v>
      </c>
      <c r="GZ45" s="15" t="str">
        <f>#REF!</f>
        <v>#VALUE!:noResult:No valid cells found for operation.</v>
      </c>
      <c r="HA45" s="15" t="str">
        <f>#REF!</f>
        <v>#VALUE!:noResult:No valid cells found for operation.</v>
      </c>
      <c r="HB45" s="15" t="str">
        <f>#REF!</f>
        <v>#VALUE!:noResult:No valid cells found for operation.</v>
      </c>
      <c r="HC45" s="15" t="str">
        <f>#REF!</f>
        <v>#VALUE!:noResult:No valid cells found for operation.</v>
      </c>
      <c r="HD45" s="15">
        <f>IF(Trans!R[614],"AAAAAH71z9M=",0)</f>
        <v>0</v>
      </c>
      <c r="HE45" s="15" t="b">
        <f>AND(Trans!A659,"AAAAAH71z9Q=")</f>
        <v>1</v>
      </c>
      <c r="HF45" s="15" t="str">
        <f>AND(Trans!B659,"AAAAAH71z9U=")</f>
        <v>#VALUE!:noResult:No valid cells found for operation.</v>
      </c>
      <c r="HG45" s="15" t="b">
        <f>AND(Trans!C659,"AAAAAH71z9Y=")</f>
        <v>1</v>
      </c>
      <c r="HH45" s="15" t="b">
        <f>AND(Trans!D659,"AAAAAH71z9c=")</f>
        <v>1</v>
      </c>
      <c r="HI45" s="15" t="str">
        <f>AND(Trans!E659,"AAAAAH71z9g=")</f>
        <v>#VALUE!:noResult:No valid cells found for operation.</v>
      </c>
      <c r="HJ45" s="15" t="str">
        <f>AND(Trans!F659,"AAAAAH71z9k=")</f>
        <v>#VALUE!:noResult:No valid cells found for operation.</v>
      </c>
      <c r="HK45" s="15" t="str">
        <f>AND(Trans!G659,"AAAAAH71z9o=")</f>
        <v>#VALUE!:noResult:No valid cells found for operation.</v>
      </c>
      <c r="HL45" s="15" t="str">
        <f>#REF!</f>
        <v>#VALUE!:noResult:No valid cells found for operation.</v>
      </c>
      <c r="HM45" s="15" t="str">
        <f>AND(Trans!H659,"AAAAAH71z9w=")</f>
        <v>#VALUE!:noResult:No valid cells found for operation.</v>
      </c>
      <c r="HN45" s="15" t="str">
        <f>#REF!</f>
        <v>#VALUE!:noResult:No valid cells found for operation.</v>
      </c>
      <c r="HO45" s="15" t="str">
        <f>#REF!</f>
        <v>#VALUE!:noResult:No valid cells found for operation.</v>
      </c>
      <c r="HP45" s="15" t="str">
        <f>#REF!</f>
        <v>#VALUE!:noResult:No valid cells found for operation.</v>
      </c>
      <c r="HQ45" s="15" t="str">
        <f>#REF!</f>
        <v>#VALUE!:noResult:No valid cells found for operation.</v>
      </c>
      <c r="HR45" s="15" t="str">
        <f>#REF!</f>
        <v>#VALUE!:noResult:No valid cells found for operation.</v>
      </c>
      <c r="HS45" s="15" t="str">
        <f>#REF!</f>
        <v>#VALUE!:noResult:No valid cells found for operation.</v>
      </c>
      <c r="HT45" s="15">
        <f>IF(Trans!R[615],"AAAAAH71z+M=",0)</f>
        <v>0</v>
      </c>
      <c r="HU45" s="15" t="b">
        <f>AND(Trans!A660,"AAAAAH71z+Q=")</f>
        <v>1</v>
      </c>
      <c r="HV45" s="15" t="str">
        <f>AND(Trans!B660,"AAAAAH71z+U=")</f>
        <v>#VALUE!:noResult:No valid cells found for operation.</v>
      </c>
      <c r="HW45" s="15" t="b">
        <f>AND(Trans!C660,"AAAAAH71z+Y=")</f>
        <v>1</v>
      </c>
      <c r="HX45" s="15" t="b">
        <f>AND(Trans!D660,"AAAAAH71z+c=")</f>
        <v>1</v>
      </c>
      <c r="HY45" s="15" t="str">
        <f>AND(Trans!E660,"AAAAAH71z+g=")</f>
        <v>#VALUE!:noResult:No valid cells found for operation.</v>
      </c>
      <c r="HZ45" s="15" t="str">
        <f>AND(Trans!F660,"AAAAAH71z+k=")</f>
        <v>#VALUE!:noResult:No valid cells found for operation.</v>
      </c>
      <c r="IA45" s="15" t="str">
        <f>AND(Trans!G660,"AAAAAH71z+o=")</f>
        <v>#VALUE!:noResult:No valid cells found for operation.</v>
      </c>
      <c r="IB45" s="15" t="str">
        <f>#REF!</f>
        <v>#VALUE!:noResult:No valid cells found for operation.</v>
      </c>
      <c r="IC45" s="15" t="str">
        <f>AND(Trans!H660,"AAAAAH71z+w=")</f>
        <v>#VALUE!:noResult:No valid cells found for operation.</v>
      </c>
      <c r="ID45" s="15" t="str">
        <f>#REF!</f>
        <v>#VALUE!:noResult:No valid cells found for operation.</v>
      </c>
      <c r="IE45" s="15" t="str">
        <f>#REF!</f>
        <v>#VALUE!:noResult:No valid cells found for operation.</v>
      </c>
      <c r="IF45" s="15" t="str">
        <f>#REF!</f>
        <v>#VALUE!:noResult:No valid cells found for operation.</v>
      </c>
      <c r="IG45" s="15" t="str">
        <f>#REF!</f>
        <v>#VALUE!:noResult:No valid cells found for operation.</v>
      </c>
      <c r="IH45" s="15" t="str">
        <f>#REF!</f>
        <v>#VALUE!:noResult:No valid cells found for operation.</v>
      </c>
      <c r="II45" s="15" t="str">
        <f>#REF!</f>
        <v>#VALUE!:noResult:No valid cells found for operation.</v>
      </c>
      <c r="IJ45" s="15">
        <f>IF(Trans!R[616],"AAAAAH71z/M=",0)</f>
        <v>0</v>
      </c>
      <c r="IK45" s="15" t="b">
        <f>AND(Trans!A661,"AAAAAH71z/Q=")</f>
        <v>1</v>
      </c>
      <c r="IL45" s="15" t="str">
        <f>AND(Trans!B661,"AAAAAH71z/U=")</f>
        <v>#VALUE!:noResult:No valid cells found for operation.</v>
      </c>
      <c r="IM45" s="15" t="b">
        <f>AND(Trans!C661,"AAAAAH71z/Y=")</f>
        <v>1</v>
      </c>
      <c r="IN45" s="15" t="b">
        <f>AND(Trans!D661,"AAAAAH71z/c=")</f>
        <v>1</v>
      </c>
      <c r="IO45" s="15" t="str">
        <f>AND(Trans!E661,"AAAAAH71z/g=")</f>
        <v>#VALUE!:noResult:No valid cells found for operation.</v>
      </c>
      <c r="IP45" s="15" t="str">
        <f>AND(Trans!F661,"AAAAAH71z/k=")</f>
        <v>#VALUE!:noResult:No valid cells found for operation.</v>
      </c>
      <c r="IQ45" s="15" t="str">
        <f>AND(Trans!G661,"AAAAAH71z/o=")</f>
        <v>#VALUE!:noResult:No valid cells found for operation.</v>
      </c>
      <c r="IR45" s="15" t="str">
        <f>#REF!</f>
        <v>#VALUE!:noResult:No valid cells found for operation.</v>
      </c>
      <c r="IS45" s="15" t="str">
        <f>AND(Trans!H661,"AAAAAH71z/w=")</f>
        <v>#VALUE!:noResult:No valid cells found for operation.</v>
      </c>
      <c r="IT45" s="15" t="str">
        <f>#REF!</f>
        <v>#VALUE!:noResult:No valid cells found for operation.</v>
      </c>
      <c r="IU45" s="15" t="str">
        <f>#REF!</f>
        <v>#VALUE!:noResult:No valid cells found for operation.</v>
      </c>
      <c r="IV45" s="15" t="str">
        <f>#REF!</f>
        <v>#VALUE!:noResult:No valid cells found for operation.</v>
      </c>
    </row>
    <row r="46">
      <c r="A46" s="15" t="str">
        <f>#REF!</f>
        <v>#VALUE!:noResult:No valid cells found for operation.</v>
      </c>
      <c r="B46" s="15" t="str">
        <f>#REF!</f>
        <v>#VALUE!:noResult:No valid cells found for operation.</v>
      </c>
      <c r="C46" s="15" t="str">
        <f>#REF!</f>
        <v>#VALUE!:noResult:No valid cells found for operation.</v>
      </c>
      <c r="D46" s="15" t="str">
        <f>IF(Trans!R[616],"AAAAAE17xgM=",0)</f>
        <v>AAAAAE17xgM=</v>
      </c>
      <c r="E46" s="15" t="b">
        <f>AND(Trans!A662,"AAAAAE17xgQ=")</f>
        <v>1</v>
      </c>
      <c r="F46" s="15" t="str">
        <f>AND(Trans!B662,"AAAAAE17xgU=")</f>
        <v>#VALUE!:noResult:No valid cells found for operation.</v>
      </c>
      <c r="G46" s="15" t="b">
        <f>AND(Trans!C662,"AAAAAE17xgY=")</f>
        <v>1</v>
      </c>
      <c r="H46" s="15" t="b">
        <f>AND(Trans!D662,"AAAAAE17xgc=")</f>
        <v>1</v>
      </c>
      <c r="I46" s="15" t="str">
        <f>AND(Trans!E662,"AAAAAE17xgg=")</f>
        <v>#VALUE!:noResult:No valid cells found for operation.</v>
      </c>
      <c r="J46" s="15" t="str">
        <f>AND(Trans!F662,"AAAAAE17xgk=")</f>
        <v>#VALUE!:noResult:No valid cells found for operation.</v>
      </c>
      <c r="K46" s="15" t="str">
        <f>AND(Trans!G662,"AAAAAE17xgo=")</f>
        <v>#VALUE!:noResult:No valid cells found for operation.</v>
      </c>
      <c r="L46" s="15" t="str">
        <f>#REF!</f>
        <v>#VALUE!:noResult:No valid cells found for operation.</v>
      </c>
      <c r="M46" s="15" t="str">
        <f>AND(Trans!H662,"AAAAAE17xgw=")</f>
        <v>#VALUE!:noResult:No valid cells found for operation.</v>
      </c>
      <c r="N46" s="15" t="str">
        <f>#REF!</f>
        <v>#VALUE!:noResult:No valid cells found for operation.</v>
      </c>
      <c r="O46" s="15" t="str">
        <f>#REF!</f>
        <v>#VALUE!:noResult:No valid cells found for operation.</v>
      </c>
      <c r="P46" s="15" t="str">
        <f>#REF!</f>
        <v>#VALUE!:noResult:No valid cells found for operation.</v>
      </c>
      <c r="Q46" s="15" t="str">
        <f>#REF!</f>
        <v>#VALUE!:noResult:No valid cells found for operation.</v>
      </c>
      <c r="R46" s="15" t="str">
        <f>#REF!</f>
        <v>#VALUE!:noResult:No valid cells found for operation.</v>
      </c>
      <c r="S46" s="15" t="str">
        <f>#REF!</f>
        <v>#VALUE!:noResult:No valid cells found for operation.</v>
      </c>
      <c r="T46" s="15">
        <f>IF(Trans!R[617],"AAAAAE17xhM=",0)</f>
        <v>0</v>
      </c>
      <c r="U46" s="15" t="b">
        <f>AND(Trans!A663,"AAAAAE17xhQ=")</f>
        <v>1</v>
      </c>
      <c r="V46" s="15" t="str">
        <f>AND(Trans!B663,"AAAAAE17xhU=")</f>
        <v>#VALUE!:noResult:No valid cells found for operation.</v>
      </c>
      <c r="W46" s="15" t="b">
        <f>AND(Trans!C663,"AAAAAE17xhY=")</f>
        <v>1</v>
      </c>
      <c r="X46" s="15" t="b">
        <f>AND(Trans!D663,"AAAAAE17xhc=")</f>
        <v>1</v>
      </c>
      <c r="Y46" s="15" t="str">
        <f>AND(Trans!E663,"AAAAAE17xhg=")</f>
        <v>#VALUE!:noResult:No valid cells found for operation.</v>
      </c>
      <c r="Z46" s="15" t="str">
        <f>AND(Trans!F663,"AAAAAE17xhk=")</f>
        <v>#VALUE!:noResult:No valid cells found for operation.</v>
      </c>
      <c r="AA46" s="15" t="str">
        <f>AND(Trans!G663,"AAAAAE17xho=")</f>
        <v>#VALUE!:noResult:No valid cells found for operation.</v>
      </c>
      <c r="AB46" s="15" t="str">
        <f>#REF!</f>
        <v>#VALUE!:noResult:No valid cells found for operation.</v>
      </c>
      <c r="AC46" s="15" t="str">
        <f>AND(Trans!H663,"AAAAAE17xhw=")</f>
        <v>#VALUE!:noResult:No valid cells found for operation.</v>
      </c>
      <c r="AD46" s="15" t="str">
        <f>#REF!</f>
        <v>#VALUE!:noResult:No valid cells found for operation.</v>
      </c>
      <c r="AE46" s="15" t="str">
        <f>#REF!</f>
        <v>#VALUE!:noResult:No valid cells found for operation.</v>
      </c>
      <c r="AF46" s="15" t="str">
        <f>#REF!</f>
        <v>#VALUE!:noResult:No valid cells found for operation.</v>
      </c>
      <c r="AG46" s="15" t="str">
        <f>#REF!</f>
        <v>#VALUE!:noResult:No valid cells found for operation.</v>
      </c>
      <c r="AH46" s="15" t="str">
        <f>#REF!</f>
        <v>#VALUE!:noResult:No valid cells found for operation.</v>
      </c>
      <c r="AI46" s="15" t="str">
        <f>#REF!</f>
        <v>#VALUE!:noResult:No valid cells found for operation.</v>
      </c>
      <c r="AJ46" s="15">
        <f>IF(Trans!R[618],"AAAAAE17xiM=",0)</f>
        <v>0</v>
      </c>
      <c r="AK46" s="15" t="b">
        <f>AND(Trans!A664,"AAAAAE17xiQ=")</f>
        <v>1</v>
      </c>
      <c r="AL46" s="15" t="str">
        <f>AND(Trans!B664,"AAAAAE17xiU=")</f>
        <v>#VALUE!:noResult:No valid cells found for operation.</v>
      </c>
      <c r="AM46" s="15" t="b">
        <f>AND(Trans!C664,"AAAAAE17xiY=")</f>
        <v>1</v>
      </c>
      <c r="AN46" s="15" t="b">
        <f>AND(Trans!D664,"AAAAAE17xic=")</f>
        <v>1</v>
      </c>
      <c r="AO46" s="15" t="str">
        <f>AND(Trans!E664,"AAAAAE17xig=")</f>
        <v>#VALUE!:noResult:No valid cells found for operation.</v>
      </c>
      <c r="AP46" s="15" t="str">
        <f>AND(Trans!F664,"AAAAAE17xik=")</f>
        <v>#VALUE!:noResult:No valid cells found for operation.</v>
      </c>
      <c r="AQ46" s="15" t="str">
        <f>AND(Trans!G664,"AAAAAE17xio=")</f>
        <v>#VALUE!:noResult:No valid cells found for operation.</v>
      </c>
      <c r="AR46" s="15" t="str">
        <f>#REF!</f>
        <v>#VALUE!:noResult:No valid cells found for operation.</v>
      </c>
      <c r="AS46" s="15" t="str">
        <f>AND(Trans!H664,"AAAAAE17xiw=")</f>
        <v>#VALUE!:noResult:No valid cells found for operation.</v>
      </c>
      <c r="AT46" s="15" t="str">
        <f>#REF!</f>
        <v>#VALUE!:noResult:No valid cells found for operation.</v>
      </c>
      <c r="AU46" s="15" t="str">
        <f>#REF!</f>
        <v>#VALUE!:noResult:No valid cells found for operation.</v>
      </c>
      <c r="AV46" s="15" t="str">
        <f>#REF!</f>
        <v>#VALUE!:noResult:No valid cells found for operation.</v>
      </c>
      <c r="AW46" s="15" t="str">
        <f>#REF!</f>
        <v>#VALUE!:noResult:No valid cells found for operation.</v>
      </c>
      <c r="AX46" s="15" t="str">
        <f>#REF!</f>
        <v>#VALUE!:noResult:No valid cells found for operation.</v>
      </c>
      <c r="AY46" s="15" t="str">
        <f>#REF!</f>
        <v>#VALUE!:noResult:No valid cells found for operation.</v>
      </c>
      <c r="AZ46" s="15">
        <f>IF(Trans!R[619],"AAAAAE17xjM=",0)</f>
        <v>0</v>
      </c>
      <c r="BA46" s="15" t="b">
        <f>AND(Trans!A665,"AAAAAE17xjQ=")</f>
        <v>1</v>
      </c>
      <c r="BB46" s="15" t="str">
        <f>AND(Trans!B665,"AAAAAE17xjU=")</f>
        <v>#VALUE!:noResult:No valid cells found for operation.</v>
      </c>
      <c r="BC46" s="15" t="b">
        <f>AND(Trans!C665,"AAAAAE17xjY=")</f>
        <v>1</v>
      </c>
      <c r="BD46" s="15" t="b">
        <f>AND(Trans!D665,"AAAAAE17xjc=")</f>
        <v>1</v>
      </c>
      <c r="BE46" s="15" t="str">
        <f>AND(Trans!E665,"AAAAAE17xjg=")</f>
        <v>#VALUE!:noResult:No valid cells found for operation.</v>
      </c>
      <c r="BF46" s="15" t="str">
        <f>AND(Trans!F665,"AAAAAE17xjk=")</f>
        <v>#VALUE!:noResult:No valid cells found for operation.</v>
      </c>
      <c r="BG46" s="15" t="str">
        <f>AND(Trans!G665,"AAAAAE17xjo=")</f>
        <v>#VALUE!:noResult:No valid cells found for operation.</v>
      </c>
      <c r="BH46" s="15" t="str">
        <f>#REF!</f>
        <v>#VALUE!:noResult:No valid cells found for operation.</v>
      </c>
      <c r="BI46" s="15" t="str">
        <f>AND(Trans!H665,"AAAAAE17xjw=")</f>
        <v>#VALUE!:noResult:No valid cells found for operation.</v>
      </c>
      <c r="BJ46" s="15" t="str">
        <f>#REF!</f>
        <v>#VALUE!:noResult:No valid cells found for operation.</v>
      </c>
      <c r="BK46" s="15" t="str">
        <f>#REF!</f>
        <v>#VALUE!:noResult:No valid cells found for operation.</v>
      </c>
      <c r="BL46" s="15" t="str">
        <f>#REF!</f>
        <v>#VALUE!:noResult:No valid cells found for operation.</v>
      </c>
      <c r="BM46" s="15" t="str">
        <f>#REF!</f>
        <v>#VALUE!:noResult:No valid cells found for operation.</v>
      </c>
      <c r="BN46" s="15" t="str">
        <f>#REF!</f>
        <v>#VALUE!:noResult:No valid cells found for operation.</v>
      </c>
      <c r="BO46" s="15" t="str">
        <f>#REF!</f>
        <v>#VALUE!:noResult:No valid cells found for operation.</v>
      </c>
      <c r="BP46" s="15">
        <f>IF(Trans!R[620],"AAAAAE17xkM=",0)</f>
        <v>0</v>
      </c>
      <c r="BQ46" s="15" t="b">
        <f>AND(Trans!A666,"AAAAAE17xkQ=")</f>
        <v>1</v>
      </c>
      <c r="BR46" s="15" t="str">
        <f>AND(Trans!B666,"AAAAAE17xkU=")</f>
        <v>#VALUE!:noResult:No valid cells found for operation.</v>
      </c>
      <c r="BS46" s="15" t="b">
        <f>AND(Trans!C666,"AAAAAE17xkY=")</f>
        <v>1</v>
      </c>
      <c r="BT46" s="15" t="b">
        <f>AND(Trans!D666,"AAAAAE17xkc=")</f>
        <v>1</v>
      </c>
      <c r="BU46" s="15" t="str">
        <f>AND(Trans!E666,"AAAAAE17xkg=")</f>
        <v>#VALUE!:noResult:No valid cells found for operation.</v>
      </c>
      <c r="BV46" s="15" t="str">
        <f>AND(Trans!F666,"AAAAAE17xkk=")</f>
        <v>#VALUE!:noResult:No valid cells found for operation.</v>
      </c>
      <c r="BW46" s="15" t="str">
        <f>AND(Trans!G666,"AAAAAE17xko=")</f>
        <v>#VALUE!:noResult:No valid cells found for operation.</v>
      </c>
      <c r="BX46" s="15" t="str">
        <f>#REF!</f>
        <v>#VALUE!:noResult:No valid cells found for operation.</v>
      </c>
      <c r="BY46" s="15" t="str">
        <f>AND(Trans!H666,"AAAAAE17xkw=")</f>
        <v>#VALUE!:noResult:No valid cells found for operation.</v>
      </c>
      <c r="BZ46" s="15" t="str">
        <f>#REF!</f>
        <v>#VALUE!:noResult:No valid cells found for operation.</v>
      </c>
      <c r="CA46" s="15" t="str">
        <f>#REF!</f>
        <v>#VALUE!:noResult:No valid cells found for operation.</v>
      </c>
      <c r="CB46" s="15" t="str">
        <f>#REF!</f>
        <v>#VALUE!:noResult:No valid cells found for operation.</v>
      </c>
      <c r="CC46" s="15" t="str">
        <f>#REF!</f>
        <v>#VALUE!:noResult:No valid cells found for operation.</v>
      </c>
      <c r="CD46" s="15" t="str">
        <f>#REF!</f>
        <v>#VALUE!:noResult:No valid cells found for operation.</v>
      </c>
      <c r="CE46" s="15" t="str">
        <f>#REF!</f>
        <v>#VALUE!:noResult:No valid cells found for operation.</v>
      </c>
      <c r="CF46" s="15">
        <f>IF(Trans!R[621],"AAAAAE17xlM=",0)</f>
        <v>0</v>
      </c>
      <c r="CG46" s="15" t="b">
        <f>AND(Trans!A667,"AAAAAE17xlQ=")</f>
        <v>1</v>
      </c>
      <c r="CH46" s="15" t="str">
        <f>AND(Trans!B667,"AAAAAE17xlU=")</f>
        <v>#VALUE!:noResult:No valid cells found for operation.</v>
      </c>
      <c r="CI46" s="15" t="b">
        <f>AND(Trans!C667,"AAAAAE17xlY=")</f>
        <v>1</v>
      </c>
      <c r="CJ46" s="15" t="b">
        <f>AND(Trans!D667,"AAAAAE17xlc=")</f>
        <v>1</v>
      </c>
      <c r="CK46" s="15" t="str">
        <f>AND(Trans!E667,"AAAAAE17xlg=")</f>
        <v>#VALUE!:noResult:No valid cells found for operation.</v>
      </c>
      <c r="CL46" s="15" t="str">
        <f>AND(Trans!F667,"AAAAAE17xlk=")</f>
        <v>#VALUE!:noResult:No valid cells found for operation.</v>
      </c>
      <c r="CM46" s="15" t="str">
        <f>AND(Trans!G667,"AAAAAE17xlo=")</f>
        <v>#VALUE!:noResult:No valid cells found for operation.</v>
      </c>
      <c r="CN46" s="15" t="str">
        <f>#REF!</f>
        <v>#VALUE!:noResult:No valid cells found for operation.</v>
      </c>
      <c r="CO46" s="15" t="str">
        <f>AND(Trans!H667,"AAAAAE17xlw=")</f>
        <v>#VALUE!:noResult:No valid cells found for operation.</v>
      </c>
      <c r="CP46" s="15" t="str">
        <f>#REF!</f>
        <v>#VALUE!:noResult:No valid cells found for operation.</v>
      </c>
      <c r="CQ46" s="15" t="str">
        <f>#REF!</f>
        <v>#VALUE!:noResult:No valid cells found for operation.</v>
      </c>
      <c r="CR46" s="15" t="str">
        <f>#REF!</f>
        <v>#VALUE!:noResult:No valid cells found for operation.</v>
      </c>
      <c r="CS46" s="15" t="str">
        <f>#REF!</f>
        <v>#VALUE!:noResult:No valid cells found for operation.</v>
      </c>
      <c r="CT46" s="15" t="str">
        <f>#REF!</f>
        <v>#VALUE!:noResult:No valid cells found for operation.</v>
      </c>
      <c r="CU46" s="15" t="str">
        <f>#REF!</f>
        <v>#VALUE!:noResult:No valid cells found for operation.</v>
      </c>
      <c r="CV46" s="15">
        <f>IF(Trans!R[622],"AAAAAE17xmM=",0)</f>
        <v>0</v>
      </c>
      <c r="CW46" s="15" t="b">
        <f>AND(Trans!A668,"AAAAAE17xmQ=")</f>
        <v>1</v>
      </c>
      <c r="CX46" s="15" t="str">
        <f>AND(Trans!B668,"AAAAAE17xmU=")</f>
        <v>#VALUE!:noResult:No valid cells found for operation.</v>
      </c>
      <c r="CY46" s="15" t="b">
        <f>AND(Trans!C668,"AAAAAE17xmY=")</f>
        <v>1</v>
      </c>
      <c r="CZ46" s="15" t="b">
        <f>AND(Trans!D668,"AAAAAE17xmc=")</f>
        <v>1</v>
      </c>
      <c r="DA46" s="15" t="str">
        <f>AND(Trans!E668,"AAAAAE17xmg=")</f>
        <v>#VALUE!:noResult:No valid cells found for operation.</v>
      </c>
      <c r="DB46" s="15" t="str">
        <f>AND(Trans!F668,"AAAAAE17xmk=")</f>
        <v>#VALUE!:noResult:No valid cells found for operation.</v>
      </c>
      <c r="DC46" s="15" t="str">
        <f>AND(Trans!G668,"AAAAAE17xmo=")</f>
        <v>#VALUE!:noResult:No valid cells found for operation.</v>
      </c>
      <c r="DD46" s="15" t="str">
        <f>#REF!</f>
        <v>#VALUE!:noResult:No valid cells found for operation.</v>
      </c>
      <c r="DE46" s="15" t="str">
        <f>AND(Trans!H668,"AAAAAE17xmw=")</f>
        <v>#VALUE!:noResult:No valid cells found for operation.</v>
      </c>
      <c r="DF46" s="15" t="str">
        <f>#REF!</f>
        <v>#VALUE!:noResult:No valid cells found for operation.</v>
      </c>
      <c r="DG46" s="15" t="str">
        <f>#REF!</f>
        <v>#VALUE!:noResult:No valid cells found for operation.</v>
      </c>
      <c r="DH46" s="15" t="str">
        <f>#REF!</f>
        <v>#VALUE!:noResult:No valid cells found for operation.</v>
      </c>
      <c r="DI46" s="15" t="str">
        <f>#REF!</f>
        <v>#VALUE!:noResult:No valid cells found for operation.</v>
      </c>
      <c r="DJ46" s="15" t="str">
        <f>#REF!</f>
        <v>#VALUE!:noResult:No valid cells found for operation.</v>
      </c>
      <c r="DK46" s="15" t="str">
        <f>#REF!</f>
        <v>#VALUE!:noResult:No valid cells found for operation.</v>
      </c>
      <c r="DL46" s="15">
        <f>IF(Trans!R[623],"AAAAAE17xnM=",0)</f>
        <v>0</v>
      </c>
      <c r="DM46" s="15" t="b">
        <f>AND(Trans!A669,"AAAAAE17xnQ=")</f>
        <v>1</v>
      </c>
      <c r="DN46" s="15" t="str">
        <f>AND(Trans!B669,"AAAAAE17xnU=")</f>
        <v>#VALUE!:noResult:No valid cells found for operation.</v>
      </c>
      <c r="DO46" s="15" t="b">
        <f>AND(Trans!C669,"AAAAAE17xnY=")</f>
        <v>1</v>
      </c>
      <c r="DP46" s="15" t="b">
        <f>AND(Trans!D669,"AAAAAE17xnc=")</f>
        <v>1</v>
      </c>
      <c r="DQ46" s="15" t="str">
        <f>AND(Trans!E669,"AAAAAE17xng=")</f>
        <v>#VALUE!:noResult:No valid cells found for operation.</v>
      </c>
      <c r="DR46" s="15" t="str">
        <f>AND(Trans!F669,"AAAAAE17xnk=")</f>
        <v>#VALUE!:noResult:No valid cells found for operation.</v>
      </c>
      <c r="DS46" s="15" t="str">
        <f>AND(Trans!G669,"AAAAAE17xno=")</f>
        <v>#VALUE!:noResult:No valid cells found for operation.</v>
      </c>
      <c r="DT46" s="15" t="str">
        <f>#REF!</f>
        <v>#VALUE!:noResult:No valid cells found for operation.</v>
      </c>
      <c r="DU46" s="15" t="str">
        <f>AND(Trans!H669,"AAAAAE17xnw=")</f>
        <v>#VALUE!:noResult:No valid cells found for operation.</v>
      </c>
      <c r="DV46" s="15" t="str">
        <f>#REF!</f>
        <v>#VALUE!:noResult:No valid cells found for operation.</v>
      </c>
      <c r="DW46" s="15" t="str">
        <f>#REF!</f>
        <v>#VALUE!:noResult:No valid cells found for operation.</v>
      </c>
      <c r="DX46" s="15" t="str">
        <f>#REF!</f>
        <v>#VALUE!:noResult:No valid cells found for operation.</v>
      </c>
      <c r="DY46" s="15" t="str">
        <f>#REF!</f>
        <v>#VALUE!:noResult:No valid cells found for operation.</v>
      </c>
      <c r="DZ46" s="15" t="str">
        <f>#REF!</f>
        <v>#VALUE!:noResult:No valid cells found for operation.</v>
      </c>
      <c r="EA46" s="15" t="str">
        <f>#REF!</f>
        <v>#VALUE!:noResult:No valid cells found for operation.</v>
      </c>
      <c r="EB46" s="15">
        <f>IF(Trans!R[624],"AAAAAE17xoM=",0)</f>
        <v>0</v>
      </c>
      <c r="EC46" s="15" t="b">
        <f>AND(Trans!A670,"AAAAAE17xoQ=")</f>
        <v>1</v>
      </c>
      <c r="ED46" s="15" t="str">
        <f>AND(Trans!B670,"AAAAAE17xoU=")</f>
        <v>#VALUE!:noResult:No valid cells found for operation.</v>
      </c>
      <c r="EE46" s="15" t="b">
        <f>AND(Trans!C670,"AAAAAE17xoY=")</f>
        <v>1</v>
      </c>
      <c r="EF46" s="15" t="b">
        <f>AND(Trans!D670,"AAAAAE17xoc=")</f>
        <v>1</v>
      </c>
      <c r="EG46" s="15" t="str">
        <f>AND(Trans!E670,"AAAAAE17xog=")</f>
        <v>#VALUE!:noResult:No valid cells found for operation.</v>
      </c>
      <c r="EH46" s="15" t="str">
        <f>AND(Trans!F670,"AAAAAE17xok=")</f>
        <v>#VALUE!:noResult:No valid cells found for operation.</v>
      </c>
      <c r="EI46" s="15" t="str">
        <f>AND(Trans!G670,"AAAAAE17xoo=")</f>
        <v>#VALUE!:noResult:No valid cells found for operation.</v>
      </c>
      <c r="EJ46" s="15" t="str">
        <f>#REF!</f>
        <v>#VALUE!:noResult:No valid cells found for operation.</v>
      </c>
      <c r="EK46" s="15" t="str">
        <f>AND(Trans!H670,"AAAAAE17xow=")</f>
        <v>#VALUE!:noResult:No valid cells found for operation.</v>
      </c>
      <c r="EL46" s="15" t="str">
        <f>#REF!</f>
        <v>#VALUE!:noResult:No valid cells found for operation.</v>
      </c>
      <c r="EM46" s="15" t="str">
        <f>#REF!</f>
        <v>#VALUE!:noResult:No valid cells found for operation.</v>
      </c>
      <c r="EN46" s="15" t="str">
        <f>#REF!</f>
        <v>#VALUE!:noResult:No valid cells found for operation.</v>
      </c>
      <c r="EO46" s="15" t="str">
        <f>#REF!</f>
        <v>#VALUE!:noResult:No valid cells found for operation.</v>
      </c>
      <c r="EP46" s="15" t="str">
        <f>#REF!</f>
        <v>#VALUE!:noResult:No valid cells found for operation.</v>
      </c>
      <c r="EQ46" s="15" t="str">
        <f>#REF!</f>
        <v>#VALUE!:noResult:No valid cells found for operation.</v>
      </c>
      <c r="ER46" s="15">
        <f>IF(Trans!R[625],"AAAAAE17xpM=",0)</f>
        <v>0</v>
      </c>
      <c r="ES46" s="15" t="b">
        <f>AND(Trans!A671,"AAAAAE17xpQ=")</f>
        <v>1</v>
      </c>
      <c r="ET46" s="15" t="str">
        <f>AND(Trans!B671,"AAAAAE17xpU=")</f>
        <v>#VALUE!:noResult:No valid cells found for operation.</v>
      </c>
      <c r="EU46" s="15" t="b">
        <f>AND(Trans!C671,"AAAAAE17xpY=")</f>
        <v>1</v>
      </c>
      <c r="EV46" s="15" t="b">
        <f>AND(Trans!D671,"AAAAAE17xpc=")</f>
        <v>1</v>
      </c>
      <c r="EW46" s="15" t="str">
        <f>AND(Trans!E671,"AAAAAE17xpg=")</f>
        <v>#VALUE!:noResult:No valid cells found for operation.</v>
      </c>
      <c r="EX46" s="15" t="str">
        <f>AND(Trans!F671,"AAAAAE17xpk=")</f>
        <v>#VALUE!:noResult:No valid cells found for operation.</v>
      </c>
      <c r="EY46" s="15" t="str">
        <f>AND(Trans!G671,"AAAAAE17xpo=")</f>
        <v>#VALUE!:noResult:No valid cells found for operation.</v>
      </c>
      <c r="EZ46" s="15" t="str">
        <f>#REF!</f>
        <v>#VALUE!:noResult:No valid cells found for operation.</v>
      </c>
      <c r="FA46" s="15" t="str">
        <f>AND(Trans!H671,"AAAAAE17xpw=")</f>
        <v>#VALUE!:noResult:No valid cells found for operation.</v>
      </c>
      <c r="FB46" s="15" t="str">
        <f>#REF!</f>
        <v>#VALUE!:noResult:No valid cells found for operation.</v>
      </c>
      <c r="FC46" s="15" t="str">
        <f>#REF!</f>
        <v>#VALUE!:noResult:No valid cells found for operation.</v>
      </c>
      <c r="FD46" s="15" t="str">
        <f>#REF!</f>
        <v>#VALUE!:noResult:No valid cells found for operation.</v>
      </c>
      <c r="FE46" s="15" t="str">
        <f>#REF!</f>
        <v>#VALUE!:noResult:No valid cells found for operation.</v>
      </c>
      <c r="FF46" s="15" t="str">
        <f>#REF!</f>
        <v>#VALUE!:noResult:No valid cells found for operation.</v>
      </c>
      <c r="FG46" s="15" t="str">
        <f>#REF!</f>
        <v>#VALUE!:noResult:No valid cells found for operation.</v>
      </c>
      <c r="FH46" s="15">
        <f>IF(Trans!R[626],"AAAAAE17xqM=",0)</f>
        <v>0</v>
      </c>
      <c r="FI46" s="15" t="b">
        <f>AND(Trans!A672,"AAAAAE17xqQ=")</f>
        <v>1</v>
      </c>
      <c r="FJ46" s="15" t="str">
        <f>AND(Trans!B672,"AAAAAE17xqU=")</f>
        <v>#VALUE!:noResult:No valid cells found for operation.</v>
      </c>
      <c r="FK46" s="15" t="b">
        <f>AND(Trans!C672,"AAAAAE17xqY=")</f>
        <v>1</v>
      </c>
      <c r="FL46" s="15" t="b">
        <f>AND(Trans!D672,"AAAAAE17xqc=")</f>
        <v>1</v>
      </c>
      <c r="FM46" s="15" t="str">
        <f>AND(Trans!E672,"AAAAAE17xqg=")</f>
        <v>#VALUE!:noResult:No valid cells found for operation.</v>
      </c>
      <c r="FN46" s="15" t="str">
        <f>AND(Trans!F672,"AAAAAE17xqk=")</f>
        <v>#VALUE!:noResult:No valid cells found for operation.</v>
      </c>
      <c r="FO46" s="15" t="str">
        <f>AND(Trans!G672,"AAAAAE17xqo=")</f>
        <v>#VALUE!:noResult:No valid cells found for operation.</v>
      </c>
      <c r="FP46" s="15" t="str">
        <f>#REF!</f>
        <v>#VALUE!:noResult:No valid cells found for operation.</v>
      </c>
      <c r="FQ46" s="15" t="str">
        <f>AND(Trans!H672,"AAAAAE17xqw=")</f>
        <v>#VALUE!:noResult:No valid cells found for operation.</v>
      </c>
      <c r="FR46" s="15" t="str">
        <f>#REF!</f>
        <v>#VALUE!:noResult:No valid cells found for operation.</v>
      </c>
      <c r="FS46" s="15" t="str">
        <f>#REF!</f>
        <v>#VALUE!:noResult:No valid cells found for operation.</v>
      </c>
      <c r="FT46" s="15" t="str">
        <f>#REF!</f>
        <v>#VALUE!:noResult:No valid cells found for operation.</v>
      </c>
      <c r="FU46" s="15" t="str">
        <f>#REF!</f>
        <v>#VALUE!:noResult:No valid cells found for operation.</v>
      </c>
      <c r="FV46" s="15" t="str">
        <f>#REF!</f>
        <v>#VALUE!:noResult:No valid cells found for operation.</v>
      </c>
      <c r="FW46" s="15" t="str">
        <f>#REF!</f>
        <v>#VALUE!:noResult:No valid cells found for operation.</v>
      </c>
      <c r="FX46" s="15">
        <f>IF(Trans!R[627],"AAAAAE17xrM=",0)</f>
        <v>0</v>
      </c>
      <c r="FY46" s="15" t="b">
        <f>AND(Trans!A673,"AAAAAE17xrQ=")</f>
        <v>1</v>
      </c>
      <c r="FZ46" s="15" t="str">
        <f>AND(Trans!B673,"AAAAAE17xrU=")</f>
        <v>#VALUE!:noResult:No valid cells found for operation.</v>
      </c>
      <c r="GA46" s="15" t="b">
        <f>AND(Trans!C673,"AAAAAE17xrY=")</f>
        <v>1</v>
      </c>
      <c r="GB46" s="15" t="b">
        <f>AND(Trans!D673,"AAAAAE17xrc=")</f>
        <v>1</v>
      </c>
      <c r="GC46" s="15" t="str">
        <f>AND(Trans!E673,"AAAAAE17xrg=")</f>
        <v>#VALUE!:noResult:No valid cells found for operation.</v>
      </c>
      <c r="GD46" s="15" t="str">
        <f>AND(Trans!F673,"AAAAAE17xrk=")</f>
        <v>#VALUE!:noResult:No valid cells found for operation.</v>
      </c>
      <c r="GE46" s="15" t="str">
        <f>AND(Trans!G673,"AAAAAE17xro=")</f>
        <v>#VALUE!:noResult:No valid cells found for operation.</v>
      </c>
      <c r="GF46" s="15" t="str">
        <f>#REF!</f>
        <v>#VALUE!:noResult:No valid cells found for operation.</v>
      </c>
      <c r="GG46" s="15" t="str">
        <f>AND(Trans!H673,"AAAAAE17xrw=")</f>
        <v>#VALUE!:noResult:No valid cells found for operation.</v>
      </c>
      <c r="GH46" s="15" t="str">
        <f>#REF!</f>
        <v>#VALUE!:noResult:No valid cells found for operation.</v>
      </c>
      <c r="GI46" s="15" t="str">
        <f>#REF!</f>
        <v>#VALUE!:noResult:No valid cells found for operation.</v>
      </c>
      <c r="GJ46" s="15" t="str">
        <f>#REF!</f>
        <v>#VALUE!:noResult:No valid cells found for operation.</v>
      </c>
      <c r="GK46" s="15" t="str">
        <f>#REF!</f>
        <v>#VALUE!:noResult:No valid cells found for operation.</v>
      </c>
      <c r="GL46" s="15" t="str">
        <f>#REF!</f>
        <v>#VALUE!:noResult:No valid cells found for operation.</v>
      </c>
      <c r="GM46" s="15" t="str">
        <f>#REF!</f>
        <v>#VALUE!:noResult:No valid cells found for operation.</v>
      </c>
      <c r="GN46" s="15">
        <f>IF(Trans!R[628],"AAAAAE17xsM=",0)</f>
        <v>0</v>
      </c>
      <c r="GO46" s="15" t="b">
        <f>AND(Trans!A674,"AAAAAE17xsQ=")</f>
        <v>1</v>
      </c>
      <c r="GP46" s="15" t="str">
        <f>AND(Trans!B674,"AAAAAE17xsU=")</f>
        <v>#VALUE!:noResult:No valid cells found for operation.</v>
      </c>
      <c r="GQ46" s="15" t="b">
        <f>AND(Trans!C674,"AAAAAE17xsY=")</f>
        <v>1</v>
      </c>
      <c r="GR46" s="15" t="b">
        <f>AND(Trans!D674,"AAAAAE17xsc=")</f>
        <v>1</v>
      </c>
      <c r="GS46" s="15" t="str">
        <f>AND(Trans!E674,"AAAAAE17xsg=")</f>
        <v>#VALUE!:noResult:No valid cells found for operation.</v>
      </c>
      <c r="GT46" s="15" t="str">
        <f>AND(Trans!F674,"AAAAAE17xsk=")</f>
        <v>#VALUE!:noResult:No valid cells found for operation.</v>
      </c>
      <c r="GU46" s="15" t="str">
        <f>AND(Trans!G674,"AAAAAE17xso=")</f>
        <v>#VALUE!:noResult:No valid cells found for operation.</v>
      </c>
      <c r="GV46" s="15" t="str">
        <f>#REF!</f>
        <v>#VALUE!:noResult:No valid cells found for operation.</v>
      </c>
      <c r="GW46" s="15" t="str">
        <f>AND(Trans!H674,"AAAAAE17xsw=")</f>
        <v>#VALUE!:noResult:No valid cells found for operation.</v>
      </c>
      <c r="GX46" s="15" t="str">
        <f>#REF!</f>
        <v>#VALUE!:noResult:No valid cells found for operation.</v>
      </c>
      <c r="GY46" s="15" t="str">
        <f>#REF!</f>
        <v>#VALUE!:noResult:No valid cells found for operation.</v>
      </c>
      <c r="GZ46" s="15" t="str">
        <f>#REF!</f>
        <v>#VALUE!:noResult:No valid cells found for operation.</v>
      </c>
      <c r="HA46" s="15" t="str">
        <f>#REF!</f>
        <v>#VALUE!:noResult:No valid cells found for operation.</v>
      </c>
      <c r="HB46" s="15" t="str">
        <f>#REF!</f>
        <v>#VALUE!:noResult:No valid cells found for operation.</v>
      </c>
      <c r="HC46" s="15" t="str">
        <f>#REF!</f>
        <v>#VALUE!:noResult:No valid cells found for operation.</v>
      </c>
      <c r="HD46" s="15">
        <f>IF(Trans!R[629],"AAAAAE17xtM=",0)</f>
        <v>0</v>
      </c>
      <c r="HE46" s="15" t="b">
        <f>AND(Trans!A675,"AAAAAE17xtQ=")</f>
        <v>1</v>
      </c>
      <c r="HF46" s="15" t="str">
        <f>AND(Trans!B675,"AAAAAE17xtU=")</f>
        <v>#VALUE!:noResult:No valid cells found for operation.</v>
      </c>
      <c r="HG46" s="15" t="b">
        <f>AND(Trans!C675,"AAAAAE17xtY=")</f>
        <v>1</v>
      </c>
      <c r="HH46" s="15" t="b">
        <f>AND(Trans!D675,"AAAAAE17xtc=")</f>
        <v>1</v>
      </c>
      <c r="HI46" s="15" t="str">
        <f>AND(Trans!E675,"AAAAAE17xtg=")</f>
        <v>#VALUE!:noResult:No valid cells found for operation.</v>
      </c>
      <c r="HJ46" s="15" t="str">
        <f>AND(Trans!F675,"AAAAAE17xtk=")</f>
        <v>#VALUE!:noResult:No valid cells found for operation.</v>
      </c>
      <c r="HK46" s="15" t="str">
        <f>AND(Trans!G675,"AAAAAE17xto=")</f>
        <v>#VALUE!:noResult:No valid cells found for operation.</v>
      </c>
      <c r="HL46" s="15" t="str">
        <f>#REF!</f>
        <v>#VALUE!:noResult:No valid cells found for operation.</v>
      </c>
      <c r="HM46" s="15" t="str">
        <f>AND(Trans!H675,"AAAAAE17xtw=")</f>
        <v>#VALUE!:noResult:No valid cells found for operation.</v>
      </c>
      <c r="HN46" s="15" t="str">
        <f>#REF!</f>
        <v>#VALUE!:noResult:No valid cells found for operation.</v>
      </c>
      <c r="HO46" s="15" t="str">
        <f>#REF!</f>
        <v>#VALUE!:noResult:No valid cells found for operation.</v>
      </c>
      <c r="HP46" s="15" t="str">
        <f>#REF!</f>
        <v>#VALUE!:noResult:No valid cells found for operation.</v>
      </c>
      <c r="HQ46" s="15" t="str">
        <f>#REF!</f>
        <v>#VALUE!:noResult:No valid cells found for operation.</v>
      </c>
      <c r="HR46" s="15" t="str">
        <f>#REF!</f>
        <v>#VALUE!:noResult:No valid cells found for operation.</v>
      </c>
      <c r="HS46" s="15" t="str">
        <f>#REF!</f>
        <v>#VALUE!:noResult:No valid cells found for operation.</v>
      </c>
      <c r="HT46" s="15">
        <f>IF(Trans!R[630],"AAAAAE17xuM=",0)</f>
        <v>0</v>
      </c>
      <c r="HU46" s="15" t="b">
        <f>AND(Trans!A676,"AAAAAE17xuQ=")</f>
        <v>1</v>
      </c>
      <c r="HV46" s="15" t="str">
        <f>AND(Trans!B676,"AAAAAE17xuU=")</f>
        <v>#VALUE!:noResult:No valid cells found for operation.</v>
      </c>
      <c r="HW46" s="15" t="b">
        <f>AND(Trans!C676,"AAAAAE17xuY=")</f>
        <v>0</v>
      </c>
      <c r="HX46" s="15" t="b">
        <f>AND(Trans!D676,"AAAAAE17xuc=")</f>
        <v>1</v>
      </c>
      <c r="HY46" s="15" t="str">
        <f>AND(Trans!E676,"AAAAAE17xug=")</f>
        <v>#VALUE!:noResult:No valid cells found for operation.</v>
      </c>
      <c r="HZ46" s="15" t="str">
        <f>AND(Trans!F676,"AAAAAE17xuk=")</f>
        <v>#VALUE!:noResult:No valid cells found for operation.</v>
      </c>
      <c r="IA46" s="15" t="str">
        <f>AND(Trans!G676,"AAAAAE17xuo=")</f>
        <v>#VALUE!:noResult:No valid cells found for operation.</v>
      </c>
      <c r="IB46" s="15" t="str">
        <f>#REF!</f>
        <v>#VALUE!:noResult:No valid cells found for operation.</v>
      </c>
      <c r="IC46" s="15" t="str">
        <f>AND(Trans!H676,"AAAAAE17xuw=")</f>
        <v>#VALUE!:noResult:No valid cells found for operation.</v>
      </c>
      <c r="ID46" s="15" t="str">
        <f>#REF!</f>
        <v>#VALUE!:noResult:No valid cells found for operation.</v>
      </c>
      <c r="IE46" s="15" t="str">
        <f>#REF!</f>
        <v>#VALUE!:noResult:No valid cells found for operation.</v>
      </c>
      <c r="IF46" s="15" t="str">
        <f>#REF!</f>
        <v>#VALUE!:noResult:No valid cells found for operation.</v>
      </c>
      <c r="IG46" s="15" t="str">
        <f>#REF!</f>
        <v>#VALUE!:noResult:No valid cells found for operation.</v>
      </c>
      <c r="IH46" s="15" t="str">
        <f>#REF!</f>
        <v>#VALUE!:noResult:No valid cells found for operation.</v>
      </c>
      <c r="II46" s="15" t="str">
        <f>#REF!</f>
        <v>#VALUE!:noResult:No valid cells found for operation.</v>
      </c>
      <c r="IJ46" s="15">
        <f>IF(Trans!R[631],"AAAAAE17xvM=",0)</f>
        <v>0</v>
      </c>
      <c r="IK46" s="15" t="b">
        <f>AND(Trans!A677,"AAAAAE17xvQ=")</f>
        <v>1</v>
      </c>
      <c r="IL46" s="15" t="str">
        <f>AND(Trans!B677,"AAAAAE17xvU=")</f>
        <v>#VALUE!:noResult:No valid cells found for operation.</v>
      </c>
      <c r="IM46" s="15" t="b">
        <f>AND(Trans!C677,"AAAAAE17xvY=")</f>
        <v>0</v>
      </c>
      <c r="IN46" s="15" t="b">
        <f>AND(Trans!D677,"AAAAAE17xvc=")</f>
        <v>1</v>
      </c>
      <c r="IO46" s="15" t="str">
        <f>AND(Trans!E677,"AAAAAE17xvg=")</f>
        <v>#VALUE!:noResult:No valid cells found for operation.</v>
      </c>
      <c r="IP46" s="15" t="str">
        <f>AND(Trans!F677,"AAAAAE17xvk=")</f>
        <v>#VALUE!:noResult:No valid cells found for operation.</v>
      </c>
      <c r="IQ46" s="15" t="str">
        <f>AND(Trans!G677,"AAAAAE17xvo=")</f>
        <v>#VALUE!:noResult:No valid cells found for operation.</v>
      </c>
      <c r="IR46" s="15" t="str">
        <f>#REF!</f>
        <v>#VALUE!:noResult:No valid cells found for operation.</v>
      </c>
      <c r="IS46" s="15" t="str">
        <f>AND(Trans!H677,"AAAAAE17xvw=")</f>
        <v>#VALUE!:noResult:No valid cells found for operation.</v>
      </c>
      <c r="IT46" s="15" t="str">
        <f>#REF!</f>
        <v>#VALUE!:noResult:No valid cells found for operation.</v>
      </c>
      <c r="IU46" s="15" t="str">
        <f>#REF!</f>
        <v>#VALUE!:noResult:No valid cells found for operation.</v>
      </c>
      <c r="IV46" s="15" t="str">
        <f>#REF!</f>
        <v>#VALUE!:noResult:No valid cells found for operation.</v>
      </c>
    </row>
    <row r="47">
      <c r="A47" s="15" t="str">
        <f>#REF!</f>
        <v>#VALUE!:noResult:No valid cells found for operation.</v>
      </c>
      <c r="B47" s="15" t="str">
        <f>#REF!</f>
        <v>#VALUE!:noResult:No valid cells found for operation.</v>
      </c>
      <c r="C47" s="15" t="str">
        <f>#REF!</f>
        <v>#VALUE!:noResult:No valid cells found for operation.</v>
      </c>
      <c r="D47" s="15" t="str">
        <f>IF(Trans!R[631],"AAAAAE7/EAM=",0)</f>
        <v>AAAAAE7/EAM=</v>
      </c>
      <c r="E47" s="15" t="b">
        <f>AND(Trans!A678,"AAAAAE7/EAQ=")</f>
        <v>1</v>
      </c>
      <c r="F47" s="15" t="str">
        <f>AND(Trans!B678,"AAAAAE7/EAU=")</f>
        <v>#VALUE!:noResult:No valid cells found for operation.</v>
      </c>
      <c r="G47" s="15" t="b">
        <f>AND(Trans!C678,"AAAAAE7/EAY=")</f>
        <v>0</v>
      </c>
      <c r="H47" s="15" t="b">
        <f>AND(Trans!D678,"AAAAAE7/EAc=")</f>
        <v>1</v>
      </c>
      <c r="I47" s="15" t="str">
        <f>AND(Trans!E678,"AAAAAE7/EAg=")</f>
        <v>#VALUE!:noResult:No valid cells found for operation.</v>
      </c>
      <c r="J47" s="15" t="str">
        <f>AND(Trans!F678,"AAAAAE7/EAk=")</f>
        <v>#VALUE!:noResult:No valid cells found for operation.</v>
      </c>
      <c r="K47" s="15" t="str">
        <f>AND(Trans!G678,"AAAAAE7/EAo=")</f>
        <v>#VALUE!:noResult:No valid cells found for operation.</v>
      </c>
      <c r="L47" s="15" t="str">
        <f>#REF!</f>
        <v>#VALUE!:noResult:No valid cells found for operation.</v>
      </c>
      <c r="M47" s="15" t="str">
        <f>AND(Trans!H678,"AAAAAE7/EAw=")</f>
        <v>#VALUE!:noResult:No valid cells found for operation.</v>
      </c>
      <c r="N47" s="15" t="str">
        <f>#REF!</f>
        <v>#VALUE!:noResult:No valid cells found for operation.</v>
      </c>
      <c r="O47" s="15" t="str">
        <f>#REF!</f>
        <v>#VALUE!:noResult:No valid cells found for operation.</v>
      </c>
      <c r="P47" s="15" t="str">
        <f>#REF!</f>
        <v>#VALUE!:noResult:No valid cells found for operation.</v>
      </c>
      <c r="Q47" s="15" t="str">
        <f>#REF!</f>
        <v>#VALUE!:noResult:No valid cells found for operation.</v>
      </c>
      <c r="R47" s="15" t="str">
        <f>#REF!</f>
        <v>#VALUE!:noResult:No valid cells found for operation.</v>
      </c>
      <c r="S47" s="15" t="str">
        <f>#REF!</f>
        <v>#VALUE!:noResult:No valid cells found for operation.</v>
      </c>
      <c r="T47" s="15">
        <f>IF(Trans!R[632],"AAAAAE7/EBM=",0)</f>
        <v>0</v>
      </c>
      <c r="U47" s="15" t="b">
        <f>AND(Trans!A679,"AAAAAE7/EBQ=")</f>
        <v>1</v>
      </c>
      <c r="V47" s="15" t="str">
        <f>AND(Trans!B679,"AAAAAE7/EBU=")</f>
        <v>#VALUE!:noResult:No valid cells found for operation.</v>
      </c>
      <c r="W47" s="15" t="b">
        <f>AND(Trans!C679,"AAAAAE7/EBY=")</f>
        <v>0</v>
      </c>
      <c r="X47" s="15" t="b">
        <f>AND(Trans!D679,"AAAAAE7/EBc=")</f>
        <v>1</v>
      </c>
      <c r="Y47" s="15" t="str">
        <f>AND(Trans!E679,"AAAAAE7/EBg=")</f>
        <v>#VALUE!:noResult:No valid cells found for operation.</v>
      </c>
      <c r="Z47" s="15" t="str">
        <f>AND(Trans!F679,"AAAAAE7/EBk=")</f>
        <v>#VALUE!:noResult:No valid cells found for operation.</v>
      </c>
      <c r="AA47" s="15" t="str">
        <f>AND(Trans!G679,"AAAAAE7/EBo=")</f>
        <v>#VALUE!:noResult:No valid cells found for operation.</v>
      </c>
      <c r="AB47" s="15" t="str">
        <f>#REF!</f>
        <v>#VALUE!:noResult:No valid cells found for operation.</v>
      </c>
      <c r="AC47" s="15" t="str">
        <f>AND(Trans!H679,"AAAAAE7/EBw=")</f>
        <v>#VALUE!:noResult:No valid cells found for operation.</v>
      </c>
      <c r="AD47" s="15" t="str">
        <f>#REF!</f>
        <v>#VALUE!:noResult:No valid cells found for operation.</v>
      </c>
      <c r="AE47" s="15" t="str">
        <f>#REF!</f>
        <v>#VALUE!:noResult:No valid cells found for operation.</v>
      </c>
      <c r="AF47" s="15" t="str">
        <f>#REF!</f>
        <v>#VALUE!:noResult:No valid cells found for operation.</v>
      </c>
      <c r="AG47" s="15" t="str">
        <f>#REF!</f>
        <v>#VALUE!:noResult:No valid cells found for operation.</v>
      </c>
      <c r="AH47" s="15" t="str">
        <f>#REF!</f>
        <v>#VALUE!:noResult:No valid cells found for operation.</v>
      </c>
      <c r="AI47" s="15" t="str">
        <f>#REF!</f>
        <v>#VALUE!:noResult:No valid cells found for operation.</v>
      </c>
      <c r="AJ47" s="15">
        <f>IF(Trans!R[633],"AAAAAE7/ECM=",0)</f>
        <v>0</v>
      </c>
      <c r="AK47" s="15" t="b">
        <f>AND(Trans!A680,"AAAAAE7/ECQ=")</f>
        <v>1</v>
      </c>
      <c r="AL47" s="15" t="str">
        <f>AND(Trans!B680,"AAAAAE7/ECU=")</f>
        <v>#VALUE!:noResult:No valid cells found for operation.</v>
      </c>
      <c r="AM47" s="15" t="b">
        <f>AND(Trans!C680,"AAAAAE7/ECY=")</f>
        <v>1</v>
      </c>
      <c r="AN47" s="15" t="b">
        <f>AND(Trans!D680,"AAAAAE7/ECc=")</f>
        <v>1</v>
      </c>
      <c r="AO47" s="15" t="str">
        <f>AND(Trans!E680,"AAAAAE7/ECg=")</f>
        <v>#VALUE!:noResult:No valid cells found for operation.</v>
      </c>
      <c r="AP47" s="15" t="str">
        <f>AND(Trans!F680,"AAAAAE7/ECk=")</f>
        <v>#VALUE!:noResult:No valid cells found for operation.</v>
      </c>
      <c r="AQ47" s="15" t="str">
        <f>AND(Trans!G680,"AAAAAE7/ECo=")</f>
        <v>#VALUE!:noResult:No valid cells found for operation.</v>
      </c>
      <c r="AR47" s="15" t="str">
        <f>#REF!</f>
        <v>#VALUE!:noResult:No valid cells found for operation.</v>
      </c>
      <c r="AS47" s="15" t="str">
        <f>AND(Trans!H680,"AAAAAE7/ECw=")</f>
        <v>#VALUE!:noResult:No valid cells found for operation.</v>
      </c>
      <c r="AT47" s="15" t="str">
        <f>#REF!</f>
        <v>#VALUE!:noResult:No valid cells found for operation.</v>
      </c>
      <c r="AU47" s="15" t="str">
        <f>#REF!</f>
        <v>#VALUE!:noResult:No valid cells found for operation.</v>
      </c>
      <c r="AV47" s="15" t="str">
        <f>#REF!</f>
        <v>#VALUE!:noResult:No valid cells found for operation.</v>
      </c>
      <c r="AW47" s="15" t="str">
        <f>#REF!</f>
        <v>#VALUE!:noResult:No valid cells found for operation.</v>
      </c>
      <c r="AX47" s="15" t="str">
        <f>#REF!</f>
        <v>#VALUE!:noResult:No valid cells found for operation.</v>
      </c>
      <c r="AY47" s="15" t="str">
        <f>#REF!</f>
        <v>#VALUE!:noResult:No valid cells found for operation.</v>
      </c>
      <c r="AZ47" s="15">
        <f>IF(Trans!R[634],"AAAAAE7/EDM=",0)</f>
        <v>0</v>
      </c>
      <c r="BA47" s="15" t="b">
        <f>AND(Trans!A681,"AAAAAE7/EDQ=")</f>
        <v>1</v>
      </c>
      <c r="BB47" s="15" t="str">
        <f>AND(Trans!B681,"AAAAAE7/EDU=")</f>
        <v>#VALUE!:noResult:No valid cells found for operation.</v>
      </c>
      <c r="BC47" s="15" t="b">
        <f>AND(Trans!C681,"AAAAAE7/EDY=")</f>
        <v>0</v>
      </c>
      <c r="BD47" s="15" t="b">
        <f>AND(Trans!D681,"AAAAAE7/EDc=")</f>
        <v>1</v>
      </c>
      <c r="BE47" s="15" t="str">
        <f>AND(Trans!E681,"AAAAAE7/EDg=")</f>
        <v>#VALUE!:noResult:No valid cells found for operation.</v>
      </c>
      <c r="BF47" s="15" t="str">
        <f>AND(Trans!F681,"AAAAAE7/EDk=")</f>
        <v>#VALUE!:noResult:No valid cells found for operation.</v>
      </c>
      <c r="BG47" s="15" t="str">
        <f>AND(Trans!G681,"AAAAAE7/EDo=")</f>
        <v>#VALUE!:noResult:No valid cells found for operation.</v>
      </c>
      <c r="BH47" s="15" t="str">
        <f>#REF!</f>
        <v>#VALUE!:noResult:No valid cells found for operation.</v>
      </c>
      <c r="BI47" s="15" t="str">
        <f>AND(Trans!H681,"AAAAAE7/EDw=")</f>
        <v>#VALUE!:noResult:No valid cells found for operation.</v>
      </c>
      <c r="BJ47" s="15" t="str">
        <f>#REF!</f>
        <v>#VALUE!:noResult:No valid cells found for operation.</v>
      </c>
      <c r="BK47" s="15" t="str">
        <f>#REF!</f>
        <v>#VALUE!:noResult:No valid cells found for operation.</v>
      </c>
      <c r="BL47" s="15" t="str">
        <f>#REF!</f>
        <v>#VALUE!:noResult:No valid cells found for operation.</v>
      </c>
      <c r="BM47" s="15" t="str">
        <f>#REF!</f>
        <v>#VALUE!:noResult:No valid cells found for operation.</v>
      </c>
      <c r="BN47" s="15" t="str">
        <f>#REF!</f>
        <v>#VALUE!:noResult:No valid cells found for operation.</v>
      </c>
      <c r="BO47" s="15" t="str">
        <f>#REF!</f>
        <v>#VALUE!:noResult:No valid cells found for operation.</v>
      </c>
      <c r="BP47" s="15">
        <f>IF(Trans!R[635],"AAAAAE7/EEM=",0)</f>
        <v>0</v>
      </c>
      <c r="BQ47" s="15" t="b">
        <f>AND(Trans!A682,"AAAAAE7/EEQ=")</f>
        <v>1</v>
      </c>
      <c r="BR47" s="15" t="str">
        <f>AND(Trans!B682,"AAAAAE7/EEU=")</f>
        <v>#VALUE!:noResult:No valid cells found for operation.</v>
      </c>
      <c r="BS47" s="15" t="b">
        <f>AND(Trans!C682,"AAAAAE7/EEY=")</f>
        <v>1</v>
      </c>
      <c r="BT47" s="15" t="b">
        <f>AND(Trans!D682,"AAAAAE7/EEc=")</f>
        <v>1</v>
      </c>
      <c r="BU47" s="15" t="str">
        <f>AND(Trans!E682,"AAAAAE7/EEg=")</f>
        <v>#VALUE!:noResult:No valid cells found for operation.</v>
      </c>
      <c r="BV47" s="15" t="str">
        <f>AND(Trans!F682,"AAAAAE7/EEk=")</f>
        <v>#VALUE!:noResult:No valid cells found for operation.</v>
      </c>
      <c r="BW47" s="15" t="str">
        <f>AND(Trans!G682,"AAAAAE7/EEo=")</f>
        <v>#VALUE!:noResult:No valid cells found for operation.</v>
      </c>
      <c r="BX47" s="15" t="str">
        <f>#REF!</f>
        <v>#VALUE!:noResult:No valid cells found for operation.</v>
      </c>
      <c r="BY47" s="15" t="str">
        <f>AND(Trans!H682,"AAAAAE7/EEw=")</f>
        <v>#VALUE!:noResult:No valid cells found for operation.</v>
      </c>
      <c r="BZ47" s="15" t="str">
        <f>#REF!</f>
        <v>#VALUE!:noResult:No valid cells found for operation.</v>
      </c>
      <c r="CA47" s="15" t="str">
        <f>#REF!</f>
        <v>#VALUE!:noResult:No valid cells found for operation.</v>
      </c>
      <c r="CB47" s="15" t="str">
        <f>#REF!</f>
        <v>#VALUE!:noResult:No valid cells found for operation.</v>
      </c>
      <c r="CC47" s="15" t="str">
        <f>#REF!</f>
        <v>#VALUE!:noResult:No valid cells found for operation.</v>
      </c>
      <c r="CD47" s="15" t="str">
        <f>#REF!</f>
        <v>#VALUE!:noResult:No valid cells found for operation.</v>
      </c>
      <c r="CE47" s="15" t="str">
        <f>#REF!</f>
        <v>#VALUE!:noResult:No valid cells found for operation.</v>
      </c>
      <c r="CF47" s="15">
        <f>IF(Trans!R[636],"AAAAAE7/EFM=",0)</f>
        <v>0</v>
      </c>
      <c r="CG47" s="15" t="b">
        <f>AND(Trans!A683,"AAAAAE7/EFQ=")</f>
        <v>1</v>
      </c>
      <c r="CH47" s="15" t="str">
        <f>AND(Trans!B683,"AAAAAE7/EFU=")</f>
        <v>#VALUE!:noResult:No valid cells found for operation.</v>
      </c>
      <c r="CI47" s="15" t="b">
        <f>AND(Trans!C683,"AAAAAE7/EFY=")</f>
        <v>1</v>
      </c>
      <c r="CJ47" s="15" t="b">
        <f>AND(Trans!D683,"AAAAAE7/EFc=")</f>
        <v>1</v>
      </c>
      <c r="CK47" s="15" t="str">
        <f>AND(Trans!E683,"AAAAAE7/EFg=")</f>
        <v>#VALUE!:noResult:No valid cells found for operation.</v>
      </c>
      <c r="CL47" s="15" t="str">
        <f>AND(Trans!F683,"AAAAAE7/EFk=")</f>
        <v>#VALUE!:noResult:No valid cells found for operation.</v>
      </c>
      <c r="CM47" s="15" t="str">
        <f>AND(Trans!G683,"AAAAAE7/EFo=")</f>
        <v>#VALUE!:noResult:No valid cells found for operation.</v>
      </c>
      <c r="CN47" s="15" t="str">
        <f>#REF!</f>
        <v>#VALUE!:noResult:No valid cells found for operation.</v>
      </c>
      <c r="CO47" s="15" t="str">
        <f>AND(Trans!H683,"AAAAAE7/EFw=")</f>
        <v>#VALUE!:noResult:No valid cells found for operation.</v>
      </c>
      <c r="CP47" s="15" t="str">
        <f>#REF!</f>
        <v>#VALUE!:noResult:No valid cells found for operation.</v>
      </c>
      <c r="CQ47" s="15" t="str">
        <f>#REF!</f>
        <v>#VALUE!:noResult:No valid cells found for operation.</v>
      </c>
      <c r="CR47" s="15" t="str">
        <f>#REF!</f>
        <v>#VALUE!:noResult:No valid cells found for operation.</v>
      </c>
      <c r="CS47" s="15" t="str">
        <f>#REF!</f>
        <v>#VALUE!:noResult:No valid cells found for operation.</v>
      </c>
      <c r="CT47" s="15" t="str">
        <f>#REF!</f>
        <v>#VALUE!:noResult:No valid cells found for operation.</v>
      </c>
      <c r="CU47" s="15" t="str">
        <f>#REF!</f>
        <v>#VALUE!:noResult:No valid cells found for operation.</v>
      </c>
      <c r="CV47" s="15">
        <f>IF(Trans!R[637],"AAAAAE7/EGM=",0)</f>
        <v>0</v>
      </c>
      <c r="CW47" s="15" t="b">
        <f>AND(Trans!A684,"AAAAAE7/EGQ=")</f>
        <v>1</v>
      </c>
      <c r="CX47" s="15" t="str">
        <f>AND(Trans!B684,"AAAAAE7/EGU=")</f>
        <v>#VALUE!:noResult:No valid cells found for operation.</v>
      </c>
      <c r="CY47" s="15" t="b">
        <f>AND(Trans!C684,"AAAAAE7/EGY=")</f>
        <v>1</v>
      </c>
      <c r="CZ47" s="15" t="b">
        <f>AND(Trans!D684,"AAAAAE7/EGc=")</f>
        <v>1</v>
      </c>
      <c r="DA47" s="15" t="str">
        <f>AND(Trans!E684,"AAAAAE7/EGg=")</f>
        <v>#VALUE!:noResult:No valid cells found for operation.</v>
      </c>
      <c r="DB47" s="15" t="str">
        <f>AND(Trans!F684,"AAAAAE7/EGk=")</f>
        <v>#VALUE!:noResult:No valid cells found for operation.</v>
      </c>
      <c r="DC47" s="15" t="str">
        <f>AND(Trans!G684,"AAAAAE7/EGo=")</f>
        <v>#VALUE!:noResult:No valid cells found for operation.</v>
      </c>
      <c r="DD47" s="15" t="str">
        <f>#REF!</f>
        <v>#VALUE!:noResult:No valid cells found for operation.</v>
      </c>
      <c r="DE47" s="15" t="str">
        <f>AND(Trans!H684,"AAAAAE7/EGw=")</f>
        <v>#VALUE!:noResult:No valid cells found for operation.</v>
      </c>
      <c r="DF47" s="15" t="str">
        <f>#REF!</f>
        <v>#VALUE!:noResult:No valid cells found for operation.</v>
      </c>
      <c r="DG47" s="15" t="str">
        <f>#REF!</f>
        <v>#VALUE!:noResult:No valid cells found for operation.</v>
      </c>
      <c r="DH47" s="15" t="str">
        <f>#REF!</f>
        <v>#VALUE!:noResult:No valid cells found for operation.</v>
      </c>
      <c r="DI47" s="15" t="str">
        <f>#REF!</f>
        <v>#VALUE!:noResult:No valid cells found for operation.</v>
      </c>
      <c r="DJ47" s="15" t="str">
        <f>#REF!</f>
        <v>#VALUE!:noResult:No valid cells found for operation.</v>
      </c>
      <c r="DK47" s="15" t="str">
        <f>#REF!</f>
        <v>#VALUE!:noResult:No valid cells found for operation.</v>
      </c>
      <c r="DL47" s="15">
        <f>IF(Trans!R[638],"AAAAAE7/EHM=",0)</f>
        <v>0</v>
      </c>
      <c r="DM47" s="15" t="b">
        <f>AND(Trans!A685,"AAAAAE7/EHQ=")</f>
        <v>1</v>
      </c>
      <c r="DN47" s="15" t="str">
        <f>AND(Trans!B685,"AAAAAE7/EHU=")</f>
        <v>#VALUE!:noResult:No valid cells found for operation.</v>
      </c>
      <c r="DO47" s="15" t="b">
        <f>AND(Trans!C685,"AAAAAE7/EHY=")</f>
        <v>1</v>
      </c>
      <c r="DP47" s="15" t="b">
        <f>AND(Trans!D685,"AAAAAE7/EHc=")</f>
        <v>1</v>
      </c>
      <c r="DQ47" s="15" t="str">
        <f>AND(Trans!E685,"AAAAAE7/EHg=")</f>
        <v>#VALUE!:noResult:No valid cells found for operation.</v>
      </c>
      <c r="DR47" s="15" t="str">
        <f>AND(Trans!F685,"AAAAAE7/EHk=")</f>
        <v>#VALUE!:noResult:No valid cells found for operation.</v>
      </c>
      <c r="DS47" s="15" t="str">
        <f>AND(Trans!G685,"AAAAAE7/EHo=")</f>
        <v>#VALUE!:noResult:No valid cells found for operation.</v>
      </c>
      <c r="DT47" s="15" t="str">
        <f>#REF!</f>
        <v>#VALUE!:noResult:No valid cells found for operation.</v>
      </c>
      <c r="DU47" s="15" t="str">
        <f>AND(Trans!H685,"AAAAAE7/EHw=")</f>
        <v>#VALUE!:noResult:No valid cells found for operation.</v>
      </c>
      <c r="DV47" s="15" t="str">
        <f>#REF!</f>
        <v>#VALUE!:noResult:No valid cells found for operation.</v>
      </c>
      <c r="DW47" s="15" t="str">
        <f>#REF!</f>
        <v>#VALUE!:noResult:No valid cells found for operation.</v>
      </c>
      <c r="DX47" s="15" t="str">
        <f>#REF!</f>
        <v>#VALUE!:noResult:No valid cells found for operation.</v>
      </c>
      <c r="DY47" s="15" t="str">
        <f>#REF!</f>
        <v>#VALUE!:noResult:No valid cells found for operation.</v>
      </c>
      <c r="DZ47" s="15" t="str">
        <f>#REF!</f>
        <v>#VALUE!:noResult:No valid cells found for operation.</v>
      </c>
      <c r="EA47" s="15" t="str">
        <f>#REF!</f>
        <v>#VALUE!:noResult:No valid cells found for operation.</v>
      </c>
      <c r="EB47" s="15">
        <f>IF(Trans!R[639],"AAAAAE7/EIM=",0)</f>
        <v>0</v>
      </c>
      <c r="EC47" s="15" t="b">
        <f>AND(Trans!A686,"AAAAAE7/EIQ=")</f>
        <v>1</v>
      </c>
      <c r="ED47" s="15" t="str">
        <f>AND(Trans!B686,"AAAAAE7/EIU=")</f>
        <v>#VALUE!:noResult:No valid cells found for operation.</v>
      </c>
      <c r="EE47" s="15" t="b">
        <f>AND(Trans!C686,"AAAAAE7/EIY=")</f>
        <v>1</v>
      </c>
      <c r="EF47" s="15" t="b">
        <f>AND(Trans!D686,"AAAAAE7/EIc=")</f>
        <v>1</v>
      </c>
      <c r="EG47" s="15" t="str">
        <f>AND(Trans!E686,"AAAAAE7/EIg=")</f>
        <v>#VALUE!:noResult:No valid cells found for operation.</v>
      </c>
      <c r="EH47" s="15" t="str">
        <f>AND(Trans!F686,"AAAAAE7/EIk=")</f>
        <v>#VALUE!:noResult:No valid cells found for operation.</v>
      </c>
      <c r="EI47" s="15" t="str">
        <f>AND(Trans!G686,"AAAAAE7/EIo=")</f>
        <v>#VALUE!:noResult:No valid cells found for operation.</v>
      </c>
      <c r="EJ47" s="15" t="str">
        <f>#REF!</f>
        <v>#VALUE!:noResult:No valid cells found for operation.</v>
      </c>
      <c r="EK47" s="15" t="str">
        <f>AND(Trans!H686,"AAAAAE7/EIw=")</f>
        <v>#VALUE!:noResult:No valid cells found for operation.</v>
      </c>
      <c r="EL47" s="15" t="str">
        <f>#REF!</f>
        <v>#VALUE!:noResult:No valid cells found for operation.</v>
      </c>
      <c r="EM47" s="15" t="str">
        <f>#REF!</f>
        <v>#VALUE!:noResult:No valid cells found for operation.</v>
      </c>
      <c r="EN47" s="15" t="str">
        <f>#REF!</f>
        <v>#VALUE!:noResult:No valid cells found for operation.</v>
      </c>
      <c r="EO47" s="15" t="str">
        <f>#REF!</f>
        <v>#VALUE!:noResult:No valid cells found for operation.</v>
      </c>
      <c r="EP47" s="15" t="str">
        <f>#REF!</f>
        <v>#VALUE!:noResult:No valid cells found for operation.</v>
      </c>
      <c r="EQ47" s="15" t="str">
        <f>#REF!</f>
        <v>#VALUE!:noResult:No valid cells found for operation.</v>
      </c>
      <c r="ER47" s="15">
        <f>IF(Trans!R[640],"AAAAAE7/EJM=",0)</f>
        <v>0</v>
      </c>
      <c r="ES47" s="15" t="b">
        <f>AND(Trans!A687,"AAAAAE7/EJQ=")</f>
        <v>1</v>
      </c>
      <c r="ET47" s="15" t="str">
        <f>AND(Trans!B687,"AAAAAE7/EJU=")</f>
        <v>#VALUE!:noResult:No valid cells found for operation.</v>
      </c>
      <c r="EU47" s="15" t="b">
        <f>AND(Trans!C687,"AAAAAE7/EJY=")</f>
        <v>1</v>
      </c>
      <c r="EV47" s="15" t="b">
        <f>AND(Trans!D687,"AAAAAE7/EJc=")</f>
        <v>1</v>
      </c>
      <c r="EW47" s="15" t="str">
        <f>AND(Trans!E687,"AAAAAE7/EJg=")</f>
        <v>#VALUE!:noResult:No valid cells found for operation.</v>
      </c>
      <c r="EX47" s="15" t="str">
        <f>AND(Trans!F687,"AAAAAE7/EJk=")</f>
        <v>#VALUE!:noResult:No valid cells found for operation.</v>
      </c>
      <c r="EY47" s="15" t="str">
        <f>AND(Trans!G687,"AAAAAE7/EJo=")</f>
        <v>#VALUE!:noResult:No valid cells found for operation.</v>
      </c>
      <c r="EZ47" s="15" t="str">
        <f>#REF!</f>
        <v>#VALUE!:noResult:No valid cells found for operation.</v>
      </c>
      <c r="FA47" s="15" t="str">
        <f>AND(Trans!H687,"AAAAAE7/EJw=")</f>
        <v>#VALUE!:noResult:No valid cells found for operation.</v>
      </c>
      <c r="FB47" s="15" t="str">
        <f>#REF!</f>
        <v>#VALUE!:noResult:No valid cells found for operation.</v>
      </c>
      <c r="FC47" s="15" t="str">
        <f>#REF!</f>
        <v>#VALUE!:noResult:No valid cells found for operation.</v>
      </c>
      <c r="FD47" s="15" t="str">
        <f>#REF!</f>
        <v>#VALUE!:noResult:No valid cells found for operation.</v>
      </c>
      <c r="FE47" s="15" t="str">
        <f>#REF!</f>
        <v>#VALUE!:noResult:No valid cells found for operation.</v>
      </c>
      <c r="FF47" s="15" t="str">
        <f>#REF!</f>
        <v>#VALUE!:noResult:No valid cells found for operation.</v>
      </c>
      <c r="FG47" s="15" t="str">
        <f>#REF!</f>
        <v>#VALUE!:noResult:No valid cells found for operation.</v>
      </c>
      <c r="FH47" s="15">
        <f>IF(Trans!R[641],"AAAAAE7/EKM=",0)</f>
        <v>0</v>
      </c>
      <c r="FI47" s="15" t="b">
        <f>AND(Trans!A688,"AAAAAE7/EKQ=")</f>
        <v>1</v>
      </c>
      <c r="FJ47" s="15" t="str">
        <f>AND(Trans!B688,"AAAAAE7/EKU=")</f>
        <v>#VALUE!:noResult:No valid cells found for operation.</v>
      </c>
      <c r="FK47" s="15" t="b">
        <f>AND(Trans!C688,"AAAAAE7/EKY=")</f>
        <v>1</v>
      </c>
      <c r="FL47" s="15" t="b">
        <f>AND(Trans!D688,"AAAAAE7/EKc=")</f>
        <v>1</v>
      </c>
      <c r="FM47" s="15" t="str">
        <f>AND(Trans!E688,"AAAAAE7/EKg=")</f>
        <v>#VALUE!:noResult:No valid cells found for operation.</v>
      </c>
      <c r="FN47" s="15" t="str">
        <f>AND(Trans!F688,"AAAAAE7/EKk=")</f>
        <v>#VALUE!:noResult:No valid cells found for operation.</v>
      </c>
      <c r="FO47" s="15" t="str">
        <f>AND(Trans!G688,"AAAAAE7/EKo=")</f>
        <v>#VALUE!:noResult:No valid cells found for operation.</v>
      </c>
      <c r="FP47" s="15" t="str">
        <f>#REF!</f>
        <v>#VALUE!:noResult:No valid cells found for operation.</v>
      </c>
      <c r="FQ47" s="15" t="str">
        <f>AND(Trans!H688,"AAAAAE7/EKw=")</f>
        <v>#VALUE!:noResult:No valid cells found for operation.</v>
      </c>
      <c r="FR47" s="15" t="str">
        <f>#REF!</f>
        <v>#VALUE!:noResult:No valid cells found for operation.</v>
      </c>
      <c r="FS47" s="15" t="str">
        <f>#REF!</f>
        <v>#VALUE!:noResult:No valid cells found for operation.</v>
      </c>
      <c r="FT47" s="15" t="str">
        <f>#REF!</f>
        <v>#VALUE!:noResult:No valid cells found for operation.</v>
      </c>
      <c r="FU47" s="15" t="str">
        <f>#REF!</f>
        <v>#VALUE!:noResult:No valid cells found for operation.</v>
      </c>
      <c r="FV47" s="15" t="str">
        <f>#REF!</f>
        <v>#VALUE!:noResult:No valid cells found for operation.</v>
      </c>
      <c r="FW47" s="15" t="str">
        <f>#REF!</f>
        <v>#VALUE!:noResult:No valid cells found for operation.</v>
      </c>
      <c r="FX47" s="15">
        <f>IF(Trans!R[642],"AAAAAE7/ELM=",0)</f>
        <v>0</v>
      </c>
      <c r="FY47" s="15" t="b">
        <f>AND(Trans!A689,"AAAAAE7/ELQ=")</f>
        <v>1</v>
      </c>
      <c r="FZ47" s="15" t="str">
        <f>AND(Trans!B689,"AAAAAE7/ELU=")</f>
        <v>#VALUE!:noResult:No valid cells found for operation.</v>
      </c>
      <c r="GA47" s="15" t="b">
        <f>AND(Trans!C689,"AAAAAE7/ELY=")</f>
        <v>1</v>
      </c>
      <c r="GB47" s="15" t="b">
        <f>AND(Trans!D689,"AAAAAE7/ELc=")</f>
        <v>1</v>
      </c>
      <c r="GC47" s="15" t="str">
        <f>AND(Trans!E689,"AAAAAE7/ELg=")</f>
        <v>#VALUE!:noResult:No valid cells found for operation.</v>
      </c>
      <c r="GD47" s="15" t="str">
        <f>AND(Trans!F689,"AAAAAE7/ELk=")</f>
        <v>#VALUE!:noResult:No valid cells found for operation.</v>
      </c>
      <c r="GE47" s="15" t="str">
        <f>AND(Trans!G689,"AAAAAE7/ELo=")</f>
        <v>#VALUE!:noResult:No valid cells found for operation.</v>
      </c>
      <c r="GF47" s="15" t="str">
        <f>#REF!</f>
        <v>#VALUE!:noResult:No valid cells found for operation.</v>
      </c>
      <c r="GG47" s="15" t="str">
        <f>AND(Trans!H689,"AAAAAE7/ELw=")</f>
        <v>#VALUE!:noResult:No valid cells found for operation.</v>
      </c>
      <c r="GH47" s="15" t="str">
        <f>#REF!</f>
        <v>#VALUE!:noResult:No valid cells found for operation.</v>
      </c>
      <c r="GI47" s="15" t="str">
        <f>#REF!</f>
        <v>#VALUE!:noResult:No valid cells found for operation.</v>
      </c>
      <c r="GJ47" s="15" t="str">
        <f>#REF!</f>
        <v>#VALUE!:noResult:No valid cells found for operation.</v>
      </c>
      <c r="GK47" s="15" t="str">
        <f>#REF!</f>
        <v>#VALUE!:noResult:No valid cells found for operation.</v>
      </c>
      <c r="GL47" s="15" t="str">
        <f>#REF!</f>
        <v>#VALUE!:noResult:No valid cells found for operation.</v>
      </c>
      <c r="GM47" s="15" t="str">
        <f>#REF!</f>
        <v>#VALUE!:noResult:No valid cells found for operation.</v>
      </c>
      <c r="GN47" s="15">
        <f>IF(Trans!R[643],"AAAAAE7/EMM=",0)</f>
        <v>0</v>
      </c>
      <c r="GO47" s="15" t="b">
        <f>AND(Trans!A690,"AAAAAE7/EMQ=")</f>
        <v>1</v>
      </c>
      <c r="GP47" s="15" t="str">
        <f>AND(Trans!B690,"AAAAAE7/EMU=")</f>
        <v>#VALUE!:noResult:No valid cells found for operation.</v>
      </c>
      <c r="GQ47" s="15" t="b">
        <f>AND(Trans!C690,"AAAAAE7/EMY=")</f>
        <v>1</v>
      </c>
      <c r="GR47" s="15" t="b">
        <f>AND(Trans!D690,"AAAAAE7/EMc=")</f>
        <v>1</v>
      </c>
      <c r="GS47" s="15" t="str">
        <f>AND(Trans!E690,"AAAAAE7/EMg=")</f>
        <v>#VALUE!:noResult:No valid cells found for operation.</v>
      </c>
      <c r="GT47" s="15" t="str">
        <f>AND(Trans!F690,"AAAAAE7/EMk=")</f>
        <v>#VALUE!:noResult:No valid cells found for operation.</v>
      </c>
      <c r="GU47" s="15" t="str">
        <f>AND(Trans!G690,"AAAAAE7/EMo=")</f>
        <v>#VALUE!:noResult:No valid cells found for operation.</v>
      </c>
      <c r="GV47" s="15" t="str">
        <f>#REF!</f>
        <v>#VALUE!:noResult:No valid cells found for operation.</v>
      </c>
      <c r="GW47" s="15" t="str">
        <f>AND(Trans!H690,"AAAAAE7/EMw=")</f>
        <v>#VALUE!:noResult:No valid cells found for operation.</v>
      </c>
      <c r="GX47" s="15" t="str">
        <f>#REF!</f>
        <v>#VALUE!:noResult:No valid cells found for operation.</v>
      </c>
      <c r="GY47" s="15" t="str">
        <f>#REF!</f>
        <v>#VALUE!:noResult:No valid cells found for operation.</v>
      </c>
      <c r="GZ47" s="15" t="str">
        <f>#REF!</f>
        <v>#VALUE!:noResult:No valid cells found for operation.</v>
      </c>
      <c r="HA47" s="15" t="str">
        <f>#REF!</f>
        <v>#VALUE!:noResult:No valid cells found for operation.</v>
      </c>
      <c r="HB47" s="15" t="str">
        <f>#REF!</f>
        <v>#VALUE!:noResult:No valid cells found for operation.</v>
      </c>
      <c r="HC47" s="15" t="str">
        <f>#REF!</f>
        <v>#VALUE!:noResult:No valid cells found for operation.</v>
      </c>
      <c r="HD47" s="15">
        <f>IF(Trans!R[644],"AAAAAE7/ENM=",0)</f>
        <v>0</v>
      </c>
      <c r="HE47" s="15" t="b">
        <f>AND(Trans!A691,"AAAAAE7/ENQ=")</f>
        <v>1</v>
      </c>
      <c r="HF47" s="15" t="str">
        <f>AND(Trans!B691,"AAAAAE7/ENU=")</f>
        <v>#VALUE!:noResult:No valid cells found for operation.</v>
      </c>
      <c r="HG47" s="15" t="b">
        <f>AND(Trans!C691,"AAAAAE7/ENY=")</f>
        <v>1</v>
      </c>
      <c r="HH47" s="15" t="b">
        <f>AND(Trans!D691,"AAAAAE7/ENc=")</f>
        <v>1</v>
      </c>
      <c r="HI47" s="15" t="str">
        <f>AND(Trans!E691,"AAAAAE7/ENg=")</f>
        <v>#VALUE!:noResult:No valid cells found for operation.</v>
      </c>
      <c r="HJ47" s="15" t="str">
        <f>AND(Trans!F691,"AAAAAE7/ENk=")</f>
        <v>#VALUE!:noResult:No valid cells found for operation.</v>
      </c>
      <c r="HK47" s="15" t="str">
        <f>AND(Trans!G691,"AAAAAE7/ENo=")</f>
        <v>#VALUE!:noResult:No valid cells found for operation.</v>
      </c>
      <c r="HL47" s="15" t="str">
        <f>#REF!</f>
        <v>#VALUE!:noResult:No valid cells found for operation.</v>
      </c>
      <c r="HM47" s="15" t="str">
        <f>AND(Trans!H691,"AAAAAE7/ENw=")</f>
        <v>#VALUE!:noResult:No valid cells found for operation.</v>
      </c>
      <c r="HN47" s="15" t="str">
        <f>#REF!</f>
        <v>#VALUE!:noResult:No valid cells found for operation.</v>
      </c>
      <c r="HO47" s="15" t="str">
        <f>#REF!</f>
        <v>#VALUE!:noResult:No valid cells found for operation.</v>
      </c>
      <c r="HP47" s="15" t="str">
        <f>#REF!</f>
        <v>#VALUE!:noResult:No valid cells found for operation.</v>
      </c>
      <c r="HQ47" s="15" t="str">
        <f>#REF!</f>
        <v>#VALUE!:noResult:No valid cells found for operation.</v>
      </c>
      <c r="HR47" s="15" t="str">
        <f>#REF!</f>
        <v>#VALUE!:noResult:No valid cells found for operation.</v>
      </c>
      <c r="HS47" s="15" t="str">
        <f>#REF!</f>
        <v>#VALUE!:noResult:No valid cells found for operation.</v>
      </c>
      <c r="HT47" s="15">
        <f>IF(Trans!R[645],"AAAAAE7/EOM=",0)</f>
        <v>0</v>
      </c>
      <c r="HU47" s="15" t="b">
        <f>AND(Trans!A692,"AAAAAE7/EOQ=")</f>
        <v>1</v>
      </c>
      <c r="HV47" s="15" t="str">
        <f>AND(Trans!B692,"AAAAAE7/EOU=")</f>
        <v>#VALUE!:noResult:No valid cells found for operation.</v>
      </c>
      <c r="HW47" s="15" t="b">
        <f>AND(Trans!C692,"AAAAAE7/EOY=")</f>
        <v>1</v>
      </c>
      <c r="HX47" s="15" t="b">
        <f>AND(Trans!D692,"AAAAAE7/EOc=")</f>
        <v>1</v>
      </c>
      <c r="HY47" s="15" t="str">
        <f>AND(Trans!E692,"AAAAAE7/EOg=")</f>
        <v>#VALUE!:noResult:No valid cells found for operation.</v>
      </c>
      <c r="HZ47" s="15" t="str">
        <f>AND(Trans!F692,"AAAAAE7/EOk=")</f>
        <v>#VALUE!:noResult:No valid cells found for operation.</v>
      </c>
      <c r="IA47" s="15" t="str">
        <f>AND(Trans!G692,"AAAAAE7/EOo=")</f>
        <v>#VALUE!:noResult:No valid cells found for operation.</v>
      </c>
      <c r="IB47" s="15" t="str">
        <f>#REF!</f>
        <v>#VALUE!:noResult:No valid cells found for operation.</v>
      </c>
      <c r="IC47" s="15" t="str">
        <f>AND(Trans!H692,"AAAAAE7/EOw=")</f>
        <v>#VALUE!:noResult:No valid cells found for operation.</v>
      </c>
      <c r="ID47" s="15" t="str">
        <f>#REF!</f>
        <v>#VALUE!:noResult:No valid cells found for operation.</v>
      </c>
      <c r="IE47" s="15" t="str">
        <f>#REF!</f>
        <v>#VALUE!:noResult:No valid cells found for operation.</v>
      </c>
      <c r="IF47" s="15" t="str">
        <f>#REF!</f>
        <v>#VALUE!:noResult:No valid cells found for operation.</v>
      </c>
      <c r="IG47" s="15" t="str">
        <f>#REF!</f>
        <v>#VALUE!:noResult:No valid cells found for operation.</v>
      </c>
      <c r="IH47" s="15" t="str">
        <f>#REF!</f>
        <v>#VALUE!:noResult:No valid cells found for operation.</v>
      </c>
      <c r="II47" s="15" t="str">
        <f>#REF!</f>
        <v>#VALUE!:noResult:No valid cells found for operation.</v>
      </c>
      <c r="IJ47" s="15">
        <f>IF(Trans!R[646],"AAAAAE7/EPM=",0)</f>
        <v>0</v>
      </c>
      <c r="IK47" s="15" t="b">
        <f>AND(Trans!A693,"AAAAAE7/EPQ=")</f>
        <v>1</v>
      </c>
      <c r="IL47" s="15" t="str">
        <f>AND(Trans!B693,"AAAAAE7/EPU=")</f>
        <v>#VALUE!:noResult:No valid cells found for operation.</v>
      </c>
      <c r="IM47" s="15" t="b">
        <f>AND(Trans!C693,"AAAAAE7/EPY=")</f>
        <v>1</v>
      </c>
      <c r="IN47" s="15" t="b">
        <f>AND(Trans!D693,"AAAAAE7/EPc=")</f>
        <v>1</v>
      </c>
      <c r="IO47" s="15" t="str">
        <f>AND(Trans!E693,"AAAAAE7/EPg=")</f>
        <v>#VALUE!:noResult:No valid cells found for operation.</v>
      </c>
      <c r="IP47" s="15" t="str">
        <f>AND(Trans!F693,"AAAAAE7/EPk=")</f>
        <v>#VALUE!:noResult:No valid cells found for operation.</v>
      </c>
      <c r="IQ47" s="15" t="str">
        <f>AND(Trans!G693,"AAAAAE7/EPo=")</f>
        <v>#VALUE!:noResult:No valid cells found for operation.</v>
      </c>
      <c r="IR47" s="15" t="str">
        <f>#REF!</f>
        <v>#VALUE!:noResult:No valid cells found for operation.</v>
      </c>
      <c r="IS47" s="15" t="str">
        <f>AND(Trans!H693,"AAAAAE7/EPw=")</f>
        <v>#VALUE!:noResult:No valid cells found for operation.</v>
      </c>
      <c r="IT47" s="15" t="str">
        <f>#REF!</f>
        <v>#VALUE!:noResult:No valid cells found for operation.</v>
      </c>
      <c r="IU47" s="15" t="str">
        <f>#REF!</f>
        <v>#VALUE!:noResult:No valid cells found for operation.</v>
      </c>
      <c r="IV47" s="15" t="str">
        <f>#REF!</f>
        <v>#VALUE!:noResult:No valid cells found for operation.</v>
      </c>
    </row>
    <row r="48">
      <c r="A48" s="15" t="str">
        <f>#REF!</f>
        <v>#VALUE!:noResult:No valid cells found for operation.</v>
      </c>
      <c r="B48" s="15" t="str">
        <f>#REF!</f>
        <v>#VALUE!:noResult:No valid cells found for operation.</v>
      </c>
      <c r="C48" s="15" t="str">
        <f>#REF!</f>
        <v>#VALUE!:noResult:No valid cells found for operation.</v>
      </c>
      <c r="D48" s="15" t="str">
        <f>IF(Trans!R[646],"AAAAACL//wM=",0)</f>
        <v>AAAAACL//wM=</v>
      </c>
      <c r="E48" s="15" t="b">
        <f>AND(Trans!A694,"AAAAACL//wQ=")</f>
        <v>1</v>
      </c>
      <c r="F48" s="15" t="str">
        <f>AND(Trans!B694,"AAAAACL//wU=")</f>
        <v>#VALUE!:noResult:No valid cells found for operation.</v>
      </c>
      <c r="G48" s="15" t="b">
        <f>AND(Trans!C694,"AAAAACL//wY=")</f>
        <v>1</v>
      </c>
      <c r="H48" s="15" t="b">
        <f>AND(Trans!D694,"AAAAACL//wc=")</f>
        <v>1</v>
      </c>
      <c r="I48" s="15" t="str">
        <f>AND(Trans!E694,"AAAAACL//wg=")</f>
        <v>#VALUE!:noResult:No valid cells found for operation.</v>
      </c>
      <c r="J48" s="15" t="str">
        <f>AND(Trans!F694,"AAAAACL//wk=")</f>
        <v>#VALUE!:noResult:No valid cells found for operation.</v>
      </c>
      <c r="K48" s="15" t="str">
        <f>AND(Trans!G694,"AAAAACL//wo=")</f>
        <v>#VALUE!:noResult:No valid cells found for operation.</v>
      </c>
      <c r="L48" s="15" t="str">
        <f>#REF!</f>
        <v>#VALUE!:noResult:No valid cells found for operation.</v>
      </c>
      <c r="M48" s="15" t="str">
        <f>AND(Trans!H694,"AAAAACL//ww=")</f>
        <v>#VALUE!:noResult:No valid cells found for operation.</v>
      </c>
      <c r="N48" s="15" t="str">
        <f>#REF!</f>
        <v>#VALUE!:noResult:No valid cells found for operation.</v>
      </c>
      <c r="O48" s="15" t="str">
        <f>#REF!</f>
        <v>#VALUE!:noResult:No valid cells found for operation.</v>
      </c>
      <c r="P48" s="15" t="str">
        <f>#REF!</f>
        <v>#VALUE!:noResult:No valid cells found for operation.</v>
      </c>
      <c r="Q48" s="15" t="str">
        <f>#REF!</f>
        <v>#VALUE!:noResult:No valid cells found for operation.</v>
      </c>
      <c r="R48" s="15" t="str">
        <f>#REF!</f>
        <v>#VALUE!:noResult:No valid cells found for operation.</v>
      </c>
      <c r="S48" s="15" t="str">
        <f>#REF!</f>
        <v>#VALUE!:noResult:No valid cells found for operation.</v>
      </c>
      <c r="T48" s="15">
        <f>IF(Trans!R[647],"AAAAACL//xM=",0)</f>
        <v>0</v>
      </c>
      <c r="U48" s="15" t="b">
        <f>AND(Trans!A695,"AAAAACL//xQ=")</f>
        <v>1</v>
      </c>
      <c r="V48" s="15" t="str">
        <f>AND(Trans!B695,"AAAAACL//xU=")</f>
        <v>#VALUE!:noResult:No valid cells found for operation.</v>
      </c>
      <c r="W48" s="15" t="b">
        <f>AND(Trans!C695,"AAAAACL//xY=")</f>
        <v>1</v>
      </c>
      <c r="X48" s="15" t="b">
        <f>AND(Trans!D695,"AAAAACL//xc=")</f>
        <v>1</v>
      </c>
      <c r="Y48" s="15" t="str">
        <f>AND(Trans!E695,"AAAAACL//xg=")</f>
        <v>#VALUE!:noResult:No valid cells found for operation.</v>
      </c>
      <c r="Z48" s="15" t="str">
        <f>AND(Trans!F695,"AAAAACL//xk=")</f>
        <v>#VALUE!:noResult:No valid cells found for operation.</v>
      </c>
      <c r="AA48" s="15" t="str">
        <f>AND(Trans!G695,"AAAAACL//xo=")</f>
        <v>#VALUE!:noResult:No valid cells found for operation.</v>
      </c>
      <c r="AB48" s="15" t="str">
        <f>#REF!</f>
        <v>#VALUE!:noResult:No valid cells found for operation.</v>
      </c>
      <c r="AC48" s="15" t="str">
        <f>AND(Trans!H695,"AAAAACL//xw=")</f>
        <v>#VALUE!:noResult:No valid cells found for operation.</v>
      </c>
      <c r="AD48" s="15" t="str">
        <f>#REF!</f>
        <v>#VALUE!:noResult:No valid cells found for operation.</v>
      </c>
      <c r="AE48" s="15" t="str">
        <f>#REF!</f>
        <v>#VALUE!:noResult:No valid cells found for operation.</v>
      </c>
      <c r="AF48" s="15" t="str">
        <f>#REF!</f>
        <v>#VALUE!:noResult:No valid cells found for operation.</v>
      </c>
      <c r="AG48" s="15" t="str">
        <f>#REF!</f>
        <v>#VALUE!:noResult:No valid cells found for operation.</v>
      </c>
      <c r="AH48" s="15" t="str">
        <f>#REF!</f>
        <v>#VALUE!:noResult:No valid cells found for operation.</v>
      </c>
      <c r="AI48" s="15" t="str">
        <f>#REF!</f>
        <v>#VALUE!:noResult:No valid cells found for operation.</v>
      </c>
      <c r="AJ48" s="15">
        <f>IF(Trans!R[648],"AAAAACL//yM=",0)</f>
        <v>0</v>
      </c>
      <c r="AK48" s="15" t="b">
        <f>AND(Trans!A696,"AAAAACL//yQ=")</f>
        <v>1</v>
      </c>
      <c r="AL48" s="15" t="str">
        <f>AND(Trans!B696,"AAAAACL//yU=")</f>
        <v>#VALUE!:noResult:No valid cells found for operation.</v>
      </c>
      <c r="AM48" s="15" t="b">
        <f>AND(Trans!C696,"AAAAACL//yY=")</f>
        <v>1</v>
      </c>
      <c r="AN48" s="15" t="b">
        <f>AND(Trans!D696,"AAAAACL//yc=")</f>
        <v>1</v>
      </c>
      <c r="AO48" s="15" t="str">
        <f>AND(Trans!E696,"AAAAACL//yg=")</f>
        <v>#VALUE!:noResult:No valid cells found for operation.</v>
      </c>
      <c r="AP48" s="15" t="str">
        <f>AND(Trans!F696,"AAAAACL//yk=")</f>
        <v>#VALUE!:noResult:No valid cells found for operation.</v>
      </c>
      <c r="AQ48" s="15" t="str">
        <f>AND(Trans!G696,"AAAAACL//yo=")</f>
        <v>#VALUE!:noResult:No valid cells found for operation.</v>
      </c>
      <c r="AR48" s="15" t="str">
        <f>#REF!</f>
        <v>#VALUE!:noResult:No valid cells found for operation.</v>
      </c>
      <c r="AS48" s="15" t="str">
        <f>AND(Trans!H696,"AAAAACL//yw=")</f>
        <v>#VALUE!:noResult:No valid cells found for operation.</v>
      </c>
      <c r="AT48" s="15" t="str">
        <f>#REF!</f>
        <v>#VALUE!:noResult:No valid cells found for operation.</v>
      </c>
      <c r="AU48" s="15" t="str">
        <f>#REF!</f>
        <v>#VALUE!:noResult:No valid cells found for operation.</v>
      </c>
      <c r="AV48" s="15" t="str">
        <f>#REF!</f>
        <v>#VALUE!:noResult:No valid cells found for operation.</v>
      </c>
      <c r="AW48" s="15" t="str">
        <f>#REF!</f>
        <v>#VALUE!:noResult:No valid cells found for operation.</v>
      </c>
      <c r="AX48" s="15" t="str">
        <f>#REF!</f>
        <v>#VALUE!:noResult:No valid cells found for operation.</v>
      </c>
      <c r="AY48" s="15" t="str">
        <f>#REF!</f>
        <v>#VALUE!:noResult:No valid cells found for operation.</v>
      </c>
      <c r="AZ48" s="15">
        <f>IF(Trans!R[649],"AAAAACL//zM=",0)</f>
        <v>0</v>
      </c>
      <c r="BA48" s="15" t="b">
        <f>AND(Trans!A697,"AAAAACL//zQ=")</f>
        <v>1</v>
      </c>
      <c r="BB48" s="15" t="str">
        <f>AND(Trans!B697,"AAAAACL//zU=")</f>
        <v>#VALUE!:noResult:No valid cells found for operation.</v>
      </c>
      <c r="BC48" s="15" t="b">
        <f>AND(Trans!C697,"AAAAACL//zY=")</f>
        <v>1</v>
      </c>
      <c r="BD48" s="15" t="b">
        <f>AND(Trans!D697,"AAAAACL//zc=")</f>
        <v>1</v>
      </c>
      <c r="BE48" s="15" t="str">
        <f>AND(Trans!E697,"AAAAACL//zg=")</f>
        <v>#VALUE!:noResult:No valid cells found for operation.</v>
      </c>
      <c r="BF48" s="15" t="str">
        <f>AND(Trans!F697,"AAAAACL//zk=")</f>
        <v>#VALUE!:noResult:No valid cells found for operation.</v>
      </c>
      <c r="BG48" s="15" t="str">
        <f>AND(Trans!G697,"AAAAACL//zo=")</f>
        <v>#VALUE!:noResult:No valid cells found for operation.</v>
      </c>
      <c r="BH48" s="15" t="str">
        <f>#REF!</f>
        <v>#VALUE!:noResult:No valid cells found for operation.</v>
      </c>
      <c r="BI48" s="15" t="str">
        <f>AND(Trans!H697,"AAAAACL//zw=")</f>
        <v>#VALUE!:noResult:No valid cells found for operation.</v>
      </c>
      <c r="BJ48" s="15" t="str">
        <f>#REF!</f>
        <v>#VALUE!:noResult:No valid cells found for operation.</v>
      </c>
      <c r="BK48" s="15" t="str">
        <f>#REF!</f>
        <v>#VALUE!:noResult:No valid cells found for operation.</v>
      </c>
      <c r="BL48" s="15" t="str">
        <f>#REF!</f>
        <v>#VALUE!:noResult:No valid cells found for operation.</v>
      </c>
      <c r="BM48" s="15" t="str">
        <f>#REF!</f>
        <v>#VALUE!:noResult:No valid cells found for operation.</v>
      </c>
      <c r="BN48" s="15" t="str">
        <f>#REF!</f>
        <v>#VALUE!:noResult:No valid cells found for operation.</v>
      </c>
      <c r="BO48" s="15" t="str">
        <f>#REF!</f>
        <v>#VALUE!:noResult:No valid cells found for operation.</v>
      </c>
      <c r="BP48" s="15">
        <f>IF(Trans!R[650],"AAAAACL//0M=",0)</f>
        <v>0</v>
      </c>
      <c r="BQ48" s="15" t="b">
        <f>AND(Trans!A698,"AAAAACL//0Q=")</f>
        <v>1</v>
      </c>
      <c r="BR48" s="15" t="str">
        <f>AND(Trans!B698,"AAAAACL//0U=")</f>
        <v>#VALUE!:noResult:No valid cells found for operation.</v>
      </c>
      <c r="BS48" s="15" t="b">
        <f>AND(Trans!C698,"AAAAACL//0Y=")</f>
        <v>0</v>
      </c>
      <c r="BT48" s="15" t="b">
        <f>AND(Trans!D698,"AAAAACL//0c=")</f>
        <v>1</v>
      </c>
      <c r="BU48" s="15" t="str">
        <f>AND(Trans!E698,"AAAAACL//0g=")</f>
        <v>#VALUE!:noResult:No valid cells found for operation.</v>
      </c>
      <c r="BV48" s="15" t="str">
        <f>AND(Trans!F698,"AAAAACL//0k=")</f>
        <v>#VALUE!:noResult:No valid cells found for operation.</v>
      </c>
      <c r="BW48" s="15" t="str">
        <f>AND(Trans!G698,"AAAAACL//0o=")</f>
        <v>#VALUE!:noResult:No valid cells found for operation.</v>
      </c>
      <c r="BX48" s="15" t="str">
        <f>#REF!</f>
        <v>#VALUE!:noResult:No valid cells found for operation.</v>
      </c>
      <c r="BY48" s="15" t="str">
        <f>AND(Trans!H698,"AAAAACL//0w=")</f>
        <v>#VALUE!:noResult:No valid cells found for operation.</v>
      </c>
      <c r="BZ48" s="15" t="str">
        <f>#REF!</f>
        <v>#VALUE!:noResult:No valid cells found for operation.</v>
      </c>
      <c r="CA48" s="15" t="str">
        <f>#REF!</f>
        <v>#VALUE!:noResult:No valid cells found for operation.</v>
      </c>
      <c r="CB48" s="15" t="str">
        <f>#REF!</f>
        <v>#VALUE!:noResult:No valid cells found for operation.</v>
      </c>
      <c r="CC48" s="15" t="str">
        <f>#REF!</f>
        <v>#VALUE!:noResult:No valid cells found for operation.</v>
      </c>
      <c r="CD48" s="15" t="str">
        <f>#REF!</f>
        <v>#VALUE!:noResult:No valid cells found for operation.</v>
      </c>
      <c r="CE48" s="15" t="str">
        <f>#REF!</f>
        <v>#VALUE!:noResult:No valid cells found for operation.</v>
      </c>
      <c r="CF48" s="15">
        <f>IF(Trans!R[651],"AAAAACL//1M=",0)</f>
        <v>0</v>
      </c>
      <c r="CG48" s="15" t="b">
        <f>AND(Trans!A699,"AAAAACL//1Q=")</f>
        <v>1</v>
      </c>
      <c r="CH48" s="15" t="str">
        <f>AND(Trans!B699,"AAAAACL//1U=")</f>
        <v>#VALUE!:noResult:No valid cells found for operation.</v>
      </c>
      <c r="CI48" s="15" t="b">
        <f>AND(Trans!C699,"AAAAACL//1Y=")</f>
        <v>1</v>
      </c>
      <c r="CJ48" s="15" t="b">
        <f>AND(Trans!D699,"AAAAACL//1c=")</f>
        <v>1</v>
      </c>
      <c r="CK48" s="15" t="str">
        <f>AND(Trans!E699,"AAAAACL//1g=")</f>
        <v>#VALUE!:noResult:No valid cells found for operation.</v>
      </c>
      <c r="CL48" s="15" t="str">
        <f>AND(Trans!F699,"AAAAACL//1k=")</f>
        <v>#VALUE!:noResult:No valid cells found for operation.</v>
      </c>
      <c r="CM48" s="15" t="str">
        <f>AND(Trans!G699,"AAAAACL//1o=")</f>
        <v>#VALUE!:noResult:No valid cells found for operation.</v>
      </c>
      <c r="CN48" s="15" t="str">
        <f>#REF!</f>
        <v>#VALUE!:noResult:No valid cells found for operation.</v>
      </c>
      <c r="CO48" s="15" t="str">
        <f>AND(Trans!H699,"AAAAACL//1w=")</f>
        <v>#VALUE!:noResult:No valid cells found for operation.</v>
      </c>
      <c r="CP48" s="15" t="str">
        <f>#REF!</f>
        <v>#VALUE!:noResult:No valid cells found for operation.</v>
      </c>
      <c r="CQ48" s="15" t="str">
        <f>#REF!</f>
        <v>#VALUE!:noResult:No valid cells found for operation.</v>
      </c>
      <c r="CR48" s="15" t="str">
        <f>#REF!</f>
        <v>#VALUE!:noResult:No valid cells found for operation.</v>
      </c>
      <c r="CS48" s="15" t="str">
        <f>#REF!</f>
        <v>#VALUE!:noResult:No valid cells found for operation.</v>
      </c>
      <c r="CT48" s="15" t="str">
        <f>#REF!</f>
        <v>#VALUE!:noResult:No valid cells found for operation.</v>
      </c>
      <c r="CU48" s="15" t="str">
        <f>#REF!</f>
        <v>#VALUE!:noResult:No valid cells found for operation.</v>
      </c>
      <c r="CV48" s="15">
        <f>IF(Trans!R[652],"AAAAACL//2M=",0)</f>
        <v>0</v>
      </c>
      <c r="CW48" s="15" t="b">
        <f>AND(Trans!A700,"AAAAACL//2Q=")</f>
        <v>1</v>
      </c>
      <c r="CX48" s="15" t="str">
        <f>AND(Trans!B700,"AAAAACL//2U=")</f>
        <v>#VALUE!:noResult:No valid cells found for operation.</v>
      </c>
      <c r="CY48" s="15" t="b">
        <f>AND(Trans!C700,"AAAAACL//2Y=")</f>
        <v>1</v>
      </c>
      <c r="CZ48" s="15" t="b">
        <f>AND(Trans!D700,"AAAAACL//2c=")</f>
        <v>1</v>
      </c>
      <c r="DA48" s="15" t="str">
        <f>AND(Trans!E700,"AAAAACL//2g=")</f>
        <v>#VALUE!:noResult:No valid cells found for operation.</v>
      </c>
      <c r="DB48" s="15" t="str">
        <f>AND(Trans!F700,"AAAAACL//2k=")</f>
        <v>#VALUE!:noResult:No valid cells found for operation.</v>
      </c>
      <c r="DC48" s="15" t="str">
        <f>AND(Trans!G700,"AAAAACL//2o=")</f>
        <v>#VALUE!:noResult:No valid cells found for operation.</v>
      </c>
      <c r="DD48" s="15" t="str">
        <f>#REF!</f>
        <v>#VALUE!:noResult:No valid cells found for operation.</v>
      </c>
      <c r="DE48" s="15" t="str">
        <f>AND(Trans!H700,"AAAAACL//2w=")</f>
        <v>#VALUE!:noResult:No valid cells found for operation.</v>
      </c>
      <c r="DF48" s="15" t="str">
        <f>#REF!</f>
        <v>#VALUE!:noResult:No valid cells found for operation.</v>
      </c>
      <c r="DG48" s="15" t="str">
        <f>#REF!</f>
        <v>#VALUE!:noResult:No valid cells found for operation.</v>
      </c>
      <c r="DH48" s="15" t="str">
        <f>#REF!</f>
        <v>#VALUE!:noResult:No valid cells found for operation.</v>
      </c>
      <c r="DI48" s="15" t="str">
        <f>#REF!</f>
        <v>#VALUE!:noResult:No valid cells found for operation.</v>
      </c>
      <c r="DJ48" s="15" t="str">
        <f>#REF!</f>
        <v>#VALUE!:noResult:No valid cells found for operation.</v>
      </c>
      <c r="DK48" s="15" t="str">
        <f>#REF!</f>
        <v>#VALUE!:noResult:No valid cells found for operation.</v>
      </c>
      <c r="DL48" s="15">
        <f>IF(Trans!R[653],"AAAAACL//3M=",0)</f>
        <v>0</v>
      </c>
      <c r="DM48" s="15" t="b">
        <f>AND(Trans!A701,"AAAAACL//3Q=")</f>
        <v>1</v>
      </c>
      <c r="DN48" s="15" t="str">
        <f>AND(Trans!B701,"AAAAACL//3U=")</f>
        <v>#VALUE!:noResult:No valid cells found for operation.</v>
      </c>
      <c r="DO48" s="15" t="b">
        <f>AND(Trans!C701,"AAAAACL//3Y=")</f>
        <v>1</v>
      </c>
      <c r="DP48" s="15" t="b">
        <f>AND(Trans!D701,"AAAAACL//3c=")</f>
        <v>1</v>
      </c>
      <c r="DQ48" s="15" t="str">
        <f>AND(Trans!E701,"AAAAACL//3g=")</f>
        <v>#VALUE!:noResult:No valid cells found for operation.</v>
      </c>
      <c r="DR48" s="15" t="str">
        <f>AND(Trans!F701,"AAAAACL//3k=")</f>
        <v>#VALUE!:noResult:No valid cells found for operation.</v>
      </c>
      <c r="DS48" s="15" t="str">
        <f>AND(Trans!G701,"AAAAACL//3o=")</f>
        <v>#VALUE!:noResult:No valid cells found for operation.</v>
      </c>
      <c r="DT48" s="15" t="str">
        <f>#REF!</f>
        <v>#VALUE!:noResult:No valid cells found for operation.</v>
      </c>
      <c r="DU48" s="15" t="str">
        <f>AND(Trans!H701,"AAAAACL//3w=")</f>
        <v>#VALUE!:noResult:No valid cells found for operation.</v>
      </c>
      <c r="DV48" s="15" t="str">
        <f>#REF!</f>
        <v>#VALUE!:noResult:No valid cells found for operation.</v>
      </c>
      <c r="DW48" s="15" t="str">
        <f>#REF!</f>
        <v>#VALUE!:noResult:No valid cells found for operation.</v>
      </c>
      <c r="DX48" s="15" t="str">
        <f>#REF!</f>
        <v>#VALUE!:noResult:No valid cells found for operation.</v>
      </c>
      <c r="DY48" s="15" t="str">
        <f>#REF!</f>
        <v>#VALUE!:noResult:No valid cells found for operation.</v>
      </c>
      <c r="DZ48" s="15" t="str">
        <f>#REF!</f>
        <v>#VALUE!:noResult:No valid cells found for operation.</v>
      </c>
      <c r="EA48" s="15" t="str">
        <f>#REF!</f>
        <v>#VALUE!:noResult:No valid cells found for operation.</v>
      </c>
      <c r="EB48" s="15">
        <f>IF(Trans!R[654],"AAAAACL//4M=",0)</f>
        <v>0</v>
      </c>
      <c r="EC48" s="15" t="b">
        <f>AND(Trans!A702,"AAAAACL//4Q=")</f>
        <v>1</v>
      </c>
      <c r="ED48" s="15" t="str">
        <f>AND(Trans!B702,"AAAAACL//4U=")</f>
        <v>#VALUE!:noResult:No valid cells found for operation.</v>
      </c>
      <c r="EE48" s="15" t="b">
        <f>AND(Trans!C702,"AAAAACL//4Y=")</f>
        <v>1</v>
      </c>
      <c r="EF48" s="15" t="b">
        <f>AND(Trans!D702,"AAAAACL//4c=")</f>
        <v>1</v>
      </c>
      <c r="EG48" s="15" t="str">
        <f>AND(Trans!E702,"AAAAACL//4g=")</f>
        <v>#VALUE!:noResult:No valid cells found for operation.</v>
      </c>
      <c r="EH48" s="15" t="str">
        <f>AND(Trans!F702,"AAAAACL//4k=")</f>
        <v>#VALUE!:noResult:No valid cells found for operation.</v>
      </c>
      <c r="EI48" s="15" t="str">
        <f>AND(Trans!G702,"AAAAACL//4o=")</f>
        <v>#VALUE!:noResult:No valid cells found for operation.</v>
      </c>
      <c r="EJ48" s="15" t="str">
        <f>#REF!</f>
        <v>#VALUE!:noResult:No valid cells found for operation.</v>
      </c>
      <c r="EK48" s="15" t="str">
        <f>AND(Trans!H702,"AAAAACL//4w=")</f>
        <v>#VALUE!:noResult:No valid cells found for operation.</v>
      </c>
      <c r="EL48" s="15" t="str">
        <f>#REF!</f>
        <v>#VALUE!:noResult:No valid cells found for operation.</v>
      </c>
      <c r="EM48" s="15" t="str">
        <f>#REF!</f>
        <v>#VALUE!:noResult:No valid cells found for operation.</v>
      </c>
      <c r="EN48" s="15" t="str">
        <f>#REF!</f>
        <v>#VALUE!:noResult:No valid cells found for operation.</v>
      </c>
      <c r="EO48" s="15" t="str">
        <f>#REF!</f>
        <v>#VALUE!:noResult:No valid cells found for operation.</v>
      </c>
      <c r="EP48" s="15" t="str">
        <f>#REF!</f>
        <v>#VALUE!:noResult:No valid cells found for operation.</v>
      </c>
      <c r="EQ48" s="15" t="str">
        <f>#REF!</f>
        <v>#VALUE!:noResult:No valid cells found for operation.</v>
      </c>
      <c r="ER48" s="15">
        <f>IF(Trans!R[655],"AAAAACL//5M=",0)</f>
        <v>0</v>
      </c>
      <c r="ES48" s="15" t="b">
        <f>AND(Trans!A703,"AAAAACL//5Q=")</f>
        <v>1</v>
      </c>
      <c r="ET48" s="15" t="str">
        <f>AND(Trans!B703,"AAAAACL//5U=")</f>
        <v>#VALUE!:noResult:No valid cells found for operation.</v>
      </c>
      <c r="EU48" s="15" t="b">
        <f>AND(Trans!C703,"AAAAACL//5Y=")</f>
        <v>1</v>
      </c>
      <c r="EV48" s="15" t="b">
        <f>AND(Trans!D703,"AAAAACL//5c=")</f>
        <v>1</v>
      </c>
      <c r="EW48" s="15" t="str">
        <f>AND(Trans!E703,"AAAAACL//5g=")</f>
        <v>#VALUE!:noResult:No valid cells found for operation.</v>
      </c>
      <c r="EX48" s="15" t="str">
        <f>AND(Trans!F703,"AAAAACL//5k=")</f>
        <v>#VALUE!:noResult:No valid cells found for operation.</v>
      </c>
      <c r="EY48" s="15" t="str">
        <f>AND(Trans!G703,"AAAAACL//5o=")</f>
        <v>#VALUE!:noResult:No valid cells found for operation.</v>
      </c>
      <c r="EZ48" s="15" t="str">
        <f>#REF!</f>
        <v>#VALUE!:noResult:No valid cells found for operation.</v>
      </c>
      <c r="FA48" s="15" t="str">
        <f>AND(Trans!H703,"AAAAACL//5w=")</f>
        <v>#VALUE!:noResult:No valid cells found for operation.</v>
      </c>
      <c r="FB48" s="15" t="str">
        <f>#REF!</f>
        <v>#VALUE!:noResult:No valid cells found for operation.</v>
      </c>
      <c r="FC48" s="15" t="str">
        <f>#REF!</f>
        <v>#VALUE!:noResult:No valid cells found for operation.</v>
      </c>
      <c r="FD48" s="15" t="str">
        <f>#REF!</f>
        <v>#VALUE!:noResult:No valid cells found for operation.</v>
      </c>
      <c r="FE48" s="15" t="str">
        <f>#REF!</f>
        <v>#VALUE!:noResult:No valid cells found for operation.</v>
      </c>
      <c r="FF48" s="15" t="str">
        <f>#REF!</f>
        <v>#VALUE!:noResult:No valid cells found for operation.</v>
      </c>
      <c r="FG48" s="15" t="str">
        <f>#REF!</f>
        <v>#VALUE!:noResult:No valid cells found for operation.</v>
      </c>
      <c r="FH48" s="15">
        <f>IF(Trans!R[656],"AAAAACL//6M=",0)</f>
        <v>0</v>
      </c>
      <c r="FI48" s="15" t="b">
        <f>AND(Trans!A704,"AAAAACL//6Q=")</f>
        <v>1</v>
      </c>
      <c r="FJ48" s="15" t="str">
        <f>AND(Trans!B704,"AAAAACL//6U=")</f>
        <v>#VALUE!:noResult:No valid cells found for operation.</v>
      </c>
      <c r="FK48" s="15" t="b">
        <f>AND(Trans!C704,"AAAAACL//6Y=")</f>
        <v>1</v>
      </c>
      <c r="FL48" s="15" t="b">
        <f>AND(Trans!D704,"AAAAACL//6c=")</f>
        <v>1</v>
      </c>
      <c r="FM48" s="15" t="str">
        <f>AND(Trans!E704,"AAAAACL//6g=")</f>
        <v>#VALUE!:noResult:No valid cells found for operation.</v>
      </c>
      <c r="FN48" s="15" t="str">
        <f>AND(Trans!F704,"AAAAACL//6k=")</f>
        <v>#VALUE!:noResult:No valid cells found for operation.</v>
      </c>
      <c r="FO48" s="15" t="str">
        <f>AND(Trans!G704,"AAAAACL//6o=")</f>
        <v>#VALUE!:noResult:No valid cells found for operation.</v>
      </c>
      <c r="FP48" s="15" t="str">
        <f>#REF!</f>
        <v>#VALUE!:noResult:No valid cells found for operation.</v>
      </c>
      <c r="FQ48" s="15" t="str">
        <f>AND(Trans!H704,"AAAAACL//6w=")</f>
        <v>#VALUE!:noResult:No valid cells found for operation.</v>
      </c>
      <c r="FR48" s="15" t="str">
        <f>#REF!</f>
        <v>#VALUE!:noResult:No valid cells found for operation.</v>
      </c>
      <c r="FS48" s="15" t="str">
        <f>#REF!</f>
        <v>#VALUE!:noResult:No valid cells found for operation.</v>
      </c>
      <c r="FT48" s="15" t="str">
        <f>#REF!</f>
        <v>#VALUE!:noResult:No valid cells found for operation.</v>
      </c>
      <c r="FU48" s="15" t="str">
        <f>#REF!</f>
        <v>#VALUE!:noResult:No valid cells found for operation.</v>
      </c>
      <c r="FV48" s="15" t="str">
        <f>#REF!</f>
        <v>#VALUE!:noResult:No valid cells found for operation.</v>
      </c>
      <c r="FW48" s="15" t="str">
        <f>#REF!</f>
        <v>#VALUE!:noResult:No valid cells found for operation.</v>
      </c>
      <c r="FX48" s="15">
        <f>IF(Trans!R[657],"AAAAACL//7M=",0)</f>
        <v>0</v>
      </c>
      <c r="FY48" s="15" t="b">
        <f>AND(Trans!A705,"AAAAACL//7Q=")</f>
        <v>1</v>
      </c>
      <c r="FZ48" s="15" t="str">
        <f>AND(Trans!B705,"AAAAACL//7U=")</f>
        <v>#VALUE!:noResult:No valid cells found for operation.</v>
      </c>
      <c r="GA48" s="15" t="b">
        <f>AND(Trans!C705,"AAAAACL//7Y=")</f>
        <v>1</v>
      </c>
      <c r="GB48" s="15" t="b">
        <f>AND(Trans!D705,"AAAAACL//7c=")</f>
        <v>1</v>
      </c>
      <c r="GC48" s="15" t="str">
        <f>AND(Trans!E705,"AAAAACL//7g=")</f>
        <v>#VALUE!:noResult:No valid cells found for operation.</v>
      </c>
      <c r="GD48" s="15" t="str">
        <f>AND(Trans!F705,"AAAAACL//7k=")</f>
        <v>#VALUE!:noResult:No valid cells found for operation.</v>
      </c>
      <c r="GE48" s="15" t="str">
        <f>AND(Trans!G705,"AAAAACL//7o=")</f>
        <v>#VALUE!:noResult:No valid cells found for operation.</v>
      </c>
      <c r="GF48" s="15" t="str">
        <f>#REF!</f>
        <v>#VALUE!:noResult:No valid cells found for operation.</v>
      </c>
      <c r="GG48" s="15" t="str">
        <f>AND(Trans!H705,"AAAAACL//7w=")</f>
        <v>#VALUE!:noResult:No valid cells found for operation.</v>
      </c>
      <c r="GH48" s="15" t="str">
        <f>#REF!</f>
        <v>#VALUE!:noResult:No valid cells found for operation.</v>
      </c>
      <c r="GI48" s="15" t="str">
        <f>#REF!</f>
        <v>#VALUE!:noResult:No valid cells found for operation.</v>
      </c>
      <c r="GJ48" s="15" t="str">
        <f>#REF!</f>
        <v>#VALUE!:noResult:No valid cells found for operation.</v>
      </c>
      <c r="GK48" s="15" t="str">
        <f>#REF!</f>
        <v>#VALUE!:noResult:No valid cells found for operation.</v>
      </c>
      <c r="GL48" s="15" t="str">
        <f>#REF!</f>
        <v>#VALUE!:noResult:No valid cells found for operation.</v>
      </c>
      <c r="GM48" s="15" t="str">
        <f>#REF!</f>
        <v>#VALUE!:noResult:No valid cells found for operation.</v>
      </c>
      <c r="GN48" s="15">
        <f>IF(Trans!R[658],"AAAAACL//8M=",0)</f>
        <v>0</v>
      </c>
      <c r="GO48" s="15" t="b">
        <f>AND(Trans!A706,"AAAAACL//8Q=")</f>
        <v>1</v>
      </c>
      <c r="GP48" s="15" t="str">
        <f>AND(Trans!B706,"AAAAACL//8U=")</f>
        <v>#VALUE!:noResult:No valid cells found for operation.</v>
      </c>
      <c r="GQ48" s="15" t="b">
        <f>AND(Trans!C706,"AAAAACL//8Y=")</f>
        <v>1</v>
      </c>
      <c r="GR48" s="15" t="b">
        <f>AND(Trans!D706,"AAAAACL//8c=")</f>
        <v>1</v>
      </c>
      <c r="GS48" s="15" t="str">
        <f>AND(Trans!E706,"AAAAACL//8g=")</f>
        <v>#VALUE!:noResult:No valid cells found for operation.</v>
      </c>
      <c r="GT48" s="15" t="str">
        <f>AND(Trans!F706,"AAAAACL//8k=")</f>
        <v>#VALUE!:noResult:No valid cells found for operation.</v>
      </c>
      <c r="GU48" s="15" t="str">
        <f>AND(Trans!G706,"AAAAACL//8o=")</f>
        <v>#VALUE!:noResult:No valid cells found for operation.</v>
      </c>
      <c r="GV48" s="15" t="str">
        <f>#REF!</f>
        <v>#VALUE!:noResult:No valid cells found for operation.</v>
      </c>
      <c r="GW48" s="15" t="str">
        <f>AND(Trans!H706,"AAAAACL//8w=")</f>
        <v>#VALUE!:noResult:No valid cells found for operation.</v>
      </c>
      <c r="GX48" s="15" t="str">
        <f>#REF!</f>
        <v>#VALUE!:noResult:No valid cells found for operation.</v>
      </c>
      <c r="GY48" s="15" t="str">
        <f>#REF!</f>
        <v>#VALUE!:noResult:No valid cells found for operation.</v>
      </c>
      <c r="GZ48" s="15" t="str">
        <f>#REF!</f>
        <v>#VALUE!:noResult:No valid cells found for operation.</v>
      </c>
      <c r="HA48" s="15" t="str">
        <f>#REF!</f>
        <v>#VALUE!:noResult:No valid cells found for operation.</v>
      </c>
      <c r="HB48" s="15" t="str">
        <f>#REF!</f>
        <v>#VALUE!:noResult:No valid cells found for operation.</v>
      </c>
      <c r="HC48" s="15" t="str">
        <f>#REF!</f>
        <v>#VALUE!:noResult:No valid cells found for operation.</v>
      </c>
      <c r="HD48" s="15">
        <f>IF(Trans!R[659],"AAAAACL//9M=",0)</f>
        <v>0</v>
      </c>
      <c r="HE48" s="15" t="b">
        <f>AND(Trans!A707,"AAAAACL//9Q=")</f>
        <v>1</v>
      </c>
      <c r="HF48" s="15" t="str">
        <f>AND(Trans!B707,"AAAAACL//9U=")</f>
        <v>#VALUE!:noResult:No valid cells found for operation.</v>
      </c>
      <c r="HG48" s="15" t="b">
        <f>AND(Trans!C707,"AAAAACL//9Y=")</f>
        <v>1</v>
      </c>
      <c r="HH48" s="15" t="b">
        <f>AND(Trans!D707,"AAAAACL//9c=")</f>
        <v>1</v>
      </c>
      <c r="HI48" s="15" t="str">
        <f>AND(Trans!E707,"AAAAACL//9g=")</f>
        <v>#VALUE!:noResult:No valid cells found for operation.</v>
      </c>
      <c r="HJ48" s="15" t="str">
        <f>AND(Trans!F707,"AAAAACL//9k=")</f>
        <v>#VALUE!:noResult:No valid cells found for operation.</v>
      </c>
      <c r="HK48" s="15" t="str">
        <f>AND(Trans!G707,"AAAAACL//9o=")</f>
        <v>#VALUE!:noResult:No valid cells found for operation.</v>
      </c>
      <c r="HL48" s="15" t="str">
        <f>#REF!</f>
        <v>#VALUE!:noResult:No valid cells found for operation.</v>
      </c>
      <c r="HM48" s="15" t="str">
        <f>AND(Trans!H707,"AAAAACL//9w=")</f>
        <v>#VALUE!:noResult:No valid cells found for operation.</v>
      </c>
      <c r="HN48" s="15" t="str">
        <f>#REF!</f>
        <v>#VALUE!:noResult:No valid cells found for operation.</v>
      </c>
      <c r="HO48" s="15" t="str">
        <f>#REF!</f>
        <v>#VALUE!:noResult:No valid cells found for operation.</v>
      </c>
      <c r="HP48" s="15" t="str">
        <f>#REF!</f>
        <v>#VALUE!:noResult:No valid cells found for operation.</v>
      </c>
      <c r="HQ48" s="15" t="str">
        <f>#REF!</f>
        <v>#VALUE!:noResult:No valid cells found for operation.</v>
      </c>
      <c r="HR48" s="15" t="str">
        <f>#REF!</f>
        <v>#VALUE!:noResult:No valid cells found for operation.</v>
      </c>
      <c r="HS48" s="15" t="str">
        <f>#REF!</f>
        <v>#VALUE!:noResult:No valid cells found for operation.</v>
      </c>
      <c r="HT48" s="15">
        <f>IF(Trans!R[660],"AAAAACL//+M=",0)</f>
        <v>0</v>
      </c>
      <c r="HU48" s="15" t="b">
        <f>AND(Trans!A708,"AAAAACL//+Q=")</f>
        <v>1</v>
      </c>
      <c r="HV48" s="15" t="str">
        <f>AND(Trans!B708,"AAAAACL//+U=")</f>
        <v>#VALUE!:noResult:No valid cells found for operation.</v>
      </c>
      <c r="HW48" s="15" t="b">
        <f>AND(Trans!C708,"AAAAACL//+Y=")</f>
        <v>1</v>
      </c>
      <c r="HX48" s="15" t="b">
        <f>AND(Trans!D708,"AAAAACL//+c=")</f>
        <v>1</v>
      </c>
      <c r="HY48" s="15" t="str">
        <f>AND(Trans!E708,"AAAAACL//+g=")</f>
        <v>#VALUE!:noResult:No valid cells found for operation.</v>
      </c>
      <c r="HZ48" s="15" t="str">
        <f>AND(Trans!F708,"AAAAACL//+k=")</f>
        <v>#VALUE!:noResult:No valid cells found for operation.</v>
      </c>
      <c r="IA48" s="15" t="str">
        <f>AND(Trans!G708,"AAAAACL//+o=")</f>
        <v>#VALUE!:noResult:No valid cells found for operation.</v>
      </c>
      <c r="IB48" s="15" t="str">
        <f>#REF!</f>
        <v>#VALUE!:noResult:No valid cells found for operation.</v>
      </c>
      <c r="IC48" s="15" t="str">
        <f>AND(Trans!H708,"AAAAACL//+w=")</f>
        <v>#VALUE!:noResult:No valid cells found for operation.</v>
      </c>
      <c r="ID48" s="15" t="str">
        <f>#REF!</f>
        <v>#VALUE!:noResult:No valid cells found for operation.</v>
      </c>
      <c r="IE48" s="15" t="str">
        <f>#REF!</f>
        <v>#VALUE!:noResult:No valid cells found for operation.</v>
      </c>
      <c r="IF48" s="15" t="str">
        <f>#REF!</f>
        <v>#VALUE!:noResult:No valid cells found for operation.</v>
      </c>
      <c r="IG48" s="15" t="str">
        <f>#REF!</f>
        <v>#VALUE!:noResult:No valid cells found for operation.</v>
      </c>
      <c r="IH48" s="15" t="str">
        <f>#REF!</f>
        <v>#VALUE!:noResult:No valid cells found for operation.</v>
      </c>
      <c r="II48" s="15" t="str">
        <f>#REF!</f>
        <v>#VALUE!:noResult:No valid cells found for operation.</v>
      </c>
      <c r="IJ48" s="15">
        <f>IF(Trans!R[661],"AAAAACL///M=",0)</f>
        <v>0</v>
      </c>
      <c r="IK48" s="15" t="b">
        <f>AND(Trans!A709,"AAAAACL///Q=")</f>
        <v>1</v>
      </c>
      <c r="IL48" s="15" t="str">
        <f>AND(Trans!B709,"AAAAACL///U=")</f>
        <v>#VALUE!:noResult:No valid cells found for operation.</v>
      </c>
      <c r="IM48" s="15" t="b">
        <f>AND(Trans!C709,"AAAAACL///Y=")</f>
        <v>1</v>
      </c>
      <c r="IN48" s="15" t="b">
        <f>AND(Trans!D709,"AAAAACL///c=")</f>
        <v>1</v>
      </c>
      <c r="IO48" s="15" t="str">
        <f>AND(Trans!E709,"AAAAACL///g=")</f>
        <v>#VALUE!:noResult:No valid cells found for operation.</v>
      </c>
      <c r="IP48" s="15" t="str">
        <f>AND(Trans!F709,"AAAAACL///k=")</f>
        <v>#VALUE!:noResult:No valid cells found for operation.</v>
      </c>
      <c r="IQ48" s="15" t="str">
        <f>AND(Trans!G709,"AAAAACL///o=")</f>
        <v>#VALUE!:noResult:No valid cells found for operation.</v>
      </c>
      <c r="IR48" s="15" t="str">
        <f>#REF!</f>
        <v>#VALUE!:noResult:No valid cells found for operation.</v>
      </c>
      <c r="IS48" s="15" t="str">
        <f>AND(Trans!H709,"AAAAACL///w=")</f>
        <v>#VALUE!:noResult:No valid cells found for operation.</v>
      </c>
      <c r="IT48" s="15" t="str">
        <f>#REF!</f>
        <v>#VALUE!:noResult:No valid cells found for operation.</v>
      </c>
      <c r="IU48" s="15" t="str">
        <f>#REF!</f>
        <v>#VALUE!:noResult:No valid cells found for operation.</v>
      </c>
      <c r="IV48" s="15" t="str">
        <f>#REF!</f>
        <v>#VALUE!:noResult:No valid cells found for operation.</v>
      </c>
    </row>
    <row r="49">
      <c r="A49" s="15" t="str">
        <f>#REF!</f>
        <v>#VALUE!:noResult:No valid cells found for operation.</v>
      </c>
      <c r="B49" s="15" t="str">
        <f>#REF!</f>
        <v>#VALUE!:noResult:No valid cells found for operation.</v>
      </c>
      <c r="C49" s="15" t="str">
        <f>#REF!</f>
        <v>#VALUE!:noResult:No valid cells found for operation.</v>
      </c>
      <c r="D49" s="15" t="str">
        <f>IF(Trans!R[661],"AAAAAHu23wM=",0)</f>
        <v>AAAAAHu23wM=</v>
      </c>
      <c r="E49" s="15" t="b">
        <f>AND(Trans!A710,"AAAAAHu23wQ=")</f>
        <v>1</v>
      </c>
      <c r="F49" s="15" t="str">
        <f>AND(Trans!B710,"AAAAAHu23wU=")</f>
        <v>#VALUE!:noResult:No valid cells found for operation.</v>
      </c>
      <c r="G49" s="15" t="b">
        <f>AND(Trans!C710,"AAAAAHu23wY=")</f>
        <v>1</v>
      </c>
      <c r="H49" s="15" t="b">
        <f>AND(Trans!D710,"AAAAAHu23wc=")</f>
        <v>1</v>
      </c>
      <c r="I49" s="15" t="str">
        <f>AND(Trans!E710,"AAAAAHu23wg=")</f>
        <v>#VALUE!:noResult:No valid cells found for operation.</v>
      </c>
      <c r="J49" s="15" t="str">
        <f>AND(Trans!F710,"AAAAAHu23wk=")</f>
        <v>#VALUE!:noResult:No valid cells found for operation.</v>
      </c>
      <c r="K49" s="15" t="str">
        <f>AND(Trans!G710,"AAAAAHu23wo=")</f>
        <v>#VALUE!:noResult:No valid cells found for operation.</v>
      </c>
      <c r="L49" s="15" t="str">
        <f>#REF!</f>
        <v>#VALUE!:noResult:No valid cells found for operation.</v>
      </c>
      <c r="M49" s="15" t="str">
        <f>AND(Trans!H710,"AAAAAHu23ww=")</f>
        <v>#VALUE!:noResult:No valid cells found for operation.</v>
      </c>
      <c r="N49" s="15" t="str">
        <f>#REF!</f>
        <v>#VALUE!:noResult:No valid cells found for operation.</v>
      </c>
      <c r="O49" s="15" t="str">
        <f>#REF!</f>
        <v>#VALUE!:noResult:No valid cells found for operation.</v>
      </c>
      <c r="P49" s="15" t="str">
        <f>#REF!</f>
        <v>#VALUE!:noResult:No valid cells found for operation.</v>
      </c>
      <c r="Q49" s="15" t="str">
        <f>#REF!</f>
        <v>#VALUE!:noResult:No valid cells found for operation.</v>
      </c>
      <c r="R49" s="15" t="str">
        <f>#REF!</f>
        <v>#VALUE!:noResult:No valid cells found for operation.</v>
      </c>
      <c r="S49" s="15" t="str">
        <f>#REF!</f>
        <v>#VALUE!:noResult:No valid cells found for operation.</v>
      </c>
      <c r="T49" s="15">
        <f>IF(Trans!R[662],"AAAAAHu23xM=",0)</f>
        <v>0</v>
      </c>
      <c r="U49" s="15" t="b">
        <f>AND(Trans!A711,"AAAAAHu23xQ=")</f>
        <v>1</v>
      </c>
      <c r="V49" s="15" t="str">
        <f>AND(Trans!B711,"AAAAAHu23xU=")</f>
        <v>#VALUE!:noResult:No valid cells found for operation.</v>
      </c>
      <c r="W49" s="15" t="b">
        <f>AND(Trans!C711,"AAAAAHu23xY=")</f>
        <v>1</v>
      </c>
      <c r="X49" s="15" t="b">
        <f>AND(Trans!D711,"AAAAAHu23xc=")</f>
        <v>1</v>
      </c>
      <c r="Y49" s="15" t="str">
        <f>AND(Trans!E711,"AAAAAHu23xg=")</f>
        <v>#VALUE!:noResult:No valid cells found for operation.</v>
      </c>
      <c r="Z49" s="15" t="str">
        <f>AND(Trans!F711,"AAAAAHu23xk=")</f>
        <v>#VALUE!:noResult:No valid cells found for operation.</v>
      </c>
      <c r="AA49" s="15" t="str">
        <f>AND(Trans!G711,"AAAAAHu23xo=")</f>
        <v>#VALUE!:noResult:No valid cells found for operation.</v>
      </c>
      <c r="AB49" s="15" t="str">
        <f>#REF!</f>
        <v>#VALUE!:noResult:No valid cells found for operation.</v>
      </c>
      <c r="AC49" s="15" t="str">
        <f>AND(Trans!H711,"AAAAAHu23xw=")</f>
        <v>#VALUE!:noResult:No valid cells found for operation.</v>
      </c>
      <c r="AD49" s="15" t="str">
        <f>#REF!</f>
        <v>#VALUE!:noResult:No valid cells found for operation.</v>
      </c>
      <c r="AE49" s="15" t="str">
        <f>#REF!</f>
        <v>#VALUE!:noResult:No valid cells found for operation.</v>
      </c>
      <c r="AF49" s="15" t="str">
        <f>#REF!</f>
        <v>#VALUE!:noResult:No valid cells found for operation.</v>
      </c>
      <c r="AG49" s="15" t="str">
        <f>#REF!</f>
        <v>#VALUE!:noResult:No valid cells found for operation.</v>
      </c>
      <c r="AH49" s="15" t="str">
        <f>#REF!</f>
        <v>#VALUE!:noResult:No valid cells found for operation.</v>
      </c>
      <c r="AI49" s="15" t="str">
        <f>#REF!</f>
        <v>#VALUE!:noResult:No valid cells found for operation.</v>
      </c>
      <c r="AJ49" s="15">
        <f>IF(Trans!R[663],"AAAAAHu23yM=",0)</f>
        <v>0</v>
      </c>
      <c r="AK49" s="15" t="b">
        <f>AND(Trans!A712,"AAAAAHu23yQ=")</f>
        <v>1</v>
      </c>
      <c r="AL49" s="15" t="str">
        <f>AND(Trans!B712,"AAAAAHu23yU=")</f>
        <v>#VALUE!:noResult:No valid cells found for operation.</v>
      </c>
      <c r="AM49" s="15" t="b">
        <f>AND(Trans!C712,"AAAAAHu23yY=")</f>
        <v>1</v>
      </c>
      <c r="AN49" s="15" t="b">
        <f>AND(Trans!D712,"AAAAAHu23yc=")</f>
        <v>1</v>
      </c>
      <c r="AO49" s="15" t="str">
        <f>AND(Trans!E712,"AAAAAHu23yg=")</f>
        <v>#VALUE!:noResult:No valid cells found for operation.</v>
      </c>
      <c r="AP49" s="15" t="str">
        <f>AND(Trans!F712,"AAAAAHu23yk=")</f>
        <v>#VALUE!:noResult:No valid cells found for operation.</v>
      </c>
      <c r="AQ49" s="15" t="str">
        <f>AND(Trans!G712,"AAAAAHu23yo=")</f>
        <v>#VALUE!:noResult:No valid cells found for operation.</v>
      </c>
      <c r="AR49" s="15" t="str">
        <f>#REF!</f>
        <v>#VALUE!:noResult:No valid cells found for operation.</v>
      </c>
      <c r="AS49" s="15" t="str">
        <f>AND(Trans!H712,"AAAAAHu23yw=")</f>
        <v>#VALUE!:noResult:No valid cells found for operation.</v>
      </c>
      <c r="AT49" s="15" t="str">
        <f>#REF!</f>
        <v>#VALUE!:noResult:No valid cells found for operation.</v>
      </c>
      <c r="AU49" s="15" t="str">
        <f>#REF!</f>
        <v>#VALUE!:noResult:No valid cells found for operation.</v>
      </c>
      <c r="AV49" s="15" t="str">
        <f>#REF!</f>
        <v>#VALUE!:noResult:No valid cells found for operation.</v>
      </c>
      <c r="AW49" s="15" t="str">
        <f>#REF!</f>
        <v>#VALUE!:noResult:No valid cells found for operation.</v>
      </c>
      <c r="AX49" s="15" t="str">
        <f>#REF!</f>
        <v>#VALUE!:noResult:No valid cells found for operation.</v>
      </c>
      <c r="AY49" s="15" t="str">
        <f>#REF!</f>
        <v>#VALUE!:noResult:No valid cells found for operation.</v>
      </c>
      <c r="AZ49" s="15">
        <f>IF(Trans!R[664],"AAAAAHu23zM=",0)</f>
        <v>0</v>
      </c>
      <c r="BA49" s="15" t="b">
        <f>AND(Trans!A713,"AAAAAHu23zQ=")</f>
        <v>1</v>
      </c>
      <c r="BB49" s="15" t="str">
        <f>AND(Trans!B713,"AAAAAHu23zU=")</f>
        <v>#VALUE!:noResult:No valid cells found for operation.</v>
      </c>
      <c r="BC49" s="15" t="b">
        <f>AND(Trans!C713,"AAAAAHu23zY=")</f>
        <v>1</v>
      </c>
      <c r="BD49" s="15" t="b">
        <f>AND(Trans!D713,"AAAAAHu23zc=")</f>
        <v>1</v>
      </c>
      <c r="BE49" s="15" t="str">
        <f>AND(Trans!E713,"AAAAAHu23zg=")</f>
        <v>#VALUE!:noResult:No valid cells found for operation.</v>
      </c>
      <c r="BF49" s="15" t="str">
        <f>AND(Trans!F713,"AAAAAHu23zk=")</f>
        <v>#VALUE!:noResult:No valid cells found for operation.</v>
      </c>
      <c r="BG49" s="15" t="str">
        <f>AND(Trans!G713,"AAAAAHu23zo=")</f>
        <v>#VALUE!:noResult:No valid cells found for operation.</v>
      </c>
      <c r="BH49" s="15" t="str">
        <f>#REF!</f>
        <v>#VALUE!:noResult:No valid cells found for operation.</v>
      </c>
      <c r="BI49" s="15" t="str">
        <f>AND(Trans!H713,"AAAAAHu23zw=")</f>
        <v>#VALUE!:noResult:No valid cells found for operation.</v>
      </c>
      <c r="BJ49" s="15" t="str">
        <f>#REF!</f>
        <v>#VALUE!:noResult:No valid cells found for operation.</v>
      </c>
      <c r="BK49" s="15" t="str">
        <f>#REF!</f>
        <v>#VALUE!:noResult:No valid cells found for operation.</v>
      </c>
      <c r="BL49" s="15" t="str">
        <f>#REF!</f>
        <v>#VALUE!:noResult:No valid cells found for operation.</v>
      </c>
      <c r="BM49" s="15" t="str">
        <f>#REF!</f>
        <v>#VALUE!:noResult:No valid cells found for operation.</v>
      </c>
      <c r="BN49" s="15" t="str">
        <f>#REF!</f>
        <v>#VALUE!:noResult:No valid cells found for operation.</v>
      </c>
      <c r="BO49" s="15" t="str">
        <f>#REF!</f>
        <v>#VALUE!:noResult:No valid cells found for operation.</v>
      </c>
      <c r="BP49" s="15">
        <f>IF(Trans!R[665],"AAAAAHu230M=",0)</f>
        <v>0</v>
      </c>
      <c r="BQ49" s="15" t="b">
        <f>AND(Trans!A714,"AAAAAHu230Q=")</f>
        <v>1</v>
      </c>
      <c r="BR49" s="15" t="str">
        <f>AND(Trans!B714,"AAAAAHu230U=")</f>
        <v>#VALUE!:noResult:No valid cells found for operation.</v>
      </c>
      <c r="BS49" s="15" t="b">
        <f>AND(Trans!C714,"AAAAAHu230Y=")</f>
        <v>1</v>
      </c>
      <c r="BT49" s="15" t="b">
        <f>AND(Trans!D714,"AAAAAHu230c=")</f>
        <v>1</v>
      </c>
      <c r="BU49" s="15" t="str">
        <f>AND(Trans!E714,"AAAAAHu230g=")</f>
        <v>#VALUE!:noResult:No valid cells found for operation.</v>
      </c>
      <c r="BV49" s="15" t="str">
        <f>AND(Trans!F714,"AAAAAHu230k=")</f>
        <v>#VALUE!:noResult:No valid cells found for operation.</v>
      </c>
      <c r="BW49" s="15" t="str">
        <f>AND(Trans!G714,"AAAAAHu230o=")</f>
        <v>#VALUE!:noResult:No valid cells found for operation.</v>
      </c>
      <c r="BX49" s="15" t="str">
        <f>#REF!</f>
        <v>#VALUE!:noResult:No valid cells found for operation.</v>
      </c>
      <c r="BY49" s="15" t="str">
        <f>AND(Trans!H714,"AAAAAHu230w=")</f>
        <v>#VALUE!:noResult:No valid cells found for operation.</v>
      </c>
      <c r="BZ49" s="15" t="str">
        <f>#REF!</f>
        <v>#VALUE!:noResult:No valid cells found for operation.</v>
      </c>
      <c r="CA49" s="15" t="str">
        <f>#REF!</f>
        <v>#VALUE!:noResult:No valid cells found for operation.</v>
      </c>
      <c r="CB49" s="15" t="str">
        <f>#REF!</f>
        <v>#VALUE!:noResult:No valid cells found for operation.</v>
      </c>
      <c r="CC49" s="15" t="str">
        <f>#REF!</f>
        <v>#VALUE!:noResult:No valid cells found for operation.</v>
      </c>
      <c r="CD49" s="15" t="str">
        <f>#REF!</f>
        <v>#VALUE!:noResult:No valid cells found for operation.</v>
      </c>
      <c r="CE49" s="15" t="str">
        <f>#REF!</f>
        <v>#VALUE!:noResult:No valid cells found for operation.</v>
      </c>
      <c r="CF49" s="15">
        <f>IF(Trans!R[666],"AAAAAHu231M=",0)</f>
        <v>0</v>
      </c>
      <c r="CG49" s="15" t="b">
        <f>AND(Trans!A715,"AAAAAHu231Q=")</f>
        <v>1</v>
      </c>
      <c r="CH49" s="15" t="str">
        <f>AND(Trans!B715,"AAAAAHu231U=")</f>
        <v>#VALUE!:noResult:No valid cells found for operation.</v>
      </c>
      <c r="CI49" s="15" t="b">
        <f>AND(Trans!C715,"AAAAAHu231Y=")</f>
        <v>1</v>
      </c>
      <c r="CJ49" s="15" t="b">
        <f>AND(Trans!D715,"AAAAAHu231c=")</f>
        <v>1</v>
      </c>
      <c r="CK49" s="15" t="str">
        <f>AND(Trans!E715,"AAAAAHu231g=")</f>
        <v>#VALUE!:noResult:No valid cells found for operation.</v>
      </c>
      <c r="CL49" s="15" t="str">
        <f>AND(Trans!F715,"AAAAAHu231k=")</f>
        <v>#VALUE!:noResult:No valid cells found for operation.</v>
      </c>
      <c r="CM49" s="15" t="str">
        <f>AND(Trans!G715,"AAAAAHu231o=")</f>
        <v>#VALUE!:noResult:No valid cells found for operation.</v>
      </c>
      <c r="CN49" s="15" t="str">
        <f>#REF!</f>
        <v>#VALUE!:noResult:No valid cells found for operation.</v>
      </c>
      <c r="CO49" s="15" t="str">
        <f>AND(Trans!H715,"AAAAAHu231w=")</f>
        <v>#VALUE!:noResult:No valid cells found for operation.</v>
      </c>
      <c r="CP49" s="15" t="str">
        <f>#REF!</f>
        <v>#VALUE!:noResult:No valid cells found for operation.</v>
      </c>
      <c r="CQ49" s="15" t="str">
        <f>#REF!</f>
        <v>#VALUE!:noResult:No valid cells found for operation.</v>
      </c>
      <c r="CR49" s="15" t="str">
        <f>#REF!</f>
        <v>#VALUE!:noResult:No valid cells found for operation.</v>
      </c>
      <c r="CS49" s="15" t="str">
        <f>#REF!</f>
        <v>#VALUE!:noResult:No valid cells found for operation.</v>
      </c>
      <c r="CT49" s="15" t="str">
        <f>#REF!</f>
        <v>#VALUE!:noResult:No valid cells found for operation.</v>
      </c>
      <c r="CU49" s="15" t="str">
        <f>#REF!</f>
        <v>#VALUE!:noResult:No valid cells found for operation.</v>
      </c>
      <c r="CV49" s="15">
        <f>IF(Trans!R[667],"AAAAAHu232M=",0)</f>
        <v>0</v>
      </c>
      <c r="CW49" s="15" t="b">
        <f>AND(Trans!A716,"AAAAAHu232Q=")</f>
        <v>1</v>
      </c>
      <c r="CX49" s="15" t="str">
        <f>AND(Trans!B716,"AAAAAHu232U=")</f>
        <v>#VALUE!:noResult:No valid cells found for operation.</v>
      </c>
      <c r="CY49" s="15" t="b">
        <f>AND(Trans!C716,"AAAAAHu232Y=")</f>
        <v>1</v>
      </c>
      <c r="CZ49" s="15" t="b">
        <f>AND(Trans!D716,"AAAAAHu232c=")</f>
        <v>1</v>
      </c>
      <c r="DA49" s="15" t="str">
        <f>AND(Trans!E716,"AAAAAHu232g=")</f>
        <v>#VALUE!:noResult:No valid cells found for operation.</v>
      </c>
      <c r="DB49" s="15" t="str">
        <f>AND(Trans!F716,"AAAAAHu232k=")</f>
        <v>#VALUE!:noResult:No valid cells found for operation.</v>
      </c>
      <c r="DC49" s="15" t="str">
        <f>AND(Trans!G716,"AAAAAHu232o=")</f>
        <v>#VALUE!:noResult:No valid cells found for operation.</v>
      </c>
      <c r="DD49" s="15" t="str">
        <f>#REF!</f>
        <v>#VALUE!:noResult:No valid cells found for operation.</v>
      </c>
      <c r="DE49" s="15" t="str">
        <f>AND(Trans!H716,"AAAAAHu232w=")</f>
        <v>#VALUE!:noResult:No valid cells found for operation.</v>
      </c>
      <c r="DF49" s="15" t="str">
        <f>#REF!</f>
        <v>#VALUE!:noResult:No valid cells found for operation.</v>
      </c>
      <c r="DG49" s="15" t="str">
        <f>#REF!</f>
        <v>#VALUE!:noResult:No valid cells found for operation.</v>
      </c>
      <c r="DH49" s="15" t="str">
        <f>#REF!</f>
        <v>#VALUE!:noResult:No valid cells found for operation.</v>
      </c>
      <c r="DI49" s="15" t="str">
        <f>#REF!</f>
        <v>#VALUE!:noResult:No valid cells found for operation.</v>
      </c>
      <c r="DJ49" s="15" t="str">
        <f>#REF!</f>
        <v>#VALUE!:noResult:No valid cells found for operation.</v>
      </c>
      <c r="DK49" s="15" t="str">
        <f>#REF!</f>
        <v>#VALUE!:noResult:No valid cells found for operation.</v>
      </c>
      <c r="DL49" s="15">
        <f>IF(Trans!R[668],"AAAAAHu233M=",0)</f>
        <v>0</v>
      </c>
      <c r="DM49" s="15" t="b">
        <f>AND(Trans!A717,"AAAAAHu233Q=")</f>
        <v>1</v>
      </c>
      <c r="DN49" s="15" t="str">
        <f>AND(Trans!B717,"AAAAAHu233U=")</f>
        <v>#VALUE!:noResult:No valid cells found for operation.</v>
      </c>
      <c r="DO49" s="15" t="b">
        <f>AND(Trans!C717,"AAAAAHu233Y=")</f>
        <v>1</v>
      </c>
      <c r="DP49" s="15" t="b">
        <f>AND(Trans!D717,"AAAAAHu233c=")</f>
        <v>1</v>
      </c>
      <c r="DQ49" s="15" t="str">
        <f>AND(Trans!E717,"AAAAAHu233g=")</f>
        <v>#VALUE!:noResult:No valid cells found for operation.</v>
      </c>
      <c r="DR49" s="15" t="str">
        <f>AND(Trans!F717,"AAAAAHu233k=")</f>
        <v>#VALUE!:noResult:No valid cells found for operation.</v>
      </c>
      <c r="DS49" s="15" t="str">
        <f>AND(Trans!G717,"AAAAAHu233o=")</f>
        <v>#VALUE!:noResult:No valid cells found for operation.</v>
      </c>
      <c r="DT49" s="15" t="str">
        <f>#REF!</f>
        <v>#VALUE!:noResult:No valid cells found for operation.</v>
      </c>
      <c r="DU49" s="15" t="str">
        <f>AND(Trans!H717,"AAAAAHu233w=")</f>
        <v>#VALUE!:noResult:No valid cells found for operation.</v>
      </c>
      <c r="DV49" s="15" t="str">
        <f>#REF!</f>
        <v>#VALUE!:noResult:No valid cells found for operation.</v>
      </c>
      <c r="DW49" s="15" t="str">
        <f>#REF!</f>
        <v>#VALUE!:noResult:No valid cells found for operation.</v>
      </c>
      <c r="DX49" s="15" t="str">
        <f>#REF!</f>
        <v>#VALUE!:noResult:No valid cells found for operation.</v>
      </c>
      <c r="DY49" s="15" t="str">
        <f>#REF!</f>
        <v>#VALUE!:noResult:No valid cells found for operation.</v>
      </c>
      <c r="DZ49" s="15" t="str">
        <f>#REF!</f>
        <v>#VALUE!:noResult:No valid cells found for operation.</v>
      </c>
      <c r="EA49" s="15" t="str">
        <f>#REF!</f>
        <v>#VALUE!:noResult:No valid cells found for operation.</v>
      </c>
      <c r="EB49" s="15">
        <f>IF(Trans!R[669],"AAAAAHu234M=",0)</f>
        <v>0</v>
      </c>
      <c r="EC49" s="15" t="b">
        <f>AND(Trans!A718,"AAAAAHu234Q=")</f>
        <v>1</v>
      </c>
      <c r="ED49" s="15" t="str">
        <f>AND(Trans!B718,"AAAAAHu234U=")</f>
        <v>#VALUE!:noResult:No valid cells found for operation.</v>
      </c>
      <c r="EE49" s="15" t="b">
        <f>AND(Trans!C718,"AAAAAHu234Y=")</f>
        <v>0</v>
      </c>
      <c r="EF49" s="15" t="b">
        <f>AND(Trans!D718,"AAAAAHu234c=")</f>
        <v>1</v>
      </c>
      <c r="EG49" s="15" t="str">
        <f>AND(Trans!E718,"AAAAAHu234g=")</f>
        <v>#VALUE!:noResult:No valid cells found for operation.</v>
      </c>
      <c r="EH49" s="15" t="str">
        <f>AND(Trans!F718,"AAAAAHu234k=")</f>
        <v>#VALUE!:noResult:No valid cells found for operation.</v>
      </c>
      <c r="EI49" s="15" t="str">
        <f>AND(Trans!G718,"AAAAAHu234o=")</f>
        <v>#VALUE!:noResult:No valid cells found for operation.</v>
      </c>
      <c r="EJ49" s="15" t="str">
        <f>#REF!</f>
        <v>#VALUE!:noResult:No valid cells found for operation.</v>
      </c>
      <c r="EK49" s="15" t="str">
        <f>AND(Trans!H718,"AAAAAHu234w=")</f>
        <v>#VALUE!:noResult:No valid cells found for operation.</v>
      </c>
      <c r="EL49" s="15" t="str">
        <f>#REF!</f>
        <v>#VALUE!:noResult:No valid cells found for operation.</v>
      </c>
      <c r="EM49" s="15" t="str">
        <f>#REF!</f>
        <v>#VALUE!:noResult:No valid cells found for operation.</v>
      </c>
      <c r="EN49" s="15" t="str">
        <f>#REF!</f>
        <v>#VALUE!:noResult:No valid cells found for operation.</v>
      </c>
      <c r="EO49" s="15" t="str">
        <f>#REF!</f>
        <v>#VALUE!:noResult:No valid cells found for operation.</v>
      </c>
      <c r="EP49" s="15" t="str">
        <f>#REF!</f>
        <v>#VALUE!:noResult:No valid cells found for operation.</v>
      </c>
      <c r="EQ49" s="15" t="str">
        <f>#REF!</f>
        <v>#VALUE!:noResult:No valid cells found for operation.</v>
      </c>
      <c r="ER49" s="15">
        <f>IF(Trans!R[670],"AAAAAHu235M=",0)</f>
        <v>0</v>
      </c>
      <c r="ES49" s="15" t="b">
        <f>AND(Trans!A719,"AAAAAHu235Q=")</f>
        <v>1</v>
      </c>
      <c r="ET49" s="15" t="str">
        <f>AND(Trans!B719,"AAAAAHu235U=")</f>
        <v>#VALUE!:noResult:No valid cells found for operation.</v>
      </c>
      <c r="EU49" s="15" t="b">
        <f>AND(Trans!C719,"AAAAAHu235Y=")</f>
        <v>1</v>
      </c>
      <c r="EV49" s="15" t="b">
        <f>AND(Trans!D719,"AAAAAHu235c=")</f>
        <v>1</v>
      </c>
      <c r="EW49" s="15" t="str">
        <f>AND(Trans!E719,"AAAAAHu235g=")</f>
        <v>#VALUE!:noResult:No valid cells found for operation.</v>
      </c>
      <c r="EX49" s="15" t="str">
        <f>AND(Trans!F719,"AAAAAHu235k=")</f>
        <v>#VALUE!:noResult:No valid cells found for operation.</v>
      </c>
      <c r="EY49" s="15" t="str">
        <f>AND(Trans!G719,"AAAAAHu235o=")</f>
        <v>#VALUE!:noResult:No valid cells found for operation.</v>
      </c>
      <c r="EZ49" s="15" t="str">
        <f>#REF!</f>
        <v>#VALUE!:noResult:No valid cells found for operation.</v>
      </c>
      <c r="FA49" s="15" t="str">
        <f>AND(Trans!H719,"AAAAAHu235w=")</f>
        <v>#VALUE!:noResult:No valid cells found for operation.</v>
      </c>
      <c r="FB49" s="15" t="str">
        <f>#REF!</f>
        <v>#VALUE!:noResult:No valid cells found for operation.</v>
      </c>
      <c r="FC49" s="15" t="str">
        <f>#REF!</f>
        <v>#VALUE!:noResult:No valid cells found for operation.</v>
      </c>
      <c r="FD49" s="15" t="str">
        <f>#REF!</f>
        <v>#VALUE!:noResult:No valid cells found for operation.</v>
      </c>
      <c r="FE49" s="15" t="str">
        <f>#REF!</f>
        <v>#VALUE!:noResult:No valid cells found for operation.</v>
      </c>
      <c r="FF49" s="15" t="str">
        <f>#REF!</f>
        <v>#VALUE!:noResult:No valid cells found for operation.</v>
      </c>
      <c r="FG49" s="15" t="str">
        <f>#REF!</f>
        <v>#VALUE!:noResult:No valid cells found for operation.</v>
      </c>
      <c r="FH49" s="15">
        <f>IF(Trans!R[671],"AAAAAHu236M=",0)</f>
        <v>0</v>
      </c>
      <c r="FI49" s="15" t="b">
        <f>AND(Trans!A720,"AAAAAHu236Q=")</f>
        <v>1</v>
      </c>
      <c r="FJ49" s="15" t="str">
        <f>AND(Trans!B720,"AAAAAHu236U=")</f>
        <v>#VALUE!:noResult:No valid cells found for operation.</v>
      </c>
      <c r="FK49" s="15" t="b">
        <f>AND(Trans!C720,"AAAAAHu236Y=")</f>
        <v>1</v>
      </c>
      <c r="FL49" s="15" t="b">
        <f>AND(Trans!D720,"AAAAAHu236c=")</f>
        <v>1</v>
      </c>
      <c r="FM49" s="15" t="str">
        <f>AND(Trans!E720,"AAAAAHu236g=")</f>
        <v>#VALUE!:noResult:No valid cells found for operation.</v>
      </c>
      <c r="FN49" s="15" t="str">
        <f>AND(Trans!F720,"AAAAAHu236k=")</f>
        <v>#VALUE!:noResult:No valid cells found for operation.</v>
      </c>
      <c r="FO49" s="15" t="str">
        <f>AND(Trans!G720,"AAAAAHu236o=")</f>
        <v>#VALUE!:noResult:No valid cells found for operation.</v>
      </c>
      <c r="FP49" s="15" t="str">
        <f>#REF!</f>
        <v>#VALUE!:noResult:No valid cells found for operation.</v>
      </c>
      <c r="FQ49" s="15" t="str">
        <f>AND(Trans!H720,"AAAAAHu236w=")</f>
        <v>#VALUE!:noResult:No valid cells found for operation.</v>
      </c>
      <c r="FR49" s="15" t="str">
        <f>#REF!</f>
        <v>#VALUE!:noResult:No valid cells found for operation.</v>
      </c>
      <c r="FS49" s="15" t="str">
        <f>#REF!</f>
        <v>#VALUE!:noResult:No valid cells found for operation.</v>
      </c>
      <c r="FT49" s="15" t="str">
        <f>#REF!</f>
        <v>#VALUE!:noResult:No valid cells found for operation.</v>
      </c>
      <c r="FU49" s="15" t="str">
        <f>#REF!</f>
        <v>#VALUE!:noResult:No valid cells found for operation.</v>
      </c>
      <c r="FV49" s="15" t="str">
        <f>#REF!</f>
        <v>#VALUE!:noResult:No valid cells found for operation.</v>
      </c>
      <c r="FW49" s="15" t="str">
        <f>#REF!</f>
        <v>#VALUE!:noResult:No valid cells found for operation.</v>
      </c>
      <c r="FX49" s="15">
        <f>IF(Trans!R[672],"AAAAAHu237M=",0)</f>
        <v>0</v>
      </c>
      <c r="FY49" s="15" t="b">
        <f>AND(Trans!A721,"AAAAAHu237Q=")</f>
        <v>1</v>
      </c>
      <c r="FZ49" s="15" t="str">
        <f>AND(Trans!B721,"AAAAAHu237U=")</f>
        <v>#VALUE!:noResult:No valid cells found for operation.</v>
      </c>
      <c r="GA49" s="15" t="b">
        <f>AND(Trans!C721,"AAAAAHu237Y=")</f>
        <v>1</v>
      </c>
      <c r="GB49" s="15" t="b">
        <f>AND(Trans!D721,"AAAAAHu237c=")</f>
        <v>1</v>
      </c>
      <c r="GC49" s="15" t="str">
        <f>AND(Trans!E721,"AAAAAHu237g=")</f>
        <v>#VALUE!:noResult:No valid cells found for operation.</v>
      </c>
      <c r="GD49" s="15" t="str">
        <f>AND(Trans!F721,"AAAAAHu237k=")</f>
        <v>#VALUE!:noResult:No valid cells found for operation.</v>
      </c>
      <c r="GE49" s="15" t="str">
        <f>AND(Trans!G721,"AAAAAHu237o=")</f>
        <v>#VALUE!:noResult:No valid cells found for operation.</v>
      </c>
      <c r="GF49" s="15" t="str">
        <f>#REF!</f>
        <v>#VALUE!:noResult:No valid cells found for operation.</v>
      </c>
      <c r="GG49" s="15" t="str">
        <f>AND(Trans!H721,"AAAAAHu237w=")</f>
        <v>#VALUE!:noResult:No valid cells found for operation.</v>
      </c>
      <c r="GH49" s="15" t="str">
        <f>#REF!</f>
        <v>#VALUE!:noResult:No valid cells found for operation.</v>
      </c>
      <c r="GI49" s="15" t="str">
        <f>#REF!</f>
        <v>#VALUE!:noResult:No valid cells found for operation.</v>
      </c>
      <c r="GJ49" s="15" t="str">
        <f>#REF!</f>
        <v>#VALUE!:noResult:No valid cells found for operation.</v>
      </c>
      <c r="GK49" s="15" t="str">
        <f>#REF!</f>
        <v>#VALUE!:noResult:No valid cells found for operation.</v>
      </c>
      <c r="GL49" s="15" t="str">
        <f>#REF!</f>
        <v>#VALUE!:noResult:No valid cells found for operation.</v>
      </c>
      <c r="GM49" s="15" t="str">
        <f>#REF!</f>
        <v>#VALUE!:noResult:No valid cells found for operation.</v>
      </c>
      <c r="GN49" s="15">
        <f>IF(Trans!R[673],"AAAAAHu238M=",0)</f>
        <v>0</v>
      </c>
      <c r="GO49" s="15" t="b">
        <f>AND(Trans!A722,"AAAAAHu238Q=")</f>
        <v>1</v>
      </c>
      <c r="GP49" s="15" t="str">
        <f>AND(Trans!B722,"AAAAAHu238U=")</f>
        <v>#VALUE!:noResult:No valid cells found for operation.</v>
      </c>
      <c r="GQ49" s="15" t="b">
        <f>AND(Trans!C722,"AAAAAHu238Y=")</f>
        <v>1</v>
      </c>
      <c r="GR49" s="15" t="b">
        <f>AND(Trans!D722,"AAAAAHu238c=")</f>
        <v>1</v>
      </c>
      <c r="GS49" s="15" t="str">
        <f>AND(Trans!E722,"AAAAAHu238g=")</f>
        <v>#VALUE!:noResult:No valid cells found for operation.</v>
      </c>
      <c r="GT49" s="15" t="str">
        <f>AND(Trans!F722,"AAAAAHu238k=")</f>
        <v>#VALUE!:noResult:No valid cells found for operation.</v>
      </c>
      <c r="GU49" s="15" t="str">
        <f>AND(Trans!G722,"AAAAAHu238o=")</f>
        <v>#VALUE!:noResult:No valid cells found for operation.</v>
      </c>
      <c r="GV49" s="15" t="str">
        <f>#REF!</f>
        <v>#VALUE!:noResult:No valid cells found for operation.</v>
      </c>
      <c r="GW49" s="15" t="str">
        <f>AND(Trans!H722,"AAAAAHu238w=")</f>
        <v>#VALUE!:noResult:No valid cells found for operation.</v>
      </c>
      <c r="GX49" s="15" t="str">
        <f>#REF!</f>
        <v>#VALUE!:noResult:No valid cells found for operation.</v>
      </c>
      <c r="GY49" s="15" t="str">
        <f>#REF!</f>
        <v>#VALUE!:noResult:No valid cells found for operation.</v>
      </c>
      <c r="GZ49" s="15" t="str">
        <f>#REF!</f>
        <v>#VALUE!:noResult:No valid cells found for operation.</v>
      </c>
      <c r="HA49" s="15" t="str">
        <f>#REF!</f>
        <v>#VALUE!:noResult:No valid cells found for operation.</v>
      </c>
      <c r="HB49" s="15" t="str">
        <f>#REF!</f>
        <v>#VALUE!:noResult:No valid cells found for operation.</v>
      </c>
      <c r="HC49" s="15" t="str">
        <f>#REF!</f>
        <v>#VALUE!:noResult:No valid cells found for operation.</v>
      </c>
      <c r="HD49" s="15">
        <f>IF(Trans!R[674],"AAAAAHu239M=",0)</f>
        <v>0</v>
      </c>
      <c r="HE49" s="15" t="b">
        <f>AND(Trans!A723,"AAAAAHu239Q=")</f>
        <v>1</v>
      </c>
      <c r="HF49" s="15" t="str">
        <f>AND(Trans!B723,"AAAAAHu239U=")</f>
        <v>#VALUE!:noResult:No valid cells found for operation.</v>
      </c>
      <c r="HG49" s="15" t="b">
        <f>AND(Trans!C723,"AAAAAHu239Y=")</f>
        <v>1</v>
      </c>
      <c r="HH49" s="15" t="b">
        <f>AND(Trans!D723,"AAAAAHu239c=")</f>
        <v>1</v>
      </c>
      <c r="HI49" s="15" t="str">
        <f>AND(Trans!E723,"AAAAAHu239g=")</f>
        <v>#VALUE!:noResult:No valid cells found for operation.</v>
      </c>
      <c r="HJ49" s="15" t="str">
        <f>AND(Trans!F723,"AAAAAHu239k=")</f>
        <v>#VALUE!:noResult:No valid cells found for operation.</v>
      </c>
      <c r="HK49" s="15" t="str">
        <f>AND(Trans!G723,"AAAAAHu239o=")</f>
        <v>#VALUE!:noResult:No valid cells found for operation.</v>
      </c>
      <c r="HL49" s="15" t="str">
        <f>#REF!</f>
        <v>#VALUE!:noResult:No valid cells found for operation.</v>
      </c>
      <c r="HM49" s="15" t="str">
        <f>AND(Trans!H723,"AAAAAHu239w=")</f>
        <v>#VALUE!:noResult:No valid cells found for operation.</v>
      </c>
      <c r="HN49" s="15" t="str">
        <f>#REF!</f>
        <v>#VALUE!:noResult:No valid cells found for operation.</v>
      </c>
      <c r="HO49" s="15" t="str">
        <f>#REF!</f>
        <v>#VALUE!:noResult:No valid cells found for operation.</v>
      </c>
      <c r="HP49" s="15" t="str">
        <f>#REF!</f>
        <v>#VALUE!:noResult:No valid cells found for operation.</v>
      </c>
      <c r="HQ49" s="15" t="str">
        <f>#REF!</f>
        <v>#VALUE!:noResult:No valid cells found for operation.</v>
      </c>
      <c r="HR49" s="15" t="str">
        <f>#REF!</f>
        <v>#VALUE!:noResult:No valid cells found for operation.</v>
      </c>
      <c r="HS49" s="15" t="str">
        <f>#REF!</f>
        <v>#VALUE!:noResult:No valid cells found for operation.</v>
      </c>
      <c r="HT49" s="15">
        <f>IF(Trans!R[675],"AAAAAHu23+M=",0)</f>
        <v>0</v>
      </c>
      <c r="HU49" s="15" t="b">
        <f>AND(Trans!A724,"AAAAAHu23+Q=")</f>
        <v>1</v>
      </c>
      <c r="HV49" s="15" t="str">
        <f>AND(Trans!B724,"AAAAAHu23+U=")</f>
        <v>#VALUE!:noResult:No valid cells found for operation.</v>
      </c>
      <c r="HW49" s="15" t="b">
        <f>AND(Trans!C724,"AAAAAHu23+Y=")</f>
        <v>1</v>
      </c>
      <c r="HX49" s="15" t="b">
        <f>AND(Trans!D724,"AAAAAHu23+c=")</f>
        <v>1</v>
      </c>
      <c r="HY49" s="15" t="str">
        <f>AND(Trans!E724,"AAAAAHu23+g=")</f>
        <v>#VALUE!:noResult:No valid cells found for operation.</v>
      </c>
      <c r="HZ49" s="15" t="str">
        <f>AND(Trans!F724,"AAAAAHu23+k=")</f>
        <v>#VALUE!:noResult:No valid cells found for operation.</v>
      </c>
      <c r="IA49" s="15" t="str">
        <f>AND(Trans!G724,"AAAAAHu23+o=")</f>
        <v>#VALUE!:noResult:No valid cells found for operation.</v>
      </c>
      <c r="IB49" s="15" t="str">
        <f>#REF!</f>
        <v>#VALUE!:noResult:No valid cells found for operation.</v>
      </c>
      <c r="IC49" s="15" t="str">
        <f>AND(Trans!H724,"AAAAAHu23+w=")</f>
        <v>#VALUE!:noResult:No valid cells found for operation.</v>
      </c>
      <c r="ID49" s="15" t="str">
        <f>#REF!</f>
        <v>#VALUE!:noResult:No valid cells found for operation.</v>
      </c>
      <c r="IE49" s="15" t="str">
        <f>#REF!</f>
        <v>#VALUE!:noResult:No valid cells found for operation.</v>
      </c>
      <c r="IF49" s="15" t="str">
        <f>#REF!</f>
        <v>#VALUE!:noResult:No valid cells found for operation.</v>
      </c>
      <c r="IG49" s="15" t="str">
        <f>#REF!</f>
        <v>#VALUE!:noResult:No valid cells found for operation.</v>
      </c>
      <c r="IH49" s="15" t="str">
        <f>#REF!</f>
        <v>#VALUE!:noResult:No valid cells found for operation.</v>
      </c>
      <c r="II49" s="15" t="str">
        <f>#REF!</f>
        <v>#VALUE!:noResult:No valid cells found for operation.</v>
      </c>
      <c r="IJ49" s="15">
        <f>IF(Trans!R[676],"AAAAAHu23/M=",0)</f>
        <v>0</v>
      </c>
      <c r="IK49" s="15" t="b">
        <f>AND(Trans!A725,"AAAAAHu23/Q=")</f>
        <v>1</v>
      </c>
      <c r="IL49" s="15" t="str">
        <f>AND(Trans!B725,"AAAAAHu23/U=")</f>
        <v>#VALUE!:noResult:No valid cells found for operation.</v>
      </c>
      <c r="IM49" s="15" t="b">
        <f>AND(Trans!C725,"AAAAAHu23/Y=")</f>
        <v>1</v>
      </c>
      <c r="IN49" s="15" t="b">
        <f>AND(Trans!D725,"AAAAAHu23/c=")</f>
        <v>1</v>
      </c>
      <c r="IO49" s="15" t="str">
        <f>AND(Trans!E725,"AAAAAHu23/g=")</f>
        <v>#VALUE!:noResult:No valid cells found for operation.</v>
      </c>
      <c r="IP49" s="15" t="str">
        <f>AND(Trans!F725,"AAAAAHu23/k=")</f>
        <v>#VALUE!:noResult:No valid cells found for operation.</v>
      </c>
      <c r="IQ49" s="15" t="str">
        <f>AND(Trans!G725,"AAAAAHu23/o=")</f>
        <v>#VALUE!:noResult:No valid cells found for operation.</v>
      </c>
      <c r="IR49" s="15" t="str">
        <f>#REF!</f>
        <v>#VALUE!:noResult:No valid cells found for operation.</v>
      </c>
      <c r="IS49" s="15" t="str">
        <f>AND(Trans!H725,"AAAAAHu23/w=")</f>
        <v>#VALUE!:noResult:No valid cells found for operation.</v>
      </c>
      <c r="IT49" s="15" t="str">
        <f>#REF!</f>
        <v>#VALUE!:noResult:No valid cells found for operation.</v>
      </c>
      <c r="IU49" s="15" t="str">
        <f>#REF!</f>
        <v>#VALUE!:noResult:No valid cells found for operation.</v>
      </c>
      <c r="IV49" s="15" t="str">
        <f>#REF!</f>
        <v>#VALUE!:noResult:No valid cells found for operation.</v>
      </c>
    </row>
    <row r="50">
      <c r="A50" s="15" t="str">
        <f>#REF!</f>
        <v>#VALUE!:noResult:No valid cells found for operation.</v>
      </c>
      <c r="B50" s="15" t="str">
        <f>#REF!</f>
        <v>#VALUE!:noResult:No valid cells found for operation.</v>
      </c>
      <c r="C50" s="15" t="str">
        <f>#REF!</f>
        <v>#VALUE!:noResult:No valid cells found for operation.</v>
      </c>
      <c r="D50" s="15" t="str">
        <f>IF(Trans!R[676],"AAAAAE92NgM=",0)</f>
        <v>AAAAAE92NgM=</v>
      </c>
      <c r="E50" s="15" t="b">
        <f>AND(Trans!A726,"AAAAAE92NgQ=")</f>
        <v>1</v>
      </c>
      <c r="F50" s="15" t="str">
        <f>AND(Trans!B726,"AAAAAE92NgU=")</f>
        <v>#VALUE!:noResult:No valid cells found for operation.</v>
      </c>
      <c r="G50" s="15" t="b">
        <f>AND(Trans!C726,"AAAAAE92NgY=")</f>
        <v>1</v>
      </c>
      <c r="H50" s="15" t="b">
        <f>AND(Trans!D726,"AAAAAE92Ngc=")</f>
        <v>1</v>
      </c>
      <c r="I50" s="15" t="str">
        <f>AND(Trans!E726,"AAAAAE92Ngg=")</f>
        <v>#VALUE!:noResult:No valid cells found for operation.</v>
      </c>
      <c r="J50" s="15" t="str">
        <f>AND(Trans!F726,"AAAAAE92Ngk=")</f>
        <v>#VALUE!:noResult:No valid cells found for operation.</v>
      </c>
      <c r="K50" s="15" t="str">
        <f>AND(Trans!G726,"AAAAAE92Ngo=")</f>
        <v>#VALUE!:noResult:No valid cells found for operation.</v>
      </c>
      <c r="L50" s="15" t="str">
        <f>#REF!</f>
        <v>#VALUE!:noResult:No valid cells found for operation.</v>
      </c>
      <c r="M50" s="15" t="str">
        <f>AND(Trans!H726,"AAAAAE92Ngw=")</f>
        <v>#VALUE!:noResult:No valid cells found for operation.</v>
      </c>
      <c r="N50" s="15" t="str">
        <f>#REF!</f>
        <v>#VALUE!:noResult:No valid cells found for operation.</v>
      </c>
      <c r="O50" s="15" t="str">
        <f>#REF!</f>
        <v>#VALUE!:noResult:No valid cells found for operation.</v>
      </c>
      <c r="P50" s="15" t="str">
        <f>#REF!</f>
        <v>#VALUE!:noResult:No valid cells found for operation.</v>
      </c>
      <c r="Q50" s="15" t="str">
        <f>#REF!</f>
        <v>#VALUE!:noResult:No valid cells found for operation.</v>
      </c>
      <c r="R50" s="15" t="str">
        <f>#REF!</f>
        <v>#VALUE!:noResult:No valid cells found for operation.</v>
      </c>
      <c r="S50" s="15" t="str">
        <f>#REF!</f>
        <v>#VALUE!:noResult:No valid cells found for operation.</v>
      </c>
      <c r="T50" s="15">
        <f>IF(Trans!R[677],"AAAAAE92NhM=",0)</f>
        <v>0</v>
      </c>
      <c r="U50" s="15" t="b">
        <f>AND(Trans!A727,"AAAAAE92NhQ=")</f>
        <v>1</v>
      </c>
      <c r="V50" s="15" t="str">
        <f>AND(Trans!B727,"AAAAAE92NhU=")</f>
        <v>#VALUE!:noResult:No valid cells found for operation.</v>
      </c>
      <c r="W50" s="15" t="b">
        <f>AND(Trans!C727,"AAAAAE92NhY=")</f>
        <v>1</v>
      </c>
      <c r="X50" s="15" t="b">
        <f>AND(Trans!D727,"AAAAAE92Nhc=")</f>
        <v>1</v>
      </c>
      <c r="Y50" s="15" t="str">
        <f>AND(Trans!E727,"AAAAAE92Nhg=")</f>
        <v>#VALUE!:noResult:No valid cells found for operation.</v>
      </c>
      <c r="Z50" s="15" t="str">
        <f>AND(Trans!F727,"AAAAAE92Nhk=")</f>
        <v>#VALUE!:noResult:No valid cells found for operation.</v>
      </c>
      <c r="AA50" s="15" t="str">
        <f>AND(Trans!G727,"AAAAAE92Nho=")</f>
        <v>#VALUE!:noResult:No valid cells found for operation.</v>
      </c>
      <c r="AB50" s="15" t="str">
        <f>#REF!</f>
        <v>#VALUE!:noResult:No valid cells found for operation.</v>
      </c>
      <c r="AC50" s="15" t="str">
        <f>AND(Trans!H727,"AAAAAE92Nhw=")</f>
        <v>#VALUE!:noResult:No valid cells found for operation.</v>
      </c>
      <c r="AD50" s="15" t="str">
        <f>#REF!</f>
        <v>#VALUE!:noResult:No valid cells found for operation.</v>
      </c>
      <c r="AE50" s="15" t="str">
        <f>#REF!</f>
        <v>#VALUE!:noResult:No valid cells found for operation.</v>
      </c>
      <c r="AF50" s="15" t="str">
        <f>#REF!</f>
        <v>#VALUE!:noResult:No valid cells found for operation.</v>
      </c>
      <c r="AG50" s="15" t="str">
        <f>#REF!</f>
        <v>#VALUE!:noResult:No valid cells found for operation.</v>
      </c>
      <c r="AH50" s="15" t="str">
        <f>#REF!</f>
        <v>#VALUE!:noResult:No valid cells found for operation.</v>
      </c>
      <c r="AI50" s="15" t="str">
        <f>#REF!</f>
        <v>#VALUE!:noResult:No valid cells found for operation.</v>
      </c>
      <c r="AJ50" s="15">
        <f>IF(Trans!R[678],"AAAAAE92NiM=",0)</f>
        <v>0</v>
      </c>
      <c r="AK50" s="15" t="b">
        <f>AND(Trans!A728,"AAAAAE92NiQ=")</f>
        <v>1</v>
      </c>
      <c r="AL50" s="15" t="str">
        <f>AND(Trans!B728,"AAAAAE92NiU=")</f>
        <v>#VALUE!:noResult:No valid cells found for operation.</v>
      </c>
      <c r="AM50" s="15" t="b">
        <f>AND(Trans!C728,"AAAAAE92NiY=")</f>
        <v>1</v>
      </c>
      <c r="AN50" s="15" t="b">
        <f>AND(Trans!D728,"AAAAAE92Nic=")</f>
        <v>1</v>
      </c>
      <c r="AO50" s="15" t="str">
        <f>AND(Trans!E728,"AAAAAE92Nig=")</f>
        <v>#VALUE!:noResult:No valid cells found for operation.</v>
      </c>
      <c r="AP50" s="15" t="str">
        <f>AND(Trans!F728,"AAAAAE92Nik=")</f>
        <v>#VALUE!:noResult:No valid cells found for operation.</v>
      </c>
      <c r="AQ50" s="15" t="str">
        <f>AND(Trans!G728,"AAAAAE92Nio=")</f>
        <v>#VALUE!:noResult:No valid cells found for operation.</v>
      </c>
      <c r="AR50" s="15" t="str">
        <f>#REF!</f>
        <v>#VALUE!:noResult:No valid cells found for operation.</v>
      </c>
      <c r="AS50" s="15" t="str">
        <f>AND(Trans!H728,"AAAAAE92Niw=")</f>
        <v>#VALUE!:noResult:No valid cells found for operation.</v>
      </c>
      <c r="AT50" s="15" t="str">
        <f>#REF!</f>
        <v>#VALUE!:noResult:No valid cells found for operation.</v>
      </c>
      <c r="AU50" s="15" t="str">
        <f>#REF!</f>
        <v>#VALUE!:noResult:No valid cells found for operation.</v>
      </c>
      <c r="AV50" s="15" t="str">
        <f>#REF!</f>
        <v>#VALUE!:noResult:No valid cells found for operation.</v>
      </c>
      <c r="AW50" s="15" t="str">
        <f>#REF!</f>
        <v>#VALUE!:noResult:No valid cells found for operation.</v>
      </c>
      <c r="AX50" s="15" t="str">
        <f>#REF!</f>
        <v>#VALUE!:noResult:No valid cells found for operation.</v>
      </c>
      <c r="AY50" s="15" t="str">
        <f>#REF!</f>
        <v>#VALUE!:noResult:No valid cells found for operation.</v>
      </c>
      <c r="AZ50" s="15">
        <f>IF(Trans!R[679],"AAAAAE92NjM=",0)</f>
        <v>0</v>
      </c>
      <c r="BA50" s="15" t="b">
        <f>AND(Trans!A729,"AAAAAE92NjQ=")</f>
        <v>1</v>
      </c>
      <c r="BB50" s="15" t="str">
        <f>AND(Trans!B729,"AAAAAE92NjU=")</f>
        <v>#VALUE!:noResult:No valid cells found for operation.</v>
      </c>
      <c r="BC50" s="15" t="b">
        <f>AND(Trans!C729,"AAAAAE92NjY=")</f>
        <v>1</v>
      </c>
      <c r="BD50" s="15" t="b">
        <f>AND(Trans!D729,"AAAAAE92Njc=")</f>
        <v>1</v>
      </c>
      <c r="BE50" s="15" t="str">
        <f>AND(Trans!E729,"AAAAAE92Njg=")</f>
        <v>#VALUE!:noResult:No valid cells found for operation.</v>
      </c>
      <c r="BF50" s="15" t="str">
        <f>AND(Trans!F729,"AAAAAE92Njk=")</f>
        <v>#VALUE!:noResult:No valid cells found for operation.</v>
      </c>
      <c r="BG50" s="15" t="str">
        <f>AND(Trans!G729,"AAAAAE92Njo=")</f>
        <v>#VALUE!:noResult:No valid cells found for operation.</v>
      </c>
      <c r="BH50" s="15" t="str">
        <f>#REF!</f>
        <v>#VALUE!:noResult:No valid cells found for operation.</v>
      </c>
      <c r="BI50" s="15" t="str">
        <f>AND(Trans!H729,"AAAAAE92Njw=")</f>
        <v>#VALUE!:noResult:No valid cells found for operation.</v>
      </c>
      <c r="BJ50" s="15" t="str">
        <f>#REF!</f>
        <v>#VALUE!:noResult:No valid cells found for operation.</v>
      </c>
      <c r="BK50" s="15" t="str">
        <f>#REF!</f>
        <v>#VALUE!:noResult:No valid cells found for operation.</v>
      </c>
      <c r="BL50" s="15" t="str">
        <f>#REF!</f>
        <v>#VALUE!:noResult:No valid cells found for operation.</v>
      </c>
      <c r="BM50" s="15" t="str">
        <f>#REF!</f>
        <v>#VALUE!:noResult:No valid cells found for operation.</v>
      </c>
      <c r="BN50" s="15" t="str">
        <f>#REF!</f>
        <v>#VALUE!:noResult:No valid cells found for operation.</v>
      </c>
      <c r="BO50" s="15" t="str">
        <f>#REF!</f>
        <v>#VALUE!:noResult:No valid cells found for operation.</v>
      </c>
      <c r="BP50" s="15">
        <f>IF(Trans!R[680],"AAAAAE92NkM=",0)</f>
        <v>0</v>
      </c>
      <c r="BQ50" s="15" t="b">
        <f>AND(Trans!A730,"AAAAAE92NkQ=")</f>
        <v>1</v>
      </c>
      <c r="BR50" s="15" t="str">
        <f>AND(Trans!B730,"AAAAAE92NkU=")</f>
        <v>#VALUE!:noResult:No valid cells found for operation.</v>
      </c>
      <c r="BS50" s="15" t="b">
        <f>AND(Trans!C730,"AAAAAE92NkY=")</f>
        <v>1</v>
      </c>
      <c r="BT50" s="15" t="b">
        <f>AND(Trans!D730,"AAAAAE92Nkc=")</f>
        <v>1</v>
      </c>
      <c r="BU50" s="15" t="str">
        <f>AND(Trans!E730,"AAAAAE92Nkg=")</f>
        <v>#VALUE!:noResult:No valid cells found for operation.</v>
      </c>
      <c r="BV50" s="15" t="str">
        <f>AND(Trans!F730,"AAAAAE92Nkk=")</f>
        <v>#VALUE!:noResult:No valid cells found for operation.</v>
      </c>
      <c r="BW50" s="15" t="str">
        <f>AND(Trans!G730,"AAAAAE92Nko=")</f>
        <v>#VALUE!:noResult:No valid cells found for operation.</v>
      </c>
      <c r="BX50" s="15" t="str">
        <f>#REF!</f>
        <v>#VALUE!:noResult:No valid cells found for operation.</v>
      </c>
      <c r="BY50" s="15" t="str">
        <f>AND(Trans!H730,"AAAAAE92Nkw=")</f>
        <v>#VALUE!:noResult:No valid cells found for operation.</v>
      </c>
      <c r="BZ50" s="15" t="str">
        <f>#REF!</f>
        <v>#VALUE!:noResult:No valid cells found for operation.</v>
      </c>
      <c r="CA50" s="15" t="str">
        <f>#REF!</f>
        <v>#VALUE!:noResult:No valid cells found for operation.</v>
      </c>
      <c r="CB50" s="15" t="str">
        <f>#REF!</f>
        <v>#VALUE!:noResult:No valid cells found for operation.</v>
      </c>
      <c r="CC50" s="15" t="str">
        <f>#REF!</f>
        <v>#VALUE!:noResult:No valid cells found for operation.</v>
      </c>
      <c r="CD50" s="15" t="str">
        <f>#REF!</f>
        <v>#VALUE!:noResult:No valid cells found for operation.</v>
      </c>
      <c r="CE50" s="15" t="str">
        <f>#REF!</f>
        <v>#VALUE!:noResult:No valid cells found for operation.</v>
      </c>
      <c r="CF50" s="15">
        <f>IF(Trans!R[681],"AAAAAE92NlM=",0)</f>
        <v>0</v>
      </c>
      <c r="CG50" s="15" t="b">
        <f>AND(Trans!A731,"AAAAAE92NlQ=")</f>
        <v>1</v>
      </c>
      <c r="CH50" s="15" t="str">
        <f>AND(Trans!B731,"AAAAAE92NlU=")</f>
        <v>#VALUE!:noResult:No valid cells found for operation.</v>
      </c>
      <c r="CI50" s="15" t="b">
        <f>AND(Trans!C731,"AAAAAE92NlY=")</f>
        <v>1</v>
      </c>
      <c r="CJ50" s="15" t="b">
        <f>AND(Trans!D731,"AAAAAE92Nlc=")</f>
        <v>1</v>
      </c>
      <c r="CK50" s="15" t="str">
        <f>AND(Trans!E731,"AAAAAE92Nlg=")</f>
        <v>#VALUE!:noResult:No valid cells found for operation.</v>
      </c>
      <c r="CL50" s="15" t="str">
        <f>AND(Trans!F731,"AAAAAE92Nlk=")</f>
        <v>#VALUE!:noResult:No valid cells found for operation.</v>
      </c>
      <c r="CM50" s="15" t="str">
        <f>AND(Trans!G731,"AAAAAE92Nlo=")</f>
        <v>#VALUE!:noResult:No valid cells found for operation.</v>
      </c>
      <c r="CN50" s="15" t="str">
        <f>#REF!</f>
        <v>#VALUE!:noResult:No valid cells found for operation.</v>
      </c>
      <c r="CO50" s="15" t="str">
        <f>AND(Trans!H731,"AAAAAE92Nlw=")</f>
        <v>#VALUE!:noResult:No valid cells found for operation.</v>
      </c>
      <c r="CP50" s="15" t="str">
        <f>#REF!</f>
        <v>#VALUE!:noResult:No valid cells found for operation.</v>
      </c>
      <c r="CQ50" s="15" t="str">
        <f>#REF!</f>
        <v>#VALUE!:noResult:No valid cells found for operation.</v>
      </c>
      <c r="CR50" s="15" t="str">
        <f>#REF!</f>
        <v>#VALUE!:noResult:No valid cells found for operation.</v>
      </c>
      <c r="CS50" s="15" t="str">
        <f>#REF!</f>
        <v>#VALUE!:noResult:No valid cells found for operation.</v>
      </c>
      <c r="CT50" s="15" t="str">
        <f>#REF!</f>
        <v>#VALUE!:noResult:No valid cells found for operation.</v>
      </c>
      <c r="CU50" s="15" t="str">
        <f>#REF!</f>
        <v>#VALUE!:noResult:No valid cells found for operation.</v>
      </c>
      <c r="CV50" s="15">
        <f>IF(Trans!R[682],"AAAAAE92NmM=",0)</f>
        <v>0</v>
      </c>
      <c r="CW50" s="15" t="b">
        <f>AND(Trans!A732,"AAAAAE92NmQ=")</f>
        <v>1</v>
      </c>
      <c r="CX50" s="15" t="str">
        <f>AND(Trans!B732,"AAAAAE92NmU=")</f>
        <v>#VALUE!:noResult:No valid cells found for operation.</v>
      </c>
      <c r="CY50" s="15" t="b">
        <f>AND(Trans!C732,"AAAAAE92NmY=")</f>
        <v>1</v>
      </c>
      <c r="CZ50" s="15" t="b">
        <f>AND(Trans!D732,"AAAAAE92Nmc=")</f>
        <v>1</v>
      </c>
      <c r="DA50" s="15" t="str">
        <f>AND(Trans!E732,"AAAAAE92Nmg=")</f>
        <v>#VALUE!:noResult:No valid cells found for operation.</v>
      </c>
      <c r="DB50" s="15" t="str">
        <f>AND(Trans!F732,"AAAAAE92Nmk=")</f>
        <v>#VALUE!:noResult:No valid cells found for operation.</v>
      </c>
      <c r="DC50" s="15" t="str">
        <f>AND(Trans!G732,"AAAAAE92Nmo=")</f>
        <v>#VALUE!:noResult:No valid cells found for operation.</v>
      </c>
      <c r="DD50" s="15" t="str">
        <f>#REF!</f>
        <v>#VALUE!:noResult:No valid cells found for operation.</v>
      </c>
      <c r="DE50" s="15" t="str">
        <f>AND(Trans!H732,"AAAAAE92Nmw=")</f>
        <v>#VALUE!:noResult:No valid cells found for operation.</v>
      </c>
      <c r="DF50" s="15" t="str">
        <f>#REF!</f>
        <v>#VALUE!:noResult:No valid cells found for operation.</v>
      </c>
      <c r="DG50" s="15" t="str">
        <f>#REF!</f>
        <v>#VALUE!:noResult:No valid cells found for operation.</v>
      </c>
      <c r="DH50" s="15" t="str">
        <f>#REF!</f>
        <v>#VALUE!:noResult:No valid cells found for operation.</v>
      </c>
      <c r="DI50" s="15" t="str">
        <f>#REF!</f>
        <v>#VALUE!:noResult:No valid cells found for operation.</v>
      </c>
      <c r="DJ50" s="15" t="str">
        <f>#REF!</f>
        <v>#VALUE!:noResult:No valid cells found for operation.</v>
      </c>
      <c r="DK50" s="15" t="str">
        <f>#REF!</f>
        <v>#VALUE!:noResult:No valid cells found for operation.</v>
      </c>
      <c r="DL50" s="15">
        <f>IF(Trans!R[683],"AAAAAE92NnM=",0)</f>
        <v>0</v>
      </c>
      <c r="DM50" s="15" t="b">
        <f>AND(Trans!A733,"AAAAAE92NnQ=")</f>
        <v>1</v>
      </c>
      <c r="DN50" s="15" t="str">
        <f>AND(Trans!B733,"AAAAAE92NnU=")</f>
        <v>#VALUE!:noResult:No valid cells found for operation.</v>
      </c>
      <c r="DO50" s="15" t="b">
        <f>AND(Trans!C733,"AAAAAE92NnY=")</f>
        <v>1</v>
      </c>
      <c r="DP50" s="15" t="b">
        <f>AND(Trans!D733,"AAAAAE92Nnc=")</f>
        <v>1</v>
      </c>
      <c r="DQ50" s="15" t="str">
        <f>AND(Trans!E733,"AAAAAE92Nng=")</f>
        <v>#VALUE!:noResult:No valid cells found for operation.</v>
      </c>
      <c r="DR50" s="15" t="str">
        <f>AND(Trans!F733,"AAAAAE92Nnk=")</f>
        <v>#VALUE!:noResult:No valid cells found for operation.</v>
      </c>
      <c r="DS50" s="15" t="str">
        <f>AND(Trans!G733,"AAAAAE92Nno=")</f>
        <v>#VALUE!:noResult:No valid cells found for operation.</v>
      </c>
      <c r="DT50" s="15" t="str">
        <f>#REF!</f>
        <v>#VALUE!:noResult:No valid cells found for operation.</v>
      </c>
      <c r="DU50" s="15" t="str">
        <f>AND(Trans!H733,"AAAAAE92Nnw=")</f>
        <v>#VALUE!:noResult:No valid cells found for operation.</v>
      </c>
      <c r="DV50" s="15" t="str">
        <f>#REF!</f>
        <v>#VALUE!:noResult:No valid cells found for operation.</v>
      </c>
      <c r="DW50" s="15" t="str">
        <f>#REF!</f>
        <v>#VALUE!:noResult:No valid cells found for operation.</v>
      </c>
      <c r="DX50" s="15" t="str">
        <f>#REF!</f>
        <v>#VALUE!:noResult:No valid cells found for operation.</v>
      </c>
      <c r="DY50" s="15" t="str">
        <f>#REF!</f>
        <v>#VALUE!:noResult:No valid cells found for operation.</v>
      </c>
      <c r="DZ50" s="15" t="str">
        <f>#REF!</f>
        <v>#VALUE!:noResult:No valid cells found for operation.</v>
      </c>
      <c r="EA50" s="15" t="str">
        <f>#REF!</f>
        <v>#VALUE!:noResult:No valid cells found for operation.</v>
      </c>
      <c r="EB50" s="15">
        <f>IF(Trans!R[684],"AAAAAE92NoM=",0)</f>
        <v>0</v>
      </c>
      <c r="EC50" s="15" t="b">
        <f>AND(Trans!A734,"AAAAAE92NoQ=")</f>
        <v>1</v>
      </c>
      <c r="ED50" s="15" t="str">
        <f>AND(Trans!B734,"AAAAAE92NoU=")</f>
        <v>#VALUE!:noResult:No valid cells found for operation.</v>
      </c>
      <c r="EE50" s="15" t="b">
        <f>AND(Trans!C734,"AAAAAE92NoY=")</f>
        <v>0</v>
      </c>
      <c r="EF50" s="15" t="b">
        <f>AND(Trans!D734,"AAAAAE92Noc=")</f>
        <v>1</v>
      </c>
      <c r="EG50" s="15" t="str">
        <f>AND(Trans!E734,"AAAAAE92Nog=")</f>
        <v>#VALUE!:noResult:No valid cells found for operation.</v>
      </c>
      <c r="EH50" s="15" t="str">
        <f>AND(Trans!F734,"AAAAAE92Nok=")</f>
        <v>#VALUE!:noResult:No valid cells found for operation.</v>
      </c>
      <c r="EI50" s="15" t="str">
        <f>AND(Trans!G734,"AAAAAE92Noo=")</f>
        <v>#VALUE!:noResult:No valid cells found for operation.</v>
      </c>
      <c r="EJ50" s="15" t="str">
        <f>#REF!</f>
        <v>#VALUE!:noResult:No valid cells found for operation.</v>
      </c>
      <c r="EK50" s="15" t="str">
        <f>AND(Trans!H734,"AAAAAE92Now=")</f>
        <v>#VALUE!:noResult:No valid cells found for operation.</v>
      </c>
      <c r="EL50" s="15" t="str">
        <f>#REF!</f>
        <v>#VALUE!:noResult:No valid cells found for operation.</v>
      </c>
      <c r="EM50" s="15" t="str">
        <f>#REF!</f>
        <v>#VALUE!:noResult:No valid cells found for operation.</v>
      </c>
      <c r="EN50" s="15" t="str">
        <f>#REF!</f>
        <v>#VALUE!:noResult:No valid cells found for operation.</v>
      </c>
      <c r="EO50" s="15" t="str">
        <f>#REF!</f>
        <v>#VALUE!:noResult:No valid cells found for operation.</v>
      </c>
      <c r="EP50" s="15" t="str">
        <f>#REF!</f>
        <v>#VALUE!:noResult:No valid cells found for operation.</v>
      </c>
      <c r="EQ50" s="15" t="str">
        <f>#REF!</f>
        <v>#VALUE!:noResult:No valid cells found for operation.</v>
      </c>
      <c r="ER50" s="15">
        <f>IF(Trans!R[685],"AAAAAE92NpM=",0)</f>
        <v>0</v>
      </c>
      <c r="ES50" s="15" t="b">
        <f>AND(Trans!A735,"AAAAAE92NpQ=")</f>
        <v>1</v>
      </c>
      <c r="ET50" s="15" t="str">
        <f>AND(Trans!B735,"AAAAAE92NpU=")</f>
        <v>#VALUE!:noResult:No valid cells found for operation.</v>
      </c>
      <c r="EU50" s="15" t="b">
        <f>AND(Trans!C735,"AAAAAE92NpY=")</f>
        <v>1</v>
      </c>
      <c r="EV50" s="15" t="b">
        <f>AND(Trans!D735,"AAAAAE92Npc=")</f>
        <v>1</v>
      </c>
      <c r="EW50" s="15" t="str">
        <f>AND(Trans!E735,"AAAAAE92Npg=")</f>
        <v>#VALUE!:noResult:No valid cells found for operation.</v>
      </c>
      <c r="EX50" s="15" t="str">
        <f>AND(Trans!F735,"AAAAAE92Npk=")</f>
        <v>#VALUE!:noResult:No valid cells found for operation.</v>
      </c>
      <c r="EY50" s="15" t="str">
        <f>AND(Trans!G735,"AAAAAE92Npo=")</f>
        <v>#VALUE!:noResult:No valid cells found for operation.</v>
      </c>
      <c r="EZ50" s="15" t="str">
        <f>#REF!</f>
        <v>#VALUE!:noResult:No valid cells found for operation.</v>
      </c>
      <c r="FA50" s="15" t="str">
        <f>AND(Trans!H735,"AAAAAE92Npw=")</f>
        <v>#VALUE!:noResult:No valid cells found for operation.</v>
      </c>
      <c r="FB50" s="15" t="str">
        <f>#REF!</f>
        <v>#VALUE!:noResult:No valid cells found for operation.</v>
      </c>
      <c r="FC50" s="15" t="str">
        <f>#REF!</f>
        <v>#VALUE!:noResult:No valid cells found for operation.</v>
      </c>
      <c r="FD50" s="15" t="str">
        <f>#REF!</f>
        <v>#VALUE!:noResult:No valid cells found for operation.</v>
      </c>
      <c r="FE50" s="15" t="str">
        <f>#REF!</f>
        <v>#VALUE!:noResult:No valid cells found for operation.</v>
      </c>
      <c r="FF50" s="15" t="str">
        <f>#REF!</f>
        <v>#VALUE!:noResult:No valid cells found for operation.</v>
      </c>
      <c r="FG50" s="15" t="str">
        <f>#REF!</f>
        <v>#VALUE!:noResult:No valid cells found for operation.</v>
      </c>
      <c r="FH50" s="15">
        <f>IF(Trans!R[686],"AAAAAE92NqM=",0)</f>
        <v>0</v>
      </c>
      <c r="FI50" s="15" t="b">
        <f>AND(Trans!A736,"AAAAAE92NqQ=")</f>
        <v>1</v>
      </c>
      <c r="FJ50" s="15" t="str">
        <f>AND(Trans!B736,"AAAAAE92NqU=")</f>
        <v>#VALUE!:noResult:No valid cells found for operation.</v>
      </c>
      <c r="FK50" s="15" t="b">
        <f>AND(Trans!C736,"AAAAAE92NqY=")</f>
        <v>1</v>
      </c>
      <c r="FL50" s="15" t="b">
        <f>AND(Trans!D736,"AAAAAE92Nqc=")</f>
        <v>1</v>
      </c>
      <c r="FM50" s="15" t="str">
        <f>AND(Trans!E736,"AAAAAE92Nqg=")</f>
        <v>#VALUE!:noResult:No valid cells found for operation.</v>
      </c>
      <c r="FN50" s="15" t="str">
        <f>AND(Trans!F736,"AAAAAE92Nqk=")</f>
        <v>#VALUE!:noResult:No valid cells found for operation.</v>
      </c>
      <c r="FO50" s="15" t="str">
        <f>AND(Trans!G736,"AAAAAE92Nqo=")</f>
        <v>#VALUE!:noResult:No valid cells found for operation.</v>
      </c>
      <c r="FP50" s="15" t="str">
        <f>#REF!</f>
        <v>#VALUE!:noResult:No valid cells found for operation.</v>
      </c>
      <c r="FQ50" s="15" t="str">
        <f>AND(Trans!H736,"AAAAAE92Nqw=")</f>
        <v>#VALUE!:noResult:No valid cells found for operation.</v>
      </c>
      <c r="FR50" s="15" t="str">
        <f>#REF!</f>
        <v>#VALUE!:noResult:No valid cells found for operation.</v>
      </c>
      <c r="FS50" s="15" t="str">
        <f>#REF!</f>
        <v>#VALUE!:noResult:No valid cells found for operation.</v>
      </c>
      <c r="FT50" s="15" t="str">
        <f>#REF!</f>
        <v>#VALUE!:noResult:No valid cells found for operation.</v>
      </c>
      <c r="FU50" s="15" t="str">
        <f>#REF!</f>
        <v>#VALUE!:noResult:No valid cells found for operation.</v>
      </c>
      <c r="FV50" s="15" t="str">
        <f>#REF!</f>
        <v>#VALUE!:noResult:No valid cells found for operation.</v>
      </c>
      <c r="FW50" s="15" t="str">
        <f>#REF!</f>
        <v>#VALUE!:noResult:No valid cells found for operation.</v>
      </c>
      <c r="FX50" s="15">
        <f>IF(Trans!R[687],"AAAAAE92NrM=",0)</f>
        <v>0</v>
      </c>
      <c r="FY50" s="15" t="b">
        <f>AND(Trans!A737,"AAAAAE92NrQ=")</f>
        <v>1</v>
      </c>
      <c r="FZ50" s="15" t="str">
        <f>AND(Trans!B737,"AAAAAE92NrU=")</f>
        <v>#VALUE!:noResult:No valid cells found for operation.</v>
      </c>
      <c r="GA50" s="15" t="b">
        <f>AND(Trans!C737,"AAAAAE92NrY=")</f>
        <v>1</v>
      </c>
      <c r="GB50" s="15" t="b">
        <f>AND(Trans!D737,"AAAAAE92Nrc=")</f>
        <v>1</v>
      </c>
      <c r="GC50" s="15" t="str">
        <f>AND(Trans!E737,"AAAAAE92Nrg=")</f>
        <v>#VALUE!:noResult:No valid cells found for operation.</v>
      </c>
      <c r="GD50" s="15" t="str">
        <f>AND(Trans!F737,"AAAAAE92Nrk=")</f>
        <v>#VALUE!:noResult:No valid cells found for operation.</v>
      </c>
      <c r="GE50" s="15" t="str">
        <f>AND(Trans!G737,"AAAAAE92Nro=")</f>
        <v>#VALUE!:noResult:No valid cells found for operation.</v>
      </c>
      <c r="GF50" s="15" t="str">
        <f>#REF!</f>
        <v>#VALUE!:noResult:No valid cells found for operation.</v>
      </c>
      <c r="GG50" s="15" t="str">
        <f>AND(Trans!H737,"AAAAAE92Nrw=")</f>
        <v>#VALUE!:noResult:No valid cells found for operation.</v>
      </c>
      <c r="GH50" s="15" t="str">
        <f>#REF!</f>
        <v>#VALUE!:noResult:No valid cells found for operation.</v>
      </c>
      <c r="GI50" s="15" t="str">
        <f>#REF!</f>
        <v>#VALUE!:noResult:No valid cells found for operation.</v>
      </c>
      <c r="GJ50" s="15" t="str">
        <f>#REF!</f>
        <v>#VALUE!:noResult:No valid cells found for operation.</v>
      </c>
      <c r="GK50" s="15" t="str">
        <f>#REF!</f>
        <v>#VALUE!:noResult:No valid cells found for operation.</v>
      </c>
      <c r="GL50" s="15" t="str">
        <f>#REF!</f>
        <v>#VALUE!:noResult:No valid cells found for operation.</v>
      </c>
      <c r="GM50" s="15" t="str">
        <f>#REF!</f>
        <v>#VALUE!:noResult:No valid cells found for operation.</v>
      </c>
      <c r="GN50" s="15">
        <f>IF(Trans!R[688],"AAAAAE92NsM=",0)</f>
        <v>0</v>
      </c>
      <c r="GO50" s="15" t="b">
        <f>AND(Trans!A738,"AAAAAE92NsQ=")</f>
        <v>1</v>
      </c>
      <c r="GP50" s="15" t="str">
        <f>AND(Trans!B738,"AAAAAE92NsU=")</f>
        <v>#VALUE!:noResult:No valid cells found for operation.</v>
      </c>
      <c r="GQ50" s="15" t="b">
        <f>AND(Trans!C738,"AAAAAE92NsY=")</f>
        <v>1</v>
      </c>
      <c r="GR50" s="15" t="b">
        <f>AND(Trans!D738,"AAAAAE92Nsc=")</f>
        <v>1</v>
      </c>
      <c r="GS50" s="15" t="str">
        <f>AND(Trans!E738,"AAAAAE92Nsg=")</f>
        <v>#VALUE!:noResult:No valid cells found for operation.</v>
      </c>
      <c r="GT50" s="15" t="str">
        <f>AND(Trans!F738,"AAAAAE92Nsk=")</f>
        <v>#VALUE!:noResult:No valid cells found for operation.</v>
      </c>
      <c r="GU50" s="15" t="str">
        <f>AND(Trans!G738,"AAAAAE92Nso=")</f>
        <v>#VALUE!:noResult:No valid cells found for operation.</v>
      </c>
      <c r="GV50" s="15" t="str">
        <f>#REF!</f>
        <v>#VALUE!:noResult:No valid cells found for operation.</v>
      </c>
      <c r="GW50" s="15" t="str">
        <f>AND(Trans!H738,"AAAAAE92Nsw=")</f>
        <v>#VALUE!:noResult:No valid cells found for operation.</v>
      </c>
      <c r="GX50" s="15" t="str">
        <f>#REF!</f>
        <v>#VALUE!:noResult:No valid cells found for operation.</v>
      </c>
      <c r="GY50" s="15" t="str">
        <f>#REF!</f>
        <v>#VALUE!:noResult:No valid cells found for operation.</v>
      </c>
      <c r="GZ50" s="15" t="str">
        <f>#REF!</f>
        <v>#VALUE!:noResult:No valid cells found for operation.</v>
      </c>
      <c r="HA50" s="15" t="str">
        <f>#REF!</f>
        <v>#VALUE!:noResult:No valid cells found for operation.</v>
      </c>
      <c r="HB50" s="15" t="str">
        <f>#REF!</f>
        <v>#VALUE!:noResult:No valid cells found for operation.</v>
      </c>
      <c r="HC50" s="15" t="str">
        <f>#REF!</f>
        <v>#VALUE!:noResult:No valid cells found for operation.</v>
      </c>
      <c r="HD50" s="15">
        <f>IF(Trans!R[689],"AAAAAE92NtM=",0)</f>
        <v>0</v>
      </c>
      <c r="HE50" s="15" t="b">
        <f>AND(Trans!A739,"AAAAAE92NtQ=")</f>
        <v>1</v>
      </c>
      <c r="HF50" s="15" t="str">
        <f>AND(Trans!B739,"AAAAAE92NtU=")</f>
        <v>#VALUE!:noResult:No valid cells found for operation.</v>
      </c>
      <c r="HG50" s="15" t="b">
        <f>AND(Trans!C739,"AAAAAE92NtY=")</f>
        <v>1</v>
      </c>
      <c r="HH50" s="15" t="b">
        <f>AND(Trans!D739,"AAAAAE92Ntc=")</f>
        <v>1</v>
      </c>
      <c r="HI50" s="15" t="str">
        <f>AND(Trans!E739,"AAAAAE92Ntg=")</f>
        <v>#VALUE!:noResult:No valid cells found for operation.</v>
      </c>
      <c r="HJ50" s="15" t="str">
        <f>AND(Trans!F739,"AAAAAE92Ntk=")</f>
        <v>#VALUE!:noResult:No valid cells found for operation.</v>
      </c>
      <c r="HK50" s="15" t="str">
        <f>AND(Trans!G739,"AAAAAE92Nto=")</f>
        <v>#VALUE!:noResult:No valid cells found for operation.</v>
      </c>
      <c r="HL50" s="15" t="str">
        <f>#REF!</f>
        <v>#VALUE!:noResult:No valid cells found for operation.</v>
      </c>
      <c r="HM50" s="15" t="str">
        <f>AND(Trans!H739,"AAAAAE92Ntw=")</f>
        <v>#VALUE!:noResult:No valid cells found for operation.</v>
      </c>
      <c r="HN50" s="15" t="str">
        <f>#REF!</f>
        <v>#VALUE!:noResult:No valid cells found for operation.</v>
      </c>
      <c r="HO50" s="15" t="str">
        <f>#REF!</f>
        <v>#VALUE!:noResult:No valid cells found for operation.</v>
      </c>
      <c r="HP50" s="15" t="str">
        <f>#REF!</f>
        <v>#VALUE!:noResult:No valid cells found for operation.</v>
      </c>
      <c r="HQ50" s="15" t="str">
        <f>#REF!</f>
        <v>#VALUE!:noResult:No valid cells found for operation.</v>
      </c>
      <c r="HR50" s="15" t="str">
        <f>#REF!</f>
        <v>#VALUE!:noResult:No valid cells found for operation.</v>
      </c>
      <c r="HS50" s="15" t="str">
        <f>#REF!</f>
        <v>#VALUE!:noResult:No valid cells found for operation.</v>
      </c>
      <c r="HT50" s="15">
        <f>IF(Trans!R[690],"AAAAAE92NuM=",0)</f>
        <v>0</v>
      </c>
      <c r="HU50" s="15" t="b">
        <f>AND(Trans!A740,"AAAAAE92NuQ=")</f>
        <v>1</v>
      </c>
      <c r="HV50" s="15" t="str">
        <f>AND(Trans!B740,"AAAAAE92NuU=")</f>
        <v>#VALUE!:noResult:No valid cells found for operation.</v>
      </c>
      <c r="HW50" s="15" t="b">
        <f>AND(Trans!C740,"AAAAAE92NuY=")</f>
        <v>1</v>
      </c>
      <c r="HX50" s="15" t="b">
        <f>AND(Trans!D740,"AAAAAE92Nuc=")</f>
        <v>1</v>
      </c>
      <c r="HY50" s="15" t="str">
        <f>AND(Trans!E740,"AAAAAE92Nug=")</f>
        <v>#VALUE!:noResult:No valid cells found for operation.</v>
      </c>
      <c r="HZ50" s="15" t="str">
        <f>AND(Trans!F740,"AAAAAE92Nuk=")</f>
        <v>#VALUE!:noResult:No valid cells found for operation.</v>
      </c>
      <c r="IA50" s="15" t="str">
        <f>AND(Trans!G740,"AAAAAE92Nuo=")</f>
        <v>#VALUE!:noResult:No valid cells found for operation.</v>
      </c>
      <c r="IB50" s="15" t="str">
        <f>#REF!</f>
        <v>#VALUE!:noResult:No valid cells found for operation.</v>
      </c>
      <c r="IC50" s="15" t="str">
        <f>AND(Trans!H740,"AAAAAE92Nuw=")</f>
        <v>#VALUE!:noResult:No valid cells found for operation.</v>
      </c>
      <c r="ID50" s="15" t="str">
        <f>#REF!</f>
        <v>#VALUE!:noResult:No valid cells found for operation.</v>
      </c>
      <c r="IE50" s="15" t="str">
        <f>#REF!</f>
        <v>#VALUE!:noResult:No valid cells found for operation.</v>
      </c>
      <c r="IF50" s="15" t="str">
        <f>#REF!</f>
        <v>#VALUE!:noResult:No valid cells found for operation.</v>
      </c>
      <c r="IG50" s="15" t="str">
        <f>#REF!</f>
        <v>#VALUE!:noResult:No valid cells found for operation.</v>
      </c>
      <c r="IH50" s="15" t="str">
        <f>#REF!</f>
        <v>#VALUE!:noResult:No valid cells found for operation.</v>
      </c>
      <c r="II50" s="15" t="str">
        <f>#REF!</f>
        <v>#VALUE!:noResult:No valid cells found for operation.</v>
      </c>
      <c r="IJ50" s="15">
        <f>IF(Trans!R[691],"AAAAAE92NvM=",0)</f>
        <v>0</v>
      </c>
      <c r="IK50" s="15" t="b">
        <f>AND(Trans!A741,"AAAAAE92NvQ=")</f>
        <v>1</v>
      </c>
      <c r="IL50" s="15" t="str">
        <f>AND(Trans!B741,"AAAAAE92NvU=")</f>
        <v>#VALUE!:noResult:No valid cells found for operation.</v>
      </c>
      <c r="IM50" s="15" t="b">
        <f>AND(Trans!C741,"AAAAAE92NvY=")</f>
        <v>1</v>
      </c>
      <c r="IN50" s="15" t="b">
        <f>AND(Trans!D741,"AAAAAE92Nvc=")</f>
        <v>1</v>
      </c>
      <c r="IO50" s="15" t="str">
        <f>AND(Trans!E741,"AAAAAE92Nvg=")</f>
        <v>#VALUE!:noResult:No valid cells found for operation.</v>
      </c>
      <c r="IP50" s="15" t="str">
        <f>AND(Trans!F741,"AAAAAE92Nvk=")</f>
        <v>#VALUE!:noResult:No valid cells found for operation.</v>
      </c>
      <c r="IQ50" s="15" t="str">
        <f>AND(Trans!G741,"AAAAAE92Nvo=")</f>
        <v>#VALUE!:noResult:No valid cells found for operation.</v>
      </c>
      <c r="IR50" s="15" t="str">
        <f>#REF!</f>
        <v>#VALUE!:noResult:No valid cells found for operation.</v>
      </c>
      <c r="IS50" s="15" t="str">
        <f>AND(Trans!H741,"AAAAAE92Nvw=")</f>
        <v>#VALUE!:noResult:No valid cells found for operation.</v>
      </c>
      <c r="IT50" s="15" t="str">
        <f>#REF!</f>
        <v>#VALUE!:noResult:No valid cells found for operation.</v>
      </c>
      <c r="IU50" s="15" t="str">
        <f>#REF!</f>
        <v>#VALUE!:noResult:No valid cells found for operation.</v>
      </c>
      <c r="IV50" s="15" t="str">
        <f>#REF!</f>
        <v>#VALUE!:noResult:No valid cells found for operation.</v>
      </c>
    </row>
    <row r="51">
      <c r="A51" s="15" t="str">
        <f>#REF!</f>
        <v>#VALUE!:noResult:No valid cells found for operation.</v>
      </c>
      <c r="B51" s="15" t="str">
        <f>#REF!</f>
        <v>#VALUE!:noResult:No valid cells found for operation.</v>
      </c>
      <c r="C51" s="15" t="str">
        <f>#REF!</f>
        <v>#VALUE!:noResult:No valid cells found for operation.</v>
      </c>
      <c r="D51" s="15" t="str">
        <f>IF(Trans!R[691],"AAAAADq/YgM=",0)</f>
        <v>AAAAADq/YgM=</v>
      </c>
      <c r="E51" s="15" t="b">
        <f>AND(Trans!A742,"AAAAADq/YgQ=")</f>
        <v>1</v>
      </c>
      <c r="F51" s="15" t="str">
        <f>AND(Trans!B742,"AAAAADq/YgU=")</f>
        <v>#VALUE!:noResult:No valid cells found for operation.</v>
      </c>
      <c r="G51" s="15" t="b">
        <f>AND(Trans!C742,"AAAAADq/YgY=")</f>
        <v>1</v>
      </c>
      <c r="H51" s="15" t="b">
        <f>AND(Trans!D742,"AAAAADq/Ygc=")</f>
        <v>1</v>
      </c>
      <c r="I51" s="15" t="str">
        <f>AND(Trans!E742,"AAAAADq/Ygg=")</f>
        <v>#VALUE!:noResult:No valid cells found for operation.</v>
      </c>
      <c r="J51" s="15" t="str">
        <f>AND(Trans!F742,"AAAAADq/Ygk=")</f>
        <v>#VALUE!:noResult:No valid cells found for operation.</v>
      </c>
      <c r="K51" s="15" t="str">
        <f>AND(Trans!G742,"AAAAADq/Ygo=")</f>
        <v>#VALUE!:noResult:No valid cells found for operation.</v>
      </c>
      <c r="L51" s="15" t="str">
        <f>#REF!</f>
        <v>#VALUE!:noResult:No valid cells found for operation.</v>
      </c>
      <c r="M51" s="15" t="str">
        <f>AND(Trans!H742,"AAAAADq/Ygw=")</f>
        <v>#VALUE!:noResult:No valid cells found for operation.</v>
      </c>
      <c r="N51" s="15" t="str">
        <f>#REF!</f>
        <v>#VALUE!:noResult:No valid cells found for operation.</v>
      </c>
      <c r="O51" s="15" t="str">
        <f>#REF!</f>
        <v>#VALUE!:noResult:No valid cells found for operation.</v>
      </c>
      <c r="P51" s="15" t="str">
        <f>#REF!</f>
        <v>#VALUE!:noResult:No valid cells found for operation.</v>
      </c>
      <c r="Q51" s="15" t="str">
        <f>#REF!</f>
        <v>#VALUE!:noResult:No valid cells found for operation.</v>
      </c>
      <c r="R51" s="15" t="str">
        <f>#REF!</f>
        <v>#VALUE!:noResult:No valid cells found for operation.</v>
      </c>
      <c r="S51" s="15" t="str">
        <f>#REF!</f>
        <v>#VALUE!:noResult:No valid cells found for operation.</v>
      </c>
      <c r="T51" s="15">
        <f>IF(Trans!R[692],"AAAAADq/YhM=",0)</f>
        <v>0</v>
      </c>
      <c r="U51" s="15" t="b">
        <f>AND(Trans!A743,"AAAAADq/YhQ=")</f>
        <v>1</v>
      </c>
      <c r="V51" s="15" t="str">
        <f>AND(Trans!B743,"AAAAADq/YhU=")</f>
        <v>#VALUE!:noResult:No valid cells found for operation.</v>
      </c>
      <c r="W51" s="15" t="b">
        <f>AND(Trans!C743,"AAAAADq/YhY=")</f>
        <v>1</v>
      </c>
      <c r="X51" s="15" t="b">
        <f>AND(Trans!D743,"AAAAADq/Yhc=")</f>
        <v>1</v>
      </c>
      <c r="Y51" s="15" t="str">
        <f>AND(Trans!E743,"AAAAADq/Yhg=")</f>
        <v>#VALUE!:noResult:No valid cells found for operation.</v>
      </c>
      <c r="Z51" s="15" t="str">
        <f>AND(Trans!F743,"AAAAADq/Yhk=")</f>
        <v>#VALUE!:noResult:No valid cells found for operation.</v>
      </c>
      <c r="AA51" s="15" t="str">
        <f>AND(Trans!G743,"AAAAADq/Yho=")</f>
        <v>#VALUE!:noResult:No valid cells found for operation.</v>
      </c>
      <c r="AB51" s="15" t="str">
        <f>#REF!</f>
        <v>#VALUE!:noResult:No valid cells found for operation.</v>
      </c>
      <c r="AC51" s="15" t="str">
        <f>AND(Trans!H743,"AAAAADq/Yhw=")</f>
        <v>#VALUE!:noResult:No valid cells found for operation.</v>
      </c>
      <c r="AD51" s="15" t="str">
        <f>#REF!</f>
        <v>#VALUE!:noResult:No valid cells found for operation.</v>
      </c>
      <c r="AE51" s="15" t="str">
        <f>#REF!</f>
        <v>#VALUE!:noResult:No valid cells found for operation.</v>
      </c>
      <c r="AF51" s="15" t="str">
        <f>#REF!</f>
        <v>#VALUE!:noResult:No valid cells found for operation.</v>
      </c>
      <c r="AG51" s="15" t="str">
        <f>#REF!</f>
        <v>#VALUE!:noResult:No valid cells found for operation.</v>
      </c>
      <c r="AH51" s="15" t="str">
        <f>#REF!</f>
        <v>#VALUE!:noResult:No valid cells found for operation.</v>
      </c>
      <c r="AI51" s="15" t="str">
        <f>#REF!</f>
        <v>#VALUE!:noResult:No valid cells found for operation.</v>
      </c>
      <c r="AJ51" s="15">
        <f>IF(Trans!R[693],"AAAAADq/YiM=",0)</f>
        <v>0</v>
      </c>
      <c r="AK51" s="15" t="b">
        <f>AND(Trans!A744,"AAAAADq/YiQ=")</f>
        <v>1</v>
      </c>
      <c r="AL51" s="15" t="str">
        <f>AND(Trans!B744,"AAAAADq/YiU=")</f>
        <v>#VALUE!:noResult:No valid cells found for operation.</v>
      </c>
      <c r="AM51" s="15" t="b">
        <f>AND(Trans!C744,"AAAAADq/YiY=")</f>
        <v>1</v>
      </c>
      <c r="AN51" s="15" t="b">
        <f>AND(Trans!D744,"AAAAADq/Yic=")</f>
        <v>1</v>
      </c>
      <c r="AO51" s="15" t="str">
        <f>AND(Trans!E744,"AAAAADq/Yig=")</f>
        <v>#VALUE!:noResult:No valid cells found for operation.</v>
      </c>
      <c r="AP51" s="15" t="str">
        <f>AND(Trans!F744,"AAAAADq/Yik=")</f>
        <v>#VALUE!:noResult:No valid cells found for operation.</v>
      </c>
      <c r="AQ51" s="15" t="str">
        <f>AND(Trans!G744,"AAAAADq/Yio=")</f>
        <v>#VALUE!:noResult:No valid cells found for operation.</v>
      </c>
      <c r="AR51" s="15" t="str">
        <f>#REF!</f>
        <v>#VALUE!:noResult:No valid cells found for operation.</v>
      </c>
      <c r="AS51" s="15" t="str">
        <f>AND(Trans!H744,"AAAAADq/Yiw=")</f>
        <v>#VALUE!:noResult:No valid cells found for operation.</v>
      </c>
      <c r="AT51" s="15" t="str">
        <f>#REF!</f>
        <v>#VALUE!:noResult:No valid cells found for operation.</v>
      </c>
      <c r="AU51" s="15" t="str">
        <f>#REF!</f>
        <v>#VALUE!:noResult:No valid cells found for operation.</v>
      </c>
      <c r="AV51" s="15" t="str">
        <f>#REF!</f>
        <v>#VALUE!:noResult:No valid cells found for operation.</v>
      </c>
      <c r="AW51" s="15" t="str">
        <f>#REF!</f>
        <v>#VALUE!:noResult:No valid cells found for operation.</v>
      </c>
      <c r="AX51" s="15" t="str">
        <f>#REF!</f>
        <v>#VALUE!:noResult:No valid cells found for operation.</v>
      </c>
      <c r="AY51" s="15" t="str">
        <f>#REF!</f>
        <v>#VALUE!:noResult:No valid cells found for operation.</v>
      </c>
      <c r="AZ51" s="15">
        <f>IF(Trans!R[694],"AAAAADq/YjM=",0)</f>
        <v>0</v>
      </c>
      <c r="BA51" s="15" t="b">
        <f>AND(Trans!A745,"AAAAADq/YjQ=")</f>
        <v>1</v>
      </c>
      <c r="BB51" s="15" t="str">
        <f>AND(Trans!B745,"AAAAADq/YjU=")</f>
        <v>#VALUE!:noResult:No valid cells found for operation.</v>
      </c>
      <c r="BC51" s="15" t="b">
        <f>AND(Trans!C745,"AAAAADq/YjY=")</f>
        <v>1</v>
      </c>
      <c r="BD51" s="15" t="b">
        <f>AND(Trans!D745,"AAAAADq/Yjc=")</f>
        <v>1</v>
      </c>
      <c r="BE51" s="15" t="str">
        <f>AND(Trans!E745,"AAAAADq/Yjg=")</f>
        <v>#VALUE!:noResult:No valid cells found for operation.</v>
      </c>
      <c r="BF51" s="15" t="str">
        <f>AND(Trans!F745,"AAAAADq/Yjk=")</f>
        <v>#VALUE!:noResult:No valid cells found for operation.</v>
      </c>
      <c r="BG51" s="15" t="str">
        <f>AND(Trans!G745,"AAAAADq/Yjo=")</f>
        <v>#VALUE!:noResult:No valid cells found for operation.</v>
      </c>
      <c r="BH51" s="15" t="str">
        <f>#REF!</f>
        <v>#VALUE!:noResult:No valid cells found for operation.</v>
      </c>
      <c r="BI51" s="15" t="str">
        <f>AND(Trans!H745,"AAAAADq/Yjw=")</f>
        <v>#VALUE!:noResult:No valid cells found for operation.</v>
      </c>
      <c r="BJ51" s="15" t="str">
        <f>#REF!</f>
        <v>#VALUE!:noResult:No valid cells found for operation.</v>
      </c>
      <c r="BK51" s="15" t="str">
        <f>#REF!</f>
        <v>#VALUE!:noResult:No valid cells found for operation.</v>
      </c>
      <c r="BL51" s="15" t="str">
        <f>#REF!</f>
        <v>#VALUE!:noResult:No valid cells found for operation.</v>
      </c>
      <c r="BM51" s="15" t="str">
        <f>#REF!</f>
        <v>#VALUE!:noResult:No valid cells found for operation.</v>
      </c>
      <c r="BN51" s="15" t="str">
        <f>#REF!</f>
        <v>#VALUE!:noResult:No valid cells found for operation.</v>
      </c>
      <c r="BO51" s="15" t="str">
        <f>#REF!</f>
        <v>#VALUE!:noResult:No valid cells found for operation.</v>
      </c>
      <c r="BP51" s="15">
        <f>IF(Trans!R[695],"AAAAADq/YkM=",0)</f>
        <v>0</v>
      </c>
      <c r="BQ51" s="15" t="b">
        <f>AND(Trans!A746,"AAAAADq/YkQ=")</f>
        <v>1</v>
      </c>
      <c r="BR51" s="15" t="str">
        <f>AND(Trans!B746,"AAAAADq/YkU=")</f>
        <v>#VALUE!:noResult:No valid cells found for operation.</v>
      </c>
      <c r="BS51" s="15" t="b">
        <f>AND(Trans!C746,"AAAAADq/YkY=")</f>
        <v>1</v>
      </c>
      <c r="BT51" s="15" t="b">
        <f>AND(Trans!D746,"AAAAADq/Ykc=")</f>
        <v>1</v>
      </c>
      <c r="BU51" s="15" t="str">
        <f>AND(Trans!E746,"AAAAADq/Ykg=")</f>
        <v>#VALUE!:noResult:No valid cells found for operation.</v>
      </c>
      <c r="BV51" s="15" t="str">
        <f>AND(Trans!F746,"AAAAADq/Ykk=")</f>
        <v>#VALUE!:noResult:No valid cells found for operation.</v>
      </c>
      <c r="BW51" s="15" t="str">
        <f>AND(Trans!G746,"AAAAADq/Yko=")</f>
        <v>#VALUE!:noResult:No valid cells found for operation.</v>
      </c>
      <c r="BX51" s="15" t="str">
        <f>#REF!</f>
        <v>#VALUE!:noResult:No valid cells found for operation.</v>
      </c>
      <c r="BY51" s="15" t="str">
        <f>AND(Trans!H746,"AAAAADq/Ykw=")</f>
        <v>#VALUE!:noResult:No valid cells found for operation.</v>
      </c>
      <c r="BZ51" s="15" t="str">
        <f>#REF!</f>
        <v>#VALUE!:noResult:No valid cells found for operation.</v>
      </c>
      <c r="CA51" s="15" t="str">
        <f>#REF!</f>
        <v>#VALUE!:noResult:No valid cells found for operation.</v>
      </c>
      <c r="CB51" s="15" t="str">
        <f>#REF!</f>
        <v>#VALUE!:noResult:No valid cells found for operation.</v>
      </c>
      <c r="CC51" s="15" t="str">
        <f>#REF!</f>
        <v>#VALUE!:noResult:No valid cells found for operation.</v>
      </c>
      <c r="CD51" s="15" t="str">
        <f>#REF!</f>
        <v>#VALUE!:noResult:No valid cells found for operation.</v>
      </c>
      <c r="CE51" s="15" t="str">
        <f>#REF!</f>
        <v>#VALUE!:noResult:No valid cells found for operation.</v>
      </c>
      <c r="CF51" s="15">
        <f>IF(Trans!R[696],"AAAAADq/YlM=",0)</f>
        <v>0</v>
      </c>
      <c r="CG51" s="15" t="b">
        <f>AND(Trans!A747,"AAAAADq/YlQ=")</f>
        <v>1</v>
      </c>
      <c r="CH51" s="15" t="str">
        <f>AND(Trans!B747,"AAAAADq/YlU=")</f>
        <v>#VALUE!:noResult:No valid cells found for operation.</v>
      </c>
      <c r="CI51" s="15" t="b">
        <f>AND(Trans!C747,"AAAAADq/YlY=")</f>
        <v>1</v>
      </c>
      <c r="CJ51" s="15" t="b">
        <f>AND(Trans!D747,"AAAAADq/Ylc=")</f>
        <v>1</v>
      </c>
      <c r="CK51" s="15" t="str">
        <f>AND(Trans!E747,"AAAAADq/Ylg=")</f>
        <v>#VALUE!:noResult:No valid cells found for operation.</v>
      </c>
      <c r="CL51" s="15" t="str">
        <f>AND(Trans!F747,"AAAAADq/Ylk=")</f>
        <v>#VALUE!:noResult:No valid cells found for operation.</v>
      </c>
      <c r="CM51" s="15" t="str">
        <f>AND(Trans!G747,"AAAAADq/Ylo=")</f>
        <v>#VALUE!:noResult:No valid cells found for operation.</v>
      </c>
      <c r="CN51" s="15" t="str">
        <f>#REF!</f>
        <v>#VALUE!:noResult:No valid cells found for operation.</v>
      </c>
      <c r="CO51" s="15" t="str">
        <f>AND(Trans!H747,"AAAAADq/Ylw=")</f>
        <v>#VALUE!:noResult:No valid cells found for operation.</v>
      </c>
      <c r="CP51" s="15" t="str">
        <f>#REF!</f>
        <v>#VALUE!:noResult:No valid cells found for operation.</v>
      </c>
      <c r="CQ51" s="15" t="str">
        <f>#REF!</f>
        <v>#VALUE!:noResult:No valid cells found for operation.</v>
      </c>
      <c r="CR51" s="15" t="str">
        <f>#REF!</f>
        <v>#VALUE!:noResult:No valid cells found for operation.</v>
      </c>
      <c r="CS51" s="15" t="str">
        <f>#REF!</f>
        <v>#VALUE!:noResult:No valid cells found for operation.</v>
      </c>
      <c r="CT51" s="15" t="str">
        <f>#REF!</f>
        <v>#VALUE!:noResult:No valid cells found for operation.</v>
      </c>
      <c r="CU51" s="15" t="str">
        <f>#REF!</f>
        <v>#VALUE!:noResult:No valid cells found for operation.</v>
      </c>
      <c r="CV51" s="15">
        <f>IF(Trans!R[697],"AAAAADq/YmM=",0)</f>
        <v>0</v>
      </c>
      <c r="CW51" s="15" t="b">
        <f>AND(Trans!A748,"AAAAADq/YmQ=")</f>
        <v>1</v>
      </c>
      <c r="CX51" s="15" t="str">
        <f>AND(Trans!B748,"AAAAADq/YmU=")</f>
        <v>#VALUE!:noResult:No valid cells found for operation.</v>
      </c>
      <c r="CY51" s="15" t="b">
        <f>AND(Trans!C748,"AAAAADq/YmY=")</f>
        <v>1</v>
      </c>
      <c r="CZ51" s="15" t="b">
        <f>AND(Trans!D748,"AAAAADq/Ymc=")</f>
        <v>1</v>
      </c>
      <c r="DA51" s="15" t="str">
        <f>AND(Trans!E748,"AAAAADq/Ymg=")</f>
        <v>#VALUE!:noResult:No valid cells found for operation.</v>
      </c>
      <c r="DB51" s="15" t="str">
        <f>AND(Trans!F748,"AAAAADq/Ymk=")</f>
        <v>#VALUE!:noResult:No valid cells found for operation.</v>
      </c>
      <c r="DC51" s="15" t="str">
        <f>AND(Trans!G748,"AAAAADq/Ymo=")</f>
        <v>#VALUE!:noResult:No valid cells found for operation.</v>
      </c>
      <c r="DD51" s="15" t="str">
        <f>#REF!</f>
        <v>#VALUE!:noResult:No valid cells found for operation.</v>
      </c>
      <c r="DE51" s="15" t="str">
        <f>AND(Trans!H748,"AAAAADq/Ymw=")</f>
        <v>#VALUE!:noResult:No valid cells found for operation.</v>
      </c>
      <c r="DF51" s="15" t="str">
        <f>#REF!</f>
        <v>#VALUE!:noResult:No valid cells found for operation.</v>
      </c>
      <c r="DG51" s="15" t="str">
        <f>#REF!</f>
        <v>#VALUE!:noResult:No valid cells found for operation.</v>
      </c>
      <c r="DH51" s="15" t="str">
        <f>#REF!</f>
        <v>#VALUE!:noResult:No valid cells found for operation.</v>
      </c>
      <c r="DI51" s="15" t="str">
        <f>#REF!</f>
        <v>#VALUE!:noResult:No valid cells found for operation.</v>
      </c>
      <c r="DJ51" s="15" t="str">
        <f>#REF!</f>
        <v>#VALUE!:noResult:No valid cells found for operation.</v>
      </c>
      <c r="DK51" s="15" t="str">
        <f>#REF!</f>
        <v>#VALUE!:noResult:No valid cells found for operation.</v>
      </c>
      <c r="DL51" s="15">
        <f>IF(Trans!R[698],"AAAAADq/YnM=",0)</f>
        <v>0</v>
      </c>
      <c r="DM51" s="15" t="b">
        <f>AND(Trans!A749,"AAAAADq/YnQ=")</f>
        <v>1</v>
      </c>
      <c r="DN51" s="15" t="str">
        <f>AND(Trans!B749,"AAAAADq/YnU=")</f>
        <v>#VALUE!:noResult:No valid cells found for operation.</v>
      </c>
      <c r="DO51" s="15" t="b">
        <f>AND(Trans!C749,"AAAAADq/YnY=")</f>
        <v>1</v>
      </c>
      <c r="DP51" s="15" t="b">
        <f>AND(Trans!D749,"AAAAADq/Ync=")</f>
        <v>1</v>
      </c>
      <c r="DQ51" s="15" t="str">
        <f>AND(Trans!E749,"AAAAADq/Yng=")</f>
        <v>#VALUE!:noResult:No valid cells found for operation.</v>
      </c>
      <c r="DR51" s="15" t="str">
        <f>AND(Trans!F749,"AAAAADq/Ynk=")</f>
        <v>#VALUE!:noResult:No valid cells found for operation.</v>
      </c>
      <c r="DS51" s="15" t="str">
        <f>AND(Trans!G749,"AAAAADq/Yno=")</f>
        <v>#VALUE!:noResult:No valid cells found for operation.</v>
      </c>
      <c r="DT51" s="15" t="str">
        <f>#REF!</f>
        <v>#VALUE!:noResult:No valid cells found for operation.</v>
      </c>
      <c r="DU51" s="15" t="str">
        <f>AND(Trans!H749,"AAAAADq/Ynw=")</f>
        <v>#VALUE!:noResult:No valid cells found for operation.</v>
      </c>
      <c r="DV51" s="15" t="str">
        <f>#REF!</f>
        <v>#VALUE!:noResult:No valid cells found for operation.</v>
      </c>
      <c r="DW51" s="15" t="str">
        <f>#REF!</f>
        <v>#VALUE!:noResult:No valid cells found for operation.</v>
      </c>
      <c r="DX51" s="15" t="str">
        <f>#REF!</f>
        <v>#VALUE!:noResult:No valid cells found for operation.</v>
      </c>
      <c r="DY51" s="15" t="str">
        <f>#REF!</f>
        <v>#VALUE!:noResult:No valid cells found for operation.</v>
      </c>
      <c r="DZ51" s="15" t="str">
        <f>#REF!</f>
        <v>#VALUE!:noResult:No valid cells found for operation.</v>
      </c>
      <c r="EA51" s="15" t="str">
        <f>#REF!</f>
        <v>#VALUE!:noResult:No valid cells found for operation.</v>
      </c>
      <c r="EB51" s="15">
        <f>IF(Trans!R[699],"AAAAADq/YoM=",0)</f>
        <v>0</v>
      </c>
      <c r="EC51" s="15" t="b">
        <f>AND(Trans!A750,"AAAAADq/YoQ=")</f>
        <v>1</v>
      </c>
      <c r="ED51" s="15" t="str">
        <f>AND(Trans!B750,"AAAAADq/YoU=")</f>
        <v>#VALUE!:noResult:No valid cells found for operation.</v>
      </c>
      <c r="EE51" s="15" t="b">
        <f>AND(Trans!C750,"AAAAADq/YoY=")</f>
        <v>1</v>
      </c>
      <c r="EF51" s="15" t="b">
        <f>AND(Trans!D750,"AAAAADq/Yoc=")</f>
        <v>1</v>
      </c>
      <c r="EG51" s="15" t="str">
        <f>AND(Trans!E750,"AAAAADq/Yog=")</f>
        <v>#VALUE!:noResult:No valid cells found for operation.</v>
      </c>
      <c r="EH51" s="15" t="str">
        <f>AND(Trans!F750,"AAAAADq/Yok=")</f>
        <v>#VALUE!:noResult:No valid cells found for operation.</v>
      </c>
      <c r="EI51" s="15" t="str">
        <f>AND(Trans!G750,"AAAAADq/Yoo=")</f>
        <v>#VALUE!:noResult:No valid cells found for operation.</v>
      </c>
      <c r="EJ51" s="15" t="str">
        <f>#REF!</f>
        <v>#VALUE!:noResult:No valid cells found for operation.</v>
      </c>
      <c r="EK51" s="15" t="str">
        <f>AND(Trans!H750,"AAAAADq/Yow=")</f>
        <v>#VALUE!:noResult:No valid cells found for operation.</v>
      </c>
      <c r="EL51" s="15" t="str">
        <f>#REF!</f>
        <v>#VALUE!:noResult:No valid cells found for operation.</v>
      </c>
      <c r="EM51" s="15" t="str">
        <f>#REF!</f>
        <v>#VALUE!:noResult:No valid cells found for operation.</v>
      </c>
      <c r="EN51" s="15" t="str">
        <f>#REF!</f>
        <v>#VALUE!:noResult:No valid cells found for operation.</v>
      </c>
      <c r="EO51" s="15" t="str">
        <f>#REF!</f>
        <v>#VALUE!:noResult:No valid cells found for operation.</v>
      </c>
      <c r="EP51" s="15" t="str">
        <f>#REF!</f>
        <v>#VALUE!:noResult:No valid cells found for operation.</v>
      </c>
      <c r="EQ51" s="15" t="str">
        <f>#REF!</f>
        <v>#VALUE!:noResult:No valid cells found for operation.</v>
      </c>
      <c r="ER51" s="15">
        <f>IF(Trans!R[700],"AAAAADq/YpM=",0)</f>
        <v>0</v>
      </c>
      <c r="ES51" s="15" t="b">
        <f>AND(Trans!A751,"AAAAADq/YpQ=")</f>
        <v>1</v>
      </c>
      <c r="ET51" s="15" t="str">
        <f>AND(Trans!B751,"AAAAADq/YpU=")</f>
        <v>#VALUE!:noResult:No valid cells found for operation.</v>
      </c>
      <c r="EU51" s="15" t="b">
        <f>AND(Trans!C751,"AAAAADq/YpY=")</f>
        <v>1</v>
      </c>
      <c r="EV51" s="15" t="b">
        <f>AND(Trans!D751,"AAAAADq/Ypc=")</f>
        <v>1</v>
      </c>
      <c r="EW51" s="15" t="str">
        <f>AND(Trans!E751,"AAAAADq/Ypg=")</f>
        <v>#VALUE!:noResult:No valid cells found for operation.</v>
      </c>
      <c r="EX51" s="15" t="str">
        <f>AND(Trans!F751,"AAAAADq/Ypk=")</f>
        <v>#VALUE!:noResult:No valid cells found for operation.</v>
      </c>
      <c r="EY51" s="15" t="str">
        <f>AND(Trans!G751,"AAAAADq/Ypo=")</f>
        <v>#VALUE!:noResult:No valid cells found for operation.</v>
      </c>
      <c r="EZ51" s="15" t="str">
        <f>#REF!</f>
        <v>#VALUE!:noResult:No valid cells found for operation.</v>
      </c>
      <c r="FA51" s="15" t="str">
        <f>AND(Trans!H751,"AAAAADq/Ypw=")</f>
        <v>#VALUE!:noResult:No valid cells found for operation.</v>
      </c>
      <c r="FB51" s="15" t="str">
        <f>#REF!</f>
        <v>#VALUE!:noResult:No valid cells found for operation.</v>
      </c>
      <c r="FC51" s="15" t="str">
        <f>#REF!</f>
        <v>#VALUE!:noResult:No valid cells found for operation.</v>
      </c>
      <c r="FD51" s="15" t="str">
        <f>#REF!</f>
        <v>#VALUE!:noResult:No valid cells found for operation.</v>
      </c>
      <c r="FE51" s="15" t="str">
        <f>#REF!</f>
        <v>#VALUE!:noResult:No valid cells found for operation.</v>
      </c>
      <c r="FF51" s="15" t="str">
        <f>#REF!</f>
        <v>#VALUE!:noResult:No valid cells found for operation.</v>
      </c>
      <c r="FG51" s="15" t="str">
        <f>#REF!</f>
        <v>#VALUE!:noResult:No valid cells found for operation.</v>
      </c>
      <c r="FH51" s="15">
        <f>IF(Trans!R[701],"AAAAADq/YqM=",0)</f>
        <v>0</v>
      </c>
      <c r="FI51" s="15" t="b">
        <f>AND(Trans!A752,"AAAAADq/YqQ=")</f>
        <v>1</v>
      </c>
      <c r="FJ51" s="15" t="str">
        <f>AND(Trans!B752,"AAAAADq/YqU=")</f>
        <v>#VALUE!:noResult:No valid cells found for operation.</v>
      </c>
      <c r="FK51" s="15" t="b">
        <f>AND(Trans!C752,"AAAAADq/YqY=")</f>
        <v>1</v>
      </c>
      <c r="FL51" s="15" t="b">
        <f>AND(Trans!D752,"AAAAADq/Yqc=")</f>
        <v>1</v>
      </c>
      <c r="FM51" s="15" t="str">
        <f>AND(Trans!E752,"AAAAADq/Yqg=")</f>
        <v>#VALUE!:noResult:No valid cells found for operation.</v>
      </c>
      <c r="FN51" s="15" t="str">
        <f>AND(Trans!F752,"AAAAADq/Yqk=")</f>
        <v>#VALUE!:noResult:No valid cells found for operation.</v>
      </c>
      <c r="FO51" s="15" t="str">
        <f>AND(Trans!G752,"AAAAADq/Yqo=")</f>
        <v>#VALUE!:noResult:No valid cells found for operation.</v>
      </c>
      <c r="FP51" s="15" t="str">
        <f>#REF!</f>
        <v>#VALUE!:noResult:No valid cells found for operation.</v>
      </c>
      <c r="FQ51" s="15" t="str">
        <f>AND(Trans!H752,"AAAAADq/Yqw=")</f>
        <v>#VALUE!:noResult:No valid cells found for operation.</v>
      </c>
      <c r="FR51" s="15" t="str">
        <f>#REF!</f>
        <v>#VALUE!:noResult:No valid cells found for operation.</v>
      </c>
      <c r="FS51" s="15" t="str">
        <f>#REF!</f>
        <v>#VALUE!:noResult:No valid cells found for operation.</v>
      </c>
      <c r="FT51" s="15" t="str">
        <f>#REF!</f>
        <v>#VALUE!:noResult:No valid cells found for operation.</v>
      </c>
      <c r="FU51" s="15" t="str">
        <f>#REF!</f>
        <v>#VALUE!:noResult:No valid cells found for operation.</v>
      </c>
      <c r="FV51" s="15" t="str">
        <f>#REF!</f>
        <v>#VALUE!:noResult:No valid cells found for operation.</v>
      </c>
      <c r="FW51" s="15" t="str">
        <f>#REF!</f>
        <v>#VALUE!:noResult:No valid cells found for operation.</v>
      </c>
      <c r="FX51" s="15">
        <f>IF(Trans!R[702],"AAAAADq/YrM=",0)</f>
        <v>0</v>
      </c>
      <c r="FY51" s="15" t="b">
        <f>AND(Trans!A753,"AAAAADq/YrQ=")</f>
        <v>1</v>
      </c>
      <c r="FZ51" s="15" t="str">
        <f>AND(Trans!B753,"AAAAADq/YrU=")</f>
        <v>#VALUE!:noResult:No valid cells found for operation.</v>
      </c>
      <c r="GA51" s="15" t="b">
        <f>AND(Trans!C753,"AAAAADq/YrY=")</f>
        <v>1</v>
      </c>
      <c r="GB51" s="15" t="b">
        <f>AND(Trans!D753,"AAAAADq/Yrc=")</f>
        <v>1</v>
      </c>
      <c r="GC51" s="15" t="str">
        <f>AND(Trans!E753,"AAAAADq/Yrg=")</f>
        <v>#VALUE!:noResult:No valid cells found for operation.</v>
      </c>
      <c r="GD51" s="15" t="str">
        <f>AND(Trans!F753,"AAAAADq/Yrk=")</f>
        <v>#VALUE!:noResult:No valid cells found for operation.</v>
      </c>
      <c r="GE51" s="15" t="str">
        <f>AND(Trans!G753,"AAAAADq/Yro=")</f>
        <v>#VALUE!:noResult:No valid cells found for operation.</v>
      </c>
      <c r="GF51" s="15" t="str">
        <f>#REF!</f>
        <v>#VALUE!:noResult:No valid cells found for operation.</v>
      </c>
      <c r="GG51" s="15" t="str">
        <f>AND(Trans!H753,"AAAAADq/Yrw=")</f>
        <v>#VALUE!:noResult:No valid cells found for operation.</v>
      </c>
      <c r="GH51" s="15" t="str">
        <f>#REF!</f>
        <v>#VALUE!:noResult:No valid cells found for operation.</v>
      </c>
      <c r="GI51" s="15" t="str">
        <f>#REF!</f>
        <v>#VALUE!:noResult:No valid cells found for operation.</v>
      </c>
      <c r="GJ51" s="15" t="str">
        <f>#REF!</f>
        <v>#VALUE!:noResult:No valid cells found for operation.</v>
      </c>
      <c r="GK51" s="15" t="str">
        <f>#REF!</f>
        <v>#VALUE!:noResult:No valid cells found for operation.</v>
      </c>
      <c r="GL51" s="15" t="str">
        <f>#REF!</f>
        <v>#VALUE!:noResult:No valid cells found for operation.</v>
      </c>
      <c r="GM51" s="15" t="str">
        <f>#REF!</f>
        <v>#VALUE!:noResult:No valid cells found for operation.</v>
      </c>
      <c r="GN51" s="15">
        <f>IF(Trans!R[703],"AAAAADq/YsM=",0)</f>
        <v>0</v>
      </c>
      <c r="GO51" s="15" t="b">
        <f>AND(Trans!A754,"AAAAADq/YsQ=")</f>
        <v>1</v>
      </c>
      <c r="GP51" s="15" t="str">
        <f>AND(Trans!B754,"AAAAADq/YsU=")</f>
        <v>#VALUE!:noResult:No valid cells found for operation.</v>
      </c>
      <c r="GQ51" s="15" t="b">
        <f>AND(Trans!C754,"AAAAADq/YsY=")</f>
        <v>1</v>
      </c>
      <c r="GR51" s="15" t="b">
        <f>AND(Trans!D754,"AAAAADq/Ysc=")</f>
        <v>1</v>
      </c>
      <c r="GS51" s="15" t="str">
        <f>AND(Trans!E754,"AAAAADq/Ysg=")</f>
        <v>#VALUE!:noResult:No valid cells found for operation.</v>
      </c>
      <c r="GT51" s="15" t="str">
        <f>AND(Trans!F754,"AAAAADq/Ysk=")</f>
        <v>#VALUE!:noResult:No valid cells found for operation.</v>
      </c>
      <c r="GU51" s="15" t="str">
        <f>AND(Trans!G754,"AAAAADq/Yso=")</f>
        <v>#VALUE!:noResult:No valid cells found for operation.</v>
      </c>
      <c r="GV51" s="15" t="str">
        <f>#REF!</f>
        <v>#VALUE!:noResult:No valid cells found for operation.</v>
      </c>
      <c r="GW51" s="15" t="str">
        <f>AND(Trans!H754,"AAAAADq/Ysw=")</f>
        <v>#VALUE!:noResult:No valid cells found for operation.</v>
      </c>
      <c r="GX51" s="15" t="str">
        <f>#REF!</f>
        <v>#VALUE!:noResult:No valid cells found for operation.</v>
      </c>
      <c r="GY51" s="15" t="str">
        <f>#REF!</f>
        <v>#VALUE!:noResult:No valid cells found for operation.</v>
      </c>
      <c r="GZ51" s="15" t="str">
        <f>#REF!</f>
        <v>#VALUE!:noResult:No valid cells found for operation.</v>
      </c>
      <c r="HA51" s="15" t="str">
        <f>#REF!</f>
        <v>#VALUE!:noResult:No valid cells found for operation.</v>
      </c>
      <c r="HB51" s="15" t="str">
        <f>#REF!</f>
        <v>#VALUE!:noResult:No valid cells found for operation.</v>
      </c>
      <c r="HC51" s="15" t="str">
        <f>#REF!</f>
        <v>#VALUE!:noResult:No valid cells found for operation.</v>
      </c>
      <c r="HD51" s="15">
        <f>IF(Trans!R[704],"AAAAADq/YtM=",0)</f>
        <v>0</v>
      </c>
      <c r="HE51" s="15" t="b">
        <f>AND(Trans!A755,"AAAAADq/YtQ=")</f>
        <v>1</v>
      </c>
      <c r="HF51" s="15" t="str">
        <f>AND(Trans!B755,"AAAAADq/YtU=")</f>
        <v>#VALUE!:noResult:No valid cells found for operation.</v>
      </c>
      <c r="HG51" s="15" t="b">
        <f>AND(Trans!C755,"AAAAADq/YtY=")</f>
        <v>1</v>
      </c>
      <c r="HH51" s="15" t="b">
        <f>AND(Trans!D755,"AAAAADq/Ytc=")</f>
        <v>1</v>
      </c>
      <c r="HI51" s="15" t="str">
        <f>AND(Trans!E755,"AAAAADq/Ytg=")</f>
        <v>#VALUE!:noResult:No valid cells found for operation.</v>
      </c>
      <c r="HJ51" s="15" t="str">
        <f>AND(Trans!F755,"AAAAADq/Ytk=")</f>
        <v>#VALUE!:noResult:No valid cells found for operation.</v>
      </c>
      <c r="HK51" s="15" t="str">
        <f>AND(Trans!G755,"AAAAADq/Yto=")</f>
        <v>#VALUE!:noResult:No valid cells found for operation.</v>
      </c>
      <c r="HL51" s="15" t="str">
        <f>#REF!</f>
        <v>#VALUE!:noResult:No valid cells found for operation.</v>
      </c>
      <c r="HM51" s="15" t="str">
        <f>AND(Trans!H755,"AAAAADq/Ytw=")</f>
        <v>#VALUE!:noResult:No valid cells found for operation.</v>
      </c>
      <c r="HN51" s="15" t="str">
        <f>#REF!</f>
        <v>#VALUE!:noResult:No valid cells found for operation.</v>
      </c>
      <c r="HO51" s="15" t="str">
        <f>#REF!</f>
        <v>#VALUE!:noResult:No valid cells found for operation.</v>
      </c>
      <c r="HP51" s="15" t="str">
        <f>#REF!</f>
        <v>#VALUE!:noResult:No valid cells found for operation.</v>
      </c>
      <c r="HQ51" s="15" t="str">
        <f>#REF!</f>
        <v>#VALUE!:noResult:No valid cells found for operation.</v>
      </c>
      <c r="HR51" s="15" t="str">
        <f>#REF!</f>
        <v>#VALUE!:noResult:No valid cells found for operation.</v>
      </c>
      <c r="HS51" s="15" t="str">
        <f>#REF!</f>
        <v>#VALUE!:noResult:No valid cells found for operation.</v>
      </c>
      <c r="HT51" s="15">
        <f>IF(Trans!R[705],"AAAAADq/YuM=",0)</f>
        <v>0</v>
      </c>
      <c r="HU51" s="15" t="b">
        <f>AND(Trans!A756,"AAAAADq/YuQ=")</f>
        <v>1</v>
      </c>
      <c r="HV51" s="15" t="str">
        <f>AND(Trans!B756,"AAAAADq/YuU=")</f>
        <v>#VALUE!:noResult:No valid cells found for operation.</v>
      </c>
      <c r="HW51" s="15" t="b">
        <f>AND(Trans!C756,"AAAAADq/YuY=")</f>
        <v>1</v>
      </c>
      <c r="HX51" s="15" t="b">
        <f>AND(Trans!D756,"AAAAADq/Yuc=")</f>
        <v>1</v>
      </c>
      <c r="HY51" s="15" t="str">
        <f>AND(Trans!E756,"AAAAADq/Yug=")</f>
        <v>#VALUE!:noResult:No valid cells found for operation.</v>
      </c>
      <c r="HZ51" s="15" t="str">
        <f>AND(Trans!F756,"AAAAADq/Yuk=")</f>
        <v>#VALUE!:noResult:No valid cells found for operation.</v>
      </c>
      <c r="IA51" s="15" t="str">
        <f>AND(Trans!G756,"AAAAADq/Yuo=")</f>
        <v>#VALUE!:noResult:No valid cells found for operation.</v>
      </c>
      <c r="IB51" s="15" t="str">
        <f>#REF!</f>
        <v>#VALUE!:noResult:No valid cells found for operation.</v>
      </c>
      <c r="IC51" s="15" t="str">
        <f>AND(Trans!H756,"AAAAADq/Yuw=")</f>
        <v>#VALUE!:noResult:No valid cells found for operation.</v>
      </c>
      <c r="ID51" s="15" t="str">
        <f>#REF!</f>
        <v>#VALUE!:noResult:No valid cells found for operation.</v>
      </c>
      <c r="IE51" s="15" t="str">
        <f>#REF!</f>
        <v>#VALUE!:noResult:No valid cells found for operation.</v>
      </c>
      <c r="IF51" s="15" t="str">
        <f>#REF!</f>
        <v>#VALUE!:noResult:No valid cells found for operation.</v>
      </c>
      <c r="IG51" s="15" t="str">
        <f>#REF!</f>
        <v>#VALUE!:noResult:No valid cells found for operation.</v>
      </c>
      <c r="IH51" s="15" t="str">
        <f>#REF!</f>
        <v>#VALUE!:noResult:No valid cells found for operation.</v>
      </c>
      <c r="II51" s="15" t="str">
        <f>#REF!</f>
        <v>#VALUE!:noResult:No valid cells found for operation.</v>
      </c>
      <c r="IJ51" s="15">
        <f>IF(Trans!R[706],"AAAAADq/YvM=",0)</f>
        <v>0</v>
      </c>
      <c r="IK51" s="15" t="b">
        <f>AND(Trans!A757,"AAAAADq/YvQ=")</f>
        <v>1</v>
      </c>
      <c r="IL51" s="15" t="str">
        <f>AND(Trans!B757,"AAAAADq/YvU=")</f>
        <v>#VALUE!:noResult:No valid cells found for operation.</v>
      </c>
      <c r="IM51" s="15" t="b">
        <f>AND(Trans!C757,"AAAAADq/YvY=")</f>
        <v>1</v>
      </c>
      <c r="IN51" s="15" t="b">
        <f>AND(Trans!D757,"AAAAADq/Yvc=")</f>
        <v>1</v>
      </c>
      <c r="IO51" s="15" t="str">
        <f>AND(Trans!E757,"AAAAADq/Yvg=")</f>
        <v>#VALUE!:noResult:No valid cells found for operation.</v>
      </c>
      <c r="IP51" s="15" t="str">
        <f>AND(Trans!F757,"AAAAADq/Yvk=")</f>
        <v>#VALUE!:noResult:No valid cells found for operation.</v>
      </c>
      <c r="IQ51" s="15" t="str">
        <f>AND(Trans!G757,"AAAAADq/Yvo=")</f>
        <v>#VALUE!:noResult:No valid cells found for operation.</v>
      </c>
      <c r="IR51" s="15" t="str">
        <f>#REF!</f>
        <v>#VALUE!:noResult:No valid cells found for operation.</v>
      </c>
      <c r="IS51" s="15" t="str">
        <f>AND(Trans!H757,"AAAAADq/Yvw=")</f>
        <v>#VALUE!:noResult:No valid cells found for operation.</v>
      </c>
      <c r="IT51" s="15" t="str">
        <f>#REF!</f>
        <v>#VALUE!:noResult:No valid cells found for operation.</v>
      </c>
      <c r="IU51" s="15" t="str">
        <f>#REF!</f>
        <v>#VALUE!:noResult:No valid cells found for operation.</v>
      </c>
      <c r="IV51" s="15" t="str">
        <f>#REF!</f>
        <v>#VALUE!:noResult:No valid cells found for operation.</v>
      </c>
    </row>
    <row r="52">
      <c r="A52" s="15" t="str">
        <f>#REF!</f>
        <v>#VALUE!:noResult:No valid cells found for operation.</v>
      </c>
      <c r="B52" s="15" t="str">
        <f>#REF!</f>
        <v>#VALUE!:noResult:No valid cells found for operation.</v>
      </c>
      <c r="C52" s="15" t="str">
        <f>#REF!</f>
        <v>#VALUE!:noResult:No valid cells found for operation.</v>
      </c>
      <c r="D52" s="15" t="str">
        <f>IF(Trans!R[706],"AAAAAH026QM=",0)</f>
        <v>AAAAAH026QM=</v>
      </c>
      <c r="E52" s="15" t="b">
        <f>AND(Trans!A758,"AAAAAH026QQ=")</f>
        <v>1</v>
      </c>
      <c r="F52" s="15" t="str">
        <f>AND(Trans!B758,"AAAAAH026QU=")</f>
        <v>#VALUE!:noResult:No valid cells found for operation.</v>
      </c>
      <c r="G52" s="15" t="b">
        <f>AND(Trans!C758,"AAAAAH026QY=")</f>
        <v>1</v>
      </c>
      <c r="H52" s="15" t="b">
        <f>AND(Trans!D758,"AAAAAH026Qc=")</f>
        <v>1</v>
      </c>
      <c r="I52" s="15" t="str">
        <f>AND(Trans!E758,"AAAAAH026Qg=")</f>
        <v>#VALUE!:noResult:No valid cells found for operation.</v>
      </c>
      <c r="J52" s="15" t="str">
        <f>AND(Trans!F758,"AAAAAH026Qk=")</f>
        <v>#VALUE!:noResult:No valid cells found for operation.</v>
      </c>
      <c r="K52" s="15" t="str">
        <f>AND(Trans!G758,"AAAAAH026Qo=")</f>
        <v>#VALUE!:noResult:No valid cells found for operation.</v>
      </c>
      <c r="L52" s="15" t="str">
        <f>#REF!</f>
        <v>#VALUE!:noResult:No valid cells found for operation.</v>
      </c>
      <c r="M52" s="15" t="str">
        <f>AND(Trans!H758,"AAAAAH026Qw=")</f>
        <v>#VALUE!:noResult:No valid cells found for operation.</v>
      </c>
      <c r="N52" s="15" t="str">
        <f>#REF!</f>
        <v>#VALUE!:noResult:No valid cells found for operation.</v>
      </c>
      <c r="O52" s="15" t="str">
        <f>#REF!</f>
        <v>#VALUE!:noResult:No valid cells found for operation.</v>
      </c>
      <c r="P52" s="15" t="str">
        <f>#REF!</f>
        <v>#VALUE!:noResult:No valid cells found for operation.</v>
      </c>
      <c r="Q52" s="15" t="str">
        <f>#REF!</f>
        <v>#VALUE!:noResult:No valid cells found for operation.</v>
      </c>
      <c r="R52" s="15" t="str">
        <f>#REF!</f>
        <v>#VALUE!:noResult:No valid cells found for operation.</v>
      </c>
      <c r="S52" s="15" t="str">
        <f>#REF!</f>
        <v>#VALUE!:noResult:No valid cells found for operation.</v>
      </c>
      <c r="T52" s="15">
        <f>IF(Trans!R[707],"AAAAAH026RM=",0)</f>
        <v>0</v>
      </c>
      <c r="U52" s="15" t="b">
        <f>AND(Trans!A759,"AAAAAH026RQ=")</f>
        <v>1</v>
      </c>
      <c r="V52" s="15" t="str">
        <f>AND(Trans!B759,"AAAAAH026RU=")</f>
        <v>#VALUE!:noResult:No valid cells found for operation.</v>
      </c>
      <c r="W52" s="15" t="b">
        <f>AND(Trans!C759,"AAAAAH026RY=")</f>
        <v>1</v>
      </c>
      <c r="X52" s="15" t="b">
        <f>AND(Trans!D759,"AAAAAH026Rc=")</f>
        <v>1</v>
      </c>
      <c r="Y52" s="15" t="str">
        <f>AND(Trans!E759,"AAAAAH026Rg=")</f>
        <v>#VALUE!:noResult:No valid cells found for operation.</v>
      </c>
      <c r="Z52" s="15" t="str">
        <f>AND(Trans!F759,"AAAAAH026Rk=")</f>
        <v>#VALUE!:noResult:No valid cells found for operation.</v>
      </c>
      <c r="AA52" s="15" t="str">
        <f>AND(Trans!G759,"AAAAAH026Ro=")</f>
        <v>#VALUE!:noResult:No valid cells found for operation.</v>
      </c>
      <c r="AB52" s="15" t="str">
        <f>#REF!</f>
        <v>#VALUE!:noResult:No valid cells found for operation.</v>
      </c>
      <c r="AC52" s="15" t="str">
        <f>AND(Trans!H759,"AAAAAH026Rw=")</f>
        <v>#VALUE!:noResult:No valid cells found for operation.</v>
      </c>
      <c r="AD52" s="15" t="str">
        <f>#REF!</f>
        <v>#VALUE!:noResult:No valid cells found for operation.</v>
      </c>
      <c r="AE52" s="15" t="str">
        <f>#REF!</f>
        <v>#VALUE!:noResult:No valid cells found for operation.</v>
      </c>
      <c r="AF52" s="15" t="str">
        <f>#REF!</f>
        <v>#VALUE!:noResult:No valid cells found for operation.</v>
      </c>
      <c r="AG52" s="15" t="str">
        <f>#REF!</f>
        <v>#VALUE!:noResult:No valid cells found for operation.</v>
      </c>
      <c r="AH52" s="15" t="str">
        <f>#REF!</f>
        <v>#VALUE!:noResult:No valid cells found for operation.</v>
      </c>
      <c r="AI52" s="15" t="str">
        <f>#REF!</f>
        <v>#VALUE!:noResult:No valid cells found for operation.</v>
      </c>
      <c r="AJ52" s="15">
        <f>IF(Trans!R[708],"AAAAAH026SM=",0)</f>
        <v>0</v>
      </c>
      <c r="AK52" s="15" t="b">
        <f>AND(Trans!A760,"AAAAAH026SQ=")</f>
        <v>1</v>
      </c>
      <c r="AL52" s="15" t="str">
        <f>AND(Trans!B760,"AAAAAH026SU=")</f>
        <v>#VALUE!:noResult:No valid cells found for operation.</v>
      </c>
      <c r="AM52" s="15" t="b">
        <f>AND(Trans!C760,"AAAAAH026SY=")</f>
        <v>1</v>
      </c>
      <c r="AN52" s="15" t="b">
        <f>AND(Trans!D760,"AAAAAH026Sc=")</f>
        <v>1</v>
      </c>
      <c r="AO52" s="15" t="str">
        <f>AND(Trans!E760,"AAAAAH026Sg=")</f>
        <v>#VALUE!:noResult:No valid cells found for operation.</v>
      </c>
      <c r="AP52" s="15" t="str">
        <f>AND(Trans!F760,"AAAAAH026Sk=")</f>
        <v>#VALUE!:noResult:No valid cells found for operation.</v>
      </c>
      <c r="AQ52" s="15" t="str">
        <f>AND(Trans!G760,"AAAAAH026So=")</f>
        <v>#VALUE!:noResult:No valid cells found for operation.</v>
      </c>
      <c r="AR52" s="15" t="str">
        <f>#REF!</f>
        <v>#VALUE!:noResult:No valid cells found for operation.</v>
      </c>
      <c r="AS52" s="15" t="str">
        <f>AND(Trans!H760,"AAAAAH026Sw=")</f>
        <v>#VALUE!:noResult:No valid cells found for operation.</v>
      </c>
      <c r="AT52" s="15" t="str">
        <f>#REF!</f>
        <v>#VALUE!:noResult:No valid cells found for operation.</v>
      </c>
      <c r="AU52" s="15" t="str">
        <f>#REF!</f>
        <v>#VALUE!:noResult:No valid cells found for operation.</v>
      </c>
      <c r="AV52" s="15" t="str">
        <f>#REF!</f>
        <v>#VALUE!:noResult:No valid cells found for operation.</v>
      </c>
      <c r="AW52" s="15" t="str">
        <f>#REF!</f>
        <v>#VALUE!:noResult:No valid cells found for operation.</v>
      </c>
      <c r="AX52" s="15" t="str">
        <f>#REF!</f>
        <v>#VALUE!:noResult:No valid cells found for operation.</v>
      </c>
      <c r="AY52" s="15" t="str">
        <f>#REF!</f>
        <v>#VALUE!:noResult:No valid cells found for operation.</v>
      </c>
      <c r="AZ52" s="15">
        <f>IF(Trans!R[709],"AAAAAH026TM=",0)</f>
        <v>0</v>
      </c>
      <c r="BA52" s="15" t="b">
        <f>AND(Trans!A761,"AAAAAH026TQ=")</f>
        <v>1</v>
      </c>
      <c r="BB52" s="15" t="str">
        <f>AND(Trans!B761,"AAAAAH026TU=")</f>
        <v>#VALUE!:noResult:No valid cells found for operation.</v>
      </c>
      <c r="BC52" s="15" t="b">
        <f>AND(Trans!C761,"AAAAAH026TY=")</f>
        <v>1</v>
      </c>
      <c r="BD52" s="15" t="b">
        <f>AND(Trans!D761,"AAAAAH026Tc=")</f>
        <v>1</v>
      </c>
      <c r="BE52" s="15" t="str">
        <f>AND(Trans!E761,"AAAAAH026Tg=")</f>
        <v>#VALUE!:noResult:No valid cells found for operation.</v>
      </c>
      <c r="BF52" s="15" t="str">
        <f>AND(Trans!F761,"AAAAAH026Tk=")</f>
        <v>#VALUE!:noResult:No valid cells found for operation.</v>
      </c>
      <c r="BG52" s="15" t="str">
        <f>AND(Trans!G761,"AAAAAH026To=")</f>
        <v>#VALUE!:noResult:No valid cells found for operation.</v>
      </c>
      <c r="BH52" s="15" t="str">
        <f>#REF!</f>
        <v>#VALUE!:noResult:No valid cells found for operation.</v>
      </c>
      <c r="BI52" s="15" t="str">
        <f>AND(Trans!H761,"AAAAAH026Tw=")</f>
        <v>#VALUE!:noResult:No valid cells found for operation.</v>
      </c>
      <c r="BJ52" s="15" t="str">
        <f>#REF!</f>
        <v>#VALUE!:noResult:No valid cells found for operation.</v>
      </c>
      <c r="BK52" s="15" t="str">
        <f>#REF!</f>
        <v>#VALUE!:noResult:No valid cells found for operation.</v>
      </c>
      <c r="BL52" s="15" t="str">
        <f>#REF!</f>
        <v>#VALUE!:noResult:No valid cells found for operation.</v>
      </c>
      <c r="BM52" s="15" t="str">
        <f>#REF!</f>
        <v>#VALUE!:noResult:No valid cells found for operation.</v>
      </c>
      <c r="BN52" s="15" t="str">
        <f>#REF!</f>
        <v>#VALUE!:noResult:No valid cells found for operation.</v>
      </c>
      <c r="BO52" s="15" t="str">
        <f>#REF!</f>
        <v>#VALUE!:noResult:No valid cells found for operation.</v>
      </c>
      <c r="BP52" s="15">
        <f>IF(Trans!R[710],"AAAAAH026UM=",0)</f>
        <v>0</v>
      </c>
      <c r="BQ52" s="15" t="b">
        <f>AND(Trans!A762,"AAAAAH026UQ=")</f>
        <v>1</v>
      </c>
      <c r="BR52" s="15" t="str">
        <f>AND(Trans!B762,"AAAAAH026UU=")</f>
        <v>#VALUE!:noResult:No valid cells found for operation.</v>
      </c>
      <c r="BS52" s="15" t="b">
        <f>AND(Trans!C762,"AAAAAH026UY=")</f>
        <v>1</v>
      </c>
      <c r="BT52" s="15" t="b">
        <f>AND(Trans!D762,"AAAAAH026Uc=")</f>
        <v>1</v>
      </c>
      <c r="BU52" s="15" t="str">
        <f>AND(Trans!E762,"AAAAAH026Ug=")</f>
        <v>#VALUE!:noResult:No valid cells found for operation.</v>
      </c>
      <c r="BV52" s="15" t="str">
        <f>AND(Trans!F762,"AAAAAH026Uk=")</f>
        <v>#VALUE!:noResult:No valid cells found for operation.</v>
      </c>
      <c r="BW52" s="15" t="str">
        <f>AND(Trans!G762,"AAAAAH026Uo=")</f>
        <v>#VALUE!:noResult:No valid cells found for operation.</v>
      </c>
      <c r="BX52" s="15" t="str">
        <f>#REF!</f>
        <v>#VALUE!:noResult:No valid cells found for operation.</v>
      </c>
      <c r="BY52" s="15" t="str">
        <f>AND(Trans!H762,"AAAAAH026Uw=")</f>
        <v>#VALUE!:noResult:No valid cells found for operation.</v>
      </c>
      <c r="BZ52" s="15" t="str">
        <f>#REF!</f>
        <v>#VALUE!:noResult:No valid cells found for operation.</v>
      </c>
      <c r="CA52" s="15" t="str">
        <f>#REF!</f>
        <v>#VALUE!:noResult:No valid cells found for operation.</v>
      </c>
      <c r="CB52" s="15" t="str">
        <f>#REF!</f>
        <v>#VALUE!:noResult:No valid cells found for operation.</v>
      </c>
      <c r="CC52" s="15" t="str">
        <f>#REF!</f>
        <v>#VALUE!:noResult:No valid cells found for operation.</v>
      </c>
      <c r="CD52" s="15" t="str">
        <f>#REF!</f>
        <v>#VALUE!:noResult:No valid cells found for operation.</v>
      </c>
      <c r="CE52" s="15" t="str">
        <f>#REF!</f>
        <v>#VALUE!:noResult:No valid cells found for operation.</v>
      </c>
      <c r="CF52" s="15">
        <f>IF(Trans!R[711],"AAAAAH026VM=",0)</f>
        <v>0</v>
      </c>
      <c r="CG52" s="15" t="b">
        <f>AND(Trans!A763,"AAAAAH026VQ=")</f>
        <v>1</v>
      </c>
      <c r="CH52" s="15" t="str">
        <f>AND(Trans!B763,"AAAAAH026VU=")</f>
        <v>#VALUE!:noResult:No valid cells found for operation.</v>
      </c>
      <c r="CI52" s="15" t="b">
        <f>AND(Trans!C763,"AAAAAH026VY=")</f>
        <v>1</v>
      </c>
      <c r="CJ52" s="15" t="b">
        <f>AND(Trans!D763,"AAAAAH026Vc=")</f>
        <v>1</v>
      </c>
      <c r="CK52" s="15" t="str">
        <f>AND(Trans!E763,"AAAAAH026Vg=")</f>
        <v>#VALUE!:noResult:No valid cells found for operation.</v>
      </c>
      <c r="CL52" s="15" t="str">
        <f>AND(Trans!F763,"AAAAAH026Vk=")</f>
        <v>#VALUE!:noResult:No valid cells found for operation.</v>
      </c>
      <c r="CM52" s="15" t="str">
        <f>AND(Trans!G763,"AAAAAH026Vo=")</f>
        <v>#VALUE!:noResult:No valid cells found for operation.</v>
      </c>
      <c r="CN52" s="15" t="str">
        <f>#REF!</f>
        <v>#VALUE!:noResult:No valid cells found for operation.</v>
      </c>
      <c r="CO52" s="15" t="str">
        <f>AND(Trans!H763,"AAAAAH026Vw=")</f>
        <v>#VALUE!:noResult:No valid cells found for operation.</v>
      </c>
      <c r="CP52" s="15" t="str">
        <f>#REF!</f>
        <v>#VALUE!:noResult:No valid cells found for operation.</v>
      </c>
      <c r="CQ52" s="15" t="str">
        <f>#REF!</f>
        <v>#VALUE!:noResult:No valid cells found for operation.</v>
      </c>
      <c r="CR52" s="15" t="str">
        <f>#REF!</f>
        <v>#VALUE!:noResult:No valid cells found for operation.</v>
      </c>
      <c r="CS52" s="15" t="str">
        <f>#REF!</f>
        <v>#VALUE!:noResult:No valid cells found for operation.</v>
      </c>
      <c r="CT52" s="15" t="str">
        <f>#REF!</f>
        <v>#VALUE!:noResult:No valid cells found for operation.</v>
      </c>
      <c r="CU52" s="15" t="str">
        <f>#REF!</f>
        <v>#VALUE!:noResult:No valid cells found for operation.</v>
      </c>
      <c r="CV52" s="15">
        <f>IF(Trans!R[712],"AAAAAH026WM=",0)</f>
        <v>0</v>
      </c>
      <c r="CW52" s="15" t="b">
        <f>AND(Trans!A764,"AAAAAH026WQ=")</f>
        <v>1</v>
      </c>
      <c r="CX52" s="15" t="str">
        <f>AND(Trans!B764,"AAAAAH026WU=")</f>
        <v>#VALUE!:noResult:No valid cells found for operation.</v>
      </c>
      <c r="CY52" s="15" t="b">
        <f>AND(Trans!C764,"AAAAAH026WY=")</f>
        <v>1</v>
      </c>
      <c r="CZ52" s="15" t="b">
        <f>AND(Trans!D764,"AAAAAH026Wc=")</f>
        <v>1</v>
      </c>
      <c r="DA52" s="15" t="str">
        <f>AND(Trans!E764,"AAAAAH026Wg=")</f>
        <v>#VALUE!:noResult:No valid cells found for operation.</v>
      </c>
      <c r="DB52" s="15" t="str">
        <f>AND(Trans!F764,"AAAAAH026Wk=")</f>
        <v>#VALUE!:noResult:No valid cells found for operation.</v>
      </c>
      <c r="DC52" s="15" t="str">
        <f>AND(Trans!G764,"AAAAAH026Wo=")</f>
        <v>#VALUE!:noResult:No valid cells found for operation.</v>
      </c>
      <c r="DD52" s="15" t="str">
        <f>#REF!</f>
        <v>#VALUE!:noResult:No valid cells found for operation.</v>
      </c>
      <c r="DE52" s="15" t="str">
        <f>AND(Trans!H764,"AAAAAH026Ww=")</f>
        <v>#VALUE!:noResult:No valid cells found for operation.</v>
      </c>
      <c r="DF52" s="15" t="str">
        <f>#REF!</f>
        <v>#VALUE!:noResult:No valid cells found for operation.</v>
      </c>
      <c r="DG52" s="15" t="str">
        <f>#REF!</f>
        <v>#VALUE!:noResult:No valid cells found for operation.</v>
      </c>
      <c r="DH52" s="15" t="str">
        <f>#REF!</f>
        <v>#VALUE!:noResult:No valid cells found for operation.</v>
      </c>
      <c r="DI52" s="15" t="str">
        <f>#REF!</f>
        <v>#VALUE!:noResult:No valid cells found for operation.</v>
      </c>
      <c r="DJ52" s="15" t="str">
        <f>#REF!</f>
        <v>#VALUE!:noResult:No valid cells found for operation.</v>
      </c>
      <c r="DK52" s="15" t="str">
        <f>#REF!</f>
        <v>#VALUE!:noResult:No valid cells found for operation.</v>
      </c>
      <c r="DL52" s="15">
        <f>IF(Trans!R[713],"AAAAAH026XM=",0)</f>
        <v>0</v>
      </c>
      <c r="DM52" s="15" t="b">
        <f>AND(Trans!A765,"AAAAAH026XQ=")</f>
        <v>1</v>
      </c>
      <c r="DN52" s="15" t="str">
        <f>AND(Trans!B765,"AAAAAH026XU=")</f>
        <v>#VALUE!:noResult:No valid cells found for operation.</v>
      </c>
      <c r="DO52" s="15" t="b">
        <f>AND(Trans!C765,"AAAAAH026XY=")</f>
        <v>1</v>
      </c>
      <c r="DP52" s="15" t="b">
        <f>AND(Trans!D765,"AAAAAH026Xc=")</f>
        <v>1</v>
      </c>
      <c r="DQ52" s="15" t="str">
        <f>AND(Trans!E765,"AAAAAH026Xg=")</f>
        <v>#VALUE!:noResult:No valid cells found for operation.</v>
      </c>
      <c r="DR52" s="15" t="str">
        <f>AND(Trans!F765,"AAAAAH026Xk=")</f>
        <v>#VALUE!:noResult:No valid cells found for operation.</v>
      </c>
      <c r="DS52" s="15" t="str">
        <f>AND(Trans!G765,"AAAAAH026Xo=")</f>
        <v>#VALUE!:noResult:No valid cells found for operation.</v>
      </c>
      <c r="DT52" s="15" t="str">
        <f>#REF!</f>
        <v>#VALUE!:noResult:No valid cells found for operation.</v>
      </c>
      <c r="DU52" s="15" t="str">
        <f>AND(Trans!H765,"AAAAAH026Xw=")</f>
        <v>#VALUE!:noResult:No valid cells found for operation.</v>
      </c>
      <c r="DV52" s="15" t="str">
        <f>#REF!</f>
        <v>#VALUE!:noResult:No valid cells found for operation.</v>
      </c>
      <c r="DW52" s="15" t="str">
        <f>#REF!</f>
        <v>#VALUE!:noResult:No valid cells found for operation.</v>
      </c>
      <c r="DX52" s="15" t="str">
        <f>#REF!</f>
        <v>#VALUE!:noResult:No valid cells found for operation.</v>
      </c>
      <c r="DY52" s="15" t="str">
        <f>#REF!</f>
        <v>#VALUE!:noResult:No valid cells found for operation.</v>
      </c>
      <c r="DZ52" s="15" t="str">
        <f>#REF!</f>
        <v>#VALUE!:noResult:No valid cells found for operation.</v>
      </c>
      <c r="EA52" s="15" t="str">
        <f>#REF!</f>
        <v>#VALUE!:noResult:No valid cells found for operation.</v>
      </c>
      <c r="EB52" s="15">
        <f>IF(Trans!R[714],"AAAAAH026YM=",0)</f>
        <v>0</v>
      </c>
      <c r="EC52" s="15" t="b">
        <f>AND(Trans!A766,"AAAAAH026YQ=")</f>
        <v>1</v>
      </c>
      <c r="ED52" s="15" t="str">
        <f>AND(Trans!B766,"AAAAAH026YU=")</f>
        <v>#VALUE!:noResult:No valid cells found for operation.</v>
      </c>
      <c r="EE52" s="15" t="b">
        <f>AND(Trans!C766,"AAAAAH026YY=")</f>
        <v>1</v>
      </c>
      <c r="EF52" s="15" t="b">
        <f>AND(Trans!D766,"AAAAAH026Yc=")</f>
        <v>1</v>
      </c>
      <c r="EG52" s="15" t="str">
        <f>AND(Trans!E766,"AAAAAH026Yg=")</f>
        <v>#VALUE!:noResult:No valid cells found for operation.</v>
      </c>
      <c r="EH52" s="15" t="str">
        <f>AND(Trans!F766,"AAAAAH026Yk=")</f>
        <v>#VALUE!:noResult:No valid cells found for operation.</v>
      </c>
      <c r="EI52" s="15" t="str">
        <f>AND(Trans!G766,"AAAAAH026Yo=")</f>
        <v>#VALUE!:noResult:No valid cells found for operation.</v>
      </c>
      <c r="EJ52" s="15" t="str">
        <f>#REF!</f>
        <v>#VALUE!:noResult:No valid cells found for operation.</v>
      </c>
      <c r="EK52" s="15" t="str">
        <f>AND(Trans!H766,"AAAAAH026Yw=")</f>
        <v>#VALUE!:noResult:No valid cells found for operation.</v>
      </c>
      <c r="EL52" s="15" t="str">
        <f>#REF!</f>
        <v>#VALUE!:noResult:No valid cells found for operation.</v>
      </c>
      <c r="EM52" s="15" t="str">
        <f>#REF!</f>
        <v>#VALUE!:noResult:No valid cells found for operation.</v>
      </c>
      <c r="EN52" s="15" t="str">
        <f>#REF!</f>
        <v>#VALUE!:noResult:No valid cells found for operation.</v>
      </c>
      <c r="EO52" s="15" t="str">
        <f>#REF!</f>
        <v>#VALUE!:noResult:No valid cells found for operation.</v>
      </c>
      <c r="EP52" s="15" t="str">
        <f>#REF!</f>
        <v>#VALUE!:noResult:No valid cells found for operation.</v>
      </c>
      <c r="EQ52" s="15" t="str">
        <f>#REF!</f>
        <v>#VALUE!:noResult:No valid cells found for operation.</v>
      </c>
      <c r="ER52" s="15">
        <f>IF(Trans!R[715],"AAAAAH026ZM=",0)</f>
        <v>0</v>
      </c>
      <c r="ES52" s="15" t="b">
        <f>AND(Trans!A767,"AAAAAH026ZQ=")</f>
        <v>1</v>
      </c>
      <c r="ET52" s="15" t="str">
        <f>AND(Trans!B767,"AAAAAH026ZU=")</f>
        <v>#VALUE!:noResult:No valid cells found for operation.</v>
      </c>
      <c r="EU52" s="15" t="b">
        <f>AND(Trans!C767,"AAAAAH026ZY=")</f>
        <v>1</v>
      </c>
      <c r="EV52" s="15" t="b">
        <f>AND(Trans!D767,"AAAAAH026Zc=")</f>
        <v>1</v>
      </c>
      <c r="EW52" s="15" t="str">
        <f>AND(Trans!E767,"AAAAAH026Zg=")</f>
        <v>#VALUE!:noResult:No valid cells found for operation.</v>
      </c>
      <c r="EX52" s="15" t="str">
        <f>AND(Trans!F767,"AAAAAH026Zk=")</f>
        <v>#VALUE!:noResult:No valid cells found for operation.</v>
      </c>
      <c r="EY52" s="15" t="str">
        <f>AND(Trans!G767,"AAAAAH026Zo=")</f>
        <v>#VALUE!:noResult:No valid cells found for operation.</v>
      </c>
      <c r="EZ52" s="15" t="str">
        <f>#REF!</f>
        <v>#VALUE!:noResult:No valid cells found for operation.</v>
      </c>
      <c r="FA52" s="15" t="str">
        <f>AND(Trans!H767,"AAAAAH026Zw=")</f>
        <v>#VALUE!:noResult:No valid cells found for operation.</v>
      </c>
      <c r="FB52" s="15" t="str">
        <f>#REF!</f>
        <v>#VALUE!:noResult:No valid cells found for operation.</v>
      </c>
      <c r="FC52" s="15" t="str">
        <f>#REF!</f>
        <v>#VALUE!:noResult:No valid cells found for operation.</v>
      </c>
      <c r="FD52" s="15" t="str">
        <f>#REF!</f>
        <v>#VALUE!:noResult:No valid cells found for operation.</v>
      </c>
      <c r="FE52" s="15" t="str">
        <f>#REF!</f>
        <v>#VALUE!:noResult:No valid cells found for operation.</v>
      </c>
      <c r="FF52" s="15" t="str">
        <f>#REF!</f>
        <v>#VALUE!:noResult:No valid cells found for operation.</v>
      </c>
      <c r="FG52" s="15" t="str">
        <f>#REF!</f>
        <v>#VALUE!:noResult:No valid cells found for operation.</v>
      </c>
      <c r="FH52" s="15">
        <f>IF(Trans!R[716],"AAAAAH026aM=",0)</f>
        <v>0</v>
      </c>
      <c r="FI52" s="15" t="b">
        <f>AND(Trans!A768,"AAAAAH026aQ=")</f>
        <v>1</v>
      </c>
      <c r="FJ52" s="15" t="str">
        <f>AND(Trans!B768,"AAAAAH026aU=")</f>
        <v>#VALUE!:noResult:No valid cells found for operation.</v>
      </c>
      <c r="FK52" s="15" t="b">
        <f>AND(Trans!C768,"AAAAAH026aY=")</f>
        <v>1</v>
      </c>
      <c r="FL52" s="15" t="b">
        <f>AND(Trans!D768,"AAAAAH026ac=")</f>
        <v>1</v>
      </c>
      <c r="FM52" s="15" t="str">
        <f>AND(Trans!E768,"AAAAAH026ag=")</f>
        <v>#VALUE!:noResult:No valid cells found for operation.</v>
      </c>
      <c r="FN52" s="15" t="str">
        <f>AND(Trans!F768,"AAAAAH026ak=")</f>
        <v>#VALUE!:noResult:No valid cells found for operation.</v>
      </c>
      <c r="FO52" s="15" t="str">
        <f>AND(Trans!G768,"AAAAAH026ao=")</f>
        <v>#VALUE!:noResult:No valid cells found for operation.</v>
      </c>
      <c r="FP52" s="15" t="str">
        <f>#REF!</f>
        <v>#VALUE!:noResult:No valid cells found for operation.</v>
      </c>
      <c r="FQ52" s="15" t="str">
        <f>AND(Trans!H768,"AAAAAH026aw=")</f>
        <v>#VALUE!:noResult:No valid cells found for operation.</v>
      </c>
      <c r="FR52" s="15" t="str">
        <f>#REF!</f>
        <v>#VALUE!:noResult:No valid cells found for operation.</v>
      </c>
      <c r="FS52" s="15" t="str">
        <f>#REF!</f>
        <v>#VALUE!:noResult:No valid cells found for operation.</v>
      </c>
      <c r="FT52" s="15" t="str">
        <f>#REF!</f>
        <v>#VALUE!:noResult:No valid cells found for operation.</v>
      </c>
      <c r="FU52" s="15" t="str">
        <f>#REF!</f>
        <v>#VALUE!:noResult:No valid cells found for operation.</v>
      </c>
      <c r="FV52" s="15" t="str">
        <f>#REF!</f>
        <v>#VALUE!:noResult:No valid cells found for operation.</v>
      </c>
      <c r="FW52" s="15" t="str">
        <f>#REF!</f>
        <v>#VALUE!:noResult:No valid cells found for operation.</v>
      </c>
      <c r="FX52" s="15">
        <f>IF(Trans!R[717],"AAAAAH026bM=",0)</f>
        <v>0</v>
      </c>
      <c r="FY52" s="15" t="b">
        <f>AND(Trans!A769,"AAAAAH026bQ=")</f>
        <v>1</v>
      </c>
      <c r="FZ52" s="15" t="str">
        <f>AND(Trans!B769,"AAAAAH026bU=")</f>
        <v>#VALUE!:noResult:No valid cells found for operation.</v>
      </c>
      <c r="GA52" s="15" t="b">
        <f>AND(Trans!C769,"AAAAAH026bY=")</f>
        <v>1</v>
      </c>
      <c r="GB52" s="15" t="b">
        <f>AND(Trans!D769,"AAAAAH026bc=")</f>
        <v>1</v>
      </c>
      <c r="GC52" s="15" t="str">
        <f>AND(Trans!E769,"AAAAAH026bg=")</f>
        <v>#VALUE!:noResult:No valid cells found for operation.</v>
      </c>
      <c r="GD52" s="15" t="str">
        <f>AND(Trans!F769,"AAAAAH026bk=")</f>
        <v>#VALUE!:noResult:No valid cells found for operation.</v>
      </c>
      <c r="GE52" s="15" t="str">
        <f>AND(Trans!G769,"AAAAAH026bo=")</f>
        <v>#VALUE!:noResult:No valid cells found for operation.</v>
      </c>
      <c r="GF52" s="15" t="str">
        <f>#REF!</f>
        <v>#VALUE!:noResult:No valid cells found for operation.</v>
      </c>
      <c r="GG52" s="15" t="str">
        <f>AND(Trans!H769,"AAAAAH026bw=")</f>
        <v>#VALUE!:noResult:No valid cells found for operation.</v>
      </c>
      <c r="GH52" s="15" t="str">
        <f>#REF!</f>
        <v>#VALUE!:noResult:No valid cells found for operation.</v>
      </c>
      <c r="GI52" s="15" t="str">
        <f>#REF!</f>
        <v>#VALUE!:noResult:No valid cells found for operation.</v>
      </c>
      <c r="GJ52" s="15" t="str">
        <f>#REF!</f>
        <v>#VALUE!:noResult:No valid cells found for operation.</v>
      </c>
      <c r="GK52" s="15" t="str">
        <f>#REF!</f>
        <v>#VALUE!:noResult:No valid cells found for operation.</v>
      </c>
      <c r="GL52" s="15" t="str">
        <f>#REF!</f>
        <v>#VALUE!:noResult:No valid cells found for operation.</v>
      </c>
      <c r="GM52" s="15" t="str">
        <f>#REF!</f>
        <v>#VALUE!:noResult:No valid cells found for operation.</v>
      </c>
      <c r="GN52" s="15">
        <f>IF(Trans!R[718],"AAAAAH026cM=",0)</f>
        <v>0</v>
      </c>
      <c r="GO52" s="15" t="b">
        <f>AND(Trans!A770,"AAAAAH026cQ=")</f>
        <v>1</v>
      </c>
      <c r="GP52" s="15" t="str">
        <f>AND(Trans!B770,"AAAAAH026cU=")</f>
        <v>#VALUE!:noResult:No valid cells found for operation.</v>
      </c>
      <c r="GQ52" s="15" t="b">
        <f>AND(Trans!C770,"AAAAAH026cY=")</f>
        <v>1</v>
      </c>
      <c r="GR52" s="15" t="b">
        <f>AND(Trans!D770,"AAAAAH026cc=")</f>
        <v>1</v>
      </c>
      <c r="GS52" s="15" t="str">
        <f>AND(Trans!E770,"AAAAAH026cg=")</f>
        <v>#VALUE!:noResult:No valid cells found for operation.</v>
      </c>
      <c r="GT52" s="15" t="str">
        <f>AND(Trans!F770,"AAAAAH026ck=")</f>
        <v>#VALUE!:noResult:No valid cells found for operation.</v>
      </c>
      <c r="GU52" s="15" t="str">
        <f>AND(Trans!G770,"AAAAAH026co=")</f>
        <v>#VALUE!:noResult:No valid cells found for operation.</v>
      </c>
      <c r="GV52" s="15" t="str">
        <f>#REF!</f>
        <v>#VALUE!:noResult:No valid cells found for operation.</v>
      </c>
      <c r="GW52" s="15" t="str">
        <f>AND(Trans!H770,"AAAAAH026cw=")</f>
        <v>#VALUE!:noResult:No valid cells found for operation.</v>
      </c>
      <c r="GX52" s="15" t="str">
        <f>#REF!</f>
        <v>#VALUE!:noResult:No valid cells found for operation.</v>
      </c>
      <c r="GY52" s="15" t="str">
        <f>#REF!</f>
        <v>#VALUE!:noResult:No valid cells found for operation.</v>
      </c>
      <c r="GZ52" s="15" t="str">
        <f>#REF!</f>
        <v>#VALUE!:noResult:No valid cells found for operation.</v>
      </c>
      <c r="HA52" s="15" t="str">
        <f>#REF!</f>
        <v>#VALUE!:noResult:No valid cells found for operation.</v>
      </c>
      <c r="HB52" s="15" t="str">
        <f>#REF!</f>
        <v>#VALUE!:noResult:No valid cells found for operation.</v>
      </c>
      <c r="HC52" s="15" t="str">
        <f>#REF!</f>
        <v>#VALUE!:noResult:No valid cells found for operation.</v>
      </c>
      <c r="HD52" s="15">
        <f>IF(Trans!R[719],"AAAAAH026dM=",0)</f>
        <v>0</v>
      </c>
      <c r="HE52" s="15" t="b">
        <f>AND(Trans!A771,"AAAAAH026dQ=")</f>
        <v>1</v>
      </c>
      <c r="HF52" s="15" t="str">
        <f>AND(Trans!B771,"AAAAAH026dU=")</f>
        <v>#VALUE!:noResult:No valid cells found for operation.</v>
      </c>
      <c r="HG52" s="15" t="b">
        <f>AND(Trans!C771,"AAAAAH026dY=")</f>
        <v>1</v>
      </c>
      <c r="HH52" s="15" t="b">
        <f>AND(Trans!D771,"AAAAAH026dc=")</f>
        <v>1</v>
      </c>
      <c r="HI52" s="15" t="str">
        <f>AND(Trans!E771,"AAAAAH026dg=")</f>
        <v>#VALUE!:noResult:No valid cells found for operation.</v>
      </c>
      <c r="HJ52" s="15" t="str">
        <f>AND(Trans!F771,"AAAAAH026dk=")</f>
        <v>#VALUE!:noResult:No valid cells found for operation.</v>
      </c>
      <c r="HK52" s="15" t="str">
        <f>AND(Trans!G771,"AAAAAH026do=")</f>
        <v>#VALUE!:noResult:No valid cells found for operation.</v>
      </c>
      <c r="HL52" s="15" t="str">
        <f>#REF!</f>
        <v>#VALUE!:noResult:No valid cells found for operation.</v>
      </c>
      <c r="HM52" s="15" t="str">
        <f>AND(Trans!H771,"AAAAAH026dw=")</f>
        <v>#VALUE!:noResult:No valid cells found for operation.</v>
      </c>
      <c r="HN52" s="15" t="str">
        <f>#REF!</f>
        <v>#VALUE!:noResult:No valid cells found for operation.</v>
      </c>
      <c r="HO52" s="15" t="str">
        <f>#REF!</f>
        <v>#VALUE!:noResult:No valid cells found for operation.</v>
      </c>
      <c r="HP52" s="15" t="str">
        <f>#REF!</f>
        <v>#VALUE!:noResult:No valid cells found for operation.</v>
      </c>
      <c r="HQ52" s="15" t="str">
        <f>#REF!</f>
        <v>#VALUE!:noResult:No valid cells found for operation.</v>
      </c>
      <c r="HR52" s="15" t="str">
        <f>#REF!</f>
        <v>#VALUE!:noResult:No valid cells found for operation.</v>
      </c>
      <c r="HS52" s="15" t="str">
        <f>#REF!</f>
        <v>#VALUE!:noResult:No valid cells found for operation.</v>
      </c>
      <c r="HT52" s="15">
        <f>IF(Trans!R[720],"AAAAAH026eM=",0)</f>
        <v>0</v>
      </c>
      <c r="HU52" s="15" t="b">
        <f>AND(Trans!A772,"AAAAAH026eQ=")</f>
        <v>1</v>
      </c>
      <c r="HV52" s="15" t="str">
        <f>AND(Trans!B772,"AAAAAH026eU=")</f>
        <v>#VALUE!:noResult:No valid cells found for operation.</v>
      </c>
      <c r="HW52" s="15" t="b">
        <f>AND(Trans!C772,"AAAAAH026eY=")</f>
        <v>1</v>
      </c>
      <c r="HX52" s="15" t="b">
        <f>AND(Trans!D772,"AAAAAH026ec=")</f>
        <v>1</v>
      </c>
      <c r="HY52" s="15" t="str">
        <f>AND(Trans!E772,"AAAAAH026eg=")</f>
        <v>#VALUE!:noResult:No valid cells found for operation.</v>
      </c>
      <c r="HZ52" s="15" t="str">
        <f>AND(Trans!F772,"AAAAAH026ek=")</f>
        <v>#VALUE!:noResult:No valid cells found for operation.</v>
      </c>
      <c r="IA52" s="15" t="str">
        <f>AND(Trans!G772,"AAAAAH026eo=")</f>
        <v>#VALUE!:noResult:No valid cells found for operation.</v>
      </c>
      <c r="IB52" s="15" t="str">
        <f>#REF!</f>
        <v>#VALUE!:noResult:No valid cells found for operation.</v>
      </c>
      <c r="IC52" s="15" t="str">
        <f>AND(Trans!H772,"AAAAAH026ew=")</f>
        <v>#VALUE!:noResult:No valid cells found for operation.</v>
      </c>
      <c r="ID52" s="15" t="str">
        <f>#REF!</f>
        <v>#VALUE!:noResult:No valid cells found for operation.</v>
      </c>
      <c r="IE52" s="15" t="str">
        <f>#REF!</f>
        <v>#VALUE!:noResult:No valid cells found for operation.</v>
      </c>
      <c r="IF52" s="15" t="str">
        <f>#REF!</f>
        <v>#VALUE!:noResult:No valid cells found for operation.</v>
      </c>
      <c r="IG52" s="15" t="str">
        <f>#REF!</f>
        <v>#VALUE!:noResult:No valid cells found for operation.</v>
      </c>
      <c r="IH52" s="15" t="str">
        <f>#REF!</f>
        <v>#VALUE!:noResult:No valid cells found for operation.</v>
      </c>
      <c r="II52" s="15" t="str">
        <f>#REF!</f>
        <v>#VALUE!:noResult:No valid cells found for operation.</v>
      </c>
      <c r="IJ52" s="15">
        <f>IF(Trans!R[721],"AAAAAH026fM=",0)</f>
        <v>0</v>
      </c>
      <c r="IK52" s="15" t="b">
        <f>AND(Trans!A773,"AAAAAH026fQ=")</f>
        <v>1</v>
      </c>
      <c r="IL52" s="15" t="str">
        <f>AND(Trans!B773,"AAAAAH026fU=")</f>
        <v>#VALUE!:noResult:No valid cells found for operation.</v>
      </c>
      <c r="IM52" s="15" t="b">
        <f>AND(Trans!C773,"AAAAAH026fY=")</f>
        <v>1</v>
      </c>
      <c r="IN52" s="15" t="b">
        <f>AND(Trans!D773,"AAAAAH026fc=")</f>
        <v>1</v>
      </c>
      <c r="IO52" s="15" t="str">
        <f>AND(Trans!E773,"AAAAAH026fg=")</f>
        <v>#VALUE!:noResult:No valid cells found for operation.</v>
      </c>
      <c r="IP52" s="15" t="str">
        <f>AND(Trans!F773,"AAAAAH026fk=")</f>
        <v>#VALUE!:noResult:No valid cells found for operation.</v>
      </c>
      <c r="IQ52" s="15" t="str">
        <f>AND(Trans!G773,"AAAAAH026fo=")</f>
        <v>#VALUE!:noResult:No valid cells found for operation.</v>
      </c>
      <c r="IR52" s="15" t="str">
        <f>#REF!</f>
        <v>#VALUE!:noResult:No valid cells found for operation.</v>
      </c>
      <c r="IS52" s="15" t="str">
        <f>AND(Trans!H773,"AAAAAH026fw=")</f>
        <v>#VALUE!:noResult:No valid cells found for operation.</v>
      </c>
      <c r="IT52" s="15" t="str">
        <f>#REF!</f>
        <v>#VALUE!:noResult:No valid cells found for operation.</v>
      </c>
      <c r="IU52" s="15" t="str">
        <f>#REF!</f>
        <v>#VALUE!:noResult:No valid cells found for operation.</v>
      </c>
      <c r="IV52" s="15" t="str">
        <f>#REF!</f>
        <v>#VALUE!:noResult:No valid cells found for operation.</v>
      </c>
    </row>
    <row r="53">
      <c r="A53" s="15" t="str">
        <f>#REF!</f>
        <v>#VALUE!:noResult:No valid cells found for operation.</v>
      </c>
      <c r="B53" s="15" t="str">
        <f>#REF!</f>
        <v>#VALUE!:noResult:No valid cells found for operation.</v>
      </c>
      <c r="C53" s="15" t="str">
        <f>#REF!</f>
        <v>#VALUE!:noResult:No valid cells found for operation.</v>
      </c>
      <c r="D53" s="15" t="str">
        <f>IF(Trans!R[721],"AAAAAF/+7gM=",0)</f>
        <v>AAAAAF/+7gM=</v>
      </c>
      <c r="E53" s="15" t="b">
        <f>AND(Trans!A774,"AAAAAF/+7gQ=")</f>
        <v>1</v>
      </c>
      <c r="F53" s="15" t="str">
        <f>AND(Trans!B774,"AAAAAF/+7gU=")</f>
        <v>#VALUE!:noResult:No valid cells found for operation.</v>
      </c>
      <c r="G53" s="15" t="b">
        <f>AND(Trans!C774,"AAAAAF/+7gY=")</f>
        <v>1</v>
      </c>
      <c r="H53" s="15" t="b">
        <f>AND(Trans!D774,"AAAAAF/+7gc=")</f>
        <v>1</v>
      </c>
      <c r="I53" s="15" t="str">
        <f>AND(Trans!E774,"AAAAAF/+7gg=")</f>
        <v>#VALUE!:noResult:No valid cells found for operation.</v>
      </c>
      <c r="J53" s="15" t="str">
        <f>AND(Trans!F774,"AAAAAF/+7gk=")</f>
        <v>#VALUE!:noResult:No valid cells found for operation.</v>
      </c>
      <c r="K53" s="15" t="str">
        <f>AND(Trans!G774,"AAAAAF/+7go=")</f>
        <v>#VALUE!:noResult:No valid cells found for operation.</v>
      </c>
      <c r="L53" s="15" t="str">
        <f>#REF!</f>
        <v>#VALUE!:noResult:No valid cells found for operation.</v>
      </c>
      <c r="M53" s="15" t="str">
        <f>AND(Trans!H774,"AAAAAF/+7gw=")</f>
        <v>#VALUE!:noResult:No valid cells found for operation.</v>
      </c>
      <c r="N53" s="15" t="str">
        <f>#REF!</f>
        <v>#VALUE!:noResult:No valid cells found for operation.</v>
      </c>
      <c r="O53" s="15" t="str">
        <f>#REF!</f>
        <v>#VALUE!:noResult:No valid cells found for operation.</v>
      </c>
      <c r="P53" s="15" t="str">
        <f>#REF!</f>
        <v>#VALUE!:noResult:No valid cells found for operation.</v>
      </c>
      <c r="Q53" s="15" t="str">
        <f>#REF!</f>
        <v>#VALUE!:noResult:No valid cells found for operation.</v>
      </c>
      <c r="R53" s="15" t="str">
        <f>#REF!</f>
        <v>#VALUE!:noResult:No valid cells found for operation.</v>
      </c>
      <c r="S53" s="15" t="str">
        <f>#REF!</f>
        <v>#VALUE!:noResult:No valid cells found for operation.</v>
      </c>
      <c r="T53" s="15">
        <f>IF(Trans!R[722],"AAAAAF/+7hM=",0)</f>
        <v>0</v>
      </c>
      <c r="U53" s="15" t="b">
        <f>AND(Trans!A775,"AAAAAF/+7hQ=")</f>
        <v>1</v>
      </c>
      <c r="V53" s="15" t="str">
        <f>AND(Trans!B775,"AAAAAF/+7hU=")</f>
        <v>#VALUE!:noResult:No valid cells found for operation.</v>
      </c>
      <c r="W53" s="15" t="b">
        <f>AND(Trans!C775,"AAAAAF/+7hY=")</f>
        <v>1</v>
      </c>
      <c r="X53" s="15" t="b">
        <f>AND(Trans!D775,"AAAAAF/+7hc=")</f>
        <v>1</v>
      </c>
      <c r="Y53" s="15" t="str">
        <f>AND(Trans!E775,"AAAAAF/+7hg=")</f>
        <v>#VALUE!:noResult:No valid cells found for operation.</v>
      </c>
      <c r="Z53" s="15" t="str">
        <f>AND(Trans!F775,"AAAAAF/+7hk=")</f>
        <v>#VALUE!:noResult:No valid cells found for operation.</v>
      </c>
      <c r="AA53" s="15" t="str">
        <f>AND(Trans!G775,"AAAAAF/+7ho=")</f>
        <v>#VALUE!:noResult:No valid cells found for operation.</v>
      </c>
      <c r="AB53" s="15" t="str">
        <f>#REF!</f>
        <v>#VALUE!:noResult:No valid cells found for operation.</v>
      </c>
      <c r="AC53" s="15" t="str">
        <f>AND(Trans!H775,"AAAAAF/+7hw=")</f>
        <v>#VALUE!:noResult:No valid cells found for operation.</v>
      </c>
      <c r="AD53" s="15" t="str">
        <f>#REF!</f>
        <v>#VALUE!:noResult:No valid cells found for operation.</v>
      </c>
      <c r="AE53" s="15" t="str">
        <f>#REF!</f>
        <v>#VALUE!:noResult:No valid cells found for operation.</v>
      </c>
      <c r="AF53" s="15" t="str">
        <f>#REF!</f>
        <v>#VALUE!:noResult:No valid cells found for operation.</v>
      </c>
      <c r="AG53" s="15" t="str">
        <f>#REF!</f>
        <v>#VALUE!:noResult:No valid cells found for operation.</v>
      </c>
      <c r="AH53" s="15" t="str">
        <f>#REF!</f>
        <v>#VALUE!:noResult:No valid cells found for operation.</v>
      </c>
      <c r="AI53" s="15" t="str">
        <f>#REF!</f>
        <v>#VALUE!:noResult:No valid cells found for operation.</v>
      </c>
      <c r="AJ53" s="15">
        <f>IF(Trans!R[723],"AAAAAF/+7iM=",0)</f>
        <v>0</v>
      </c>
      <c r="AK53" s="15" t="b">
        <f>AND(Trans!A776,"AAAAAF/+7iQ=")</f>
        <v>1</v>
      </c>
      <c r="AL53" s="15" t="str">
        <f>AND(Trans!B776,"AAAAAF/+7iU=")</f>
        <v>#VALUE!:noResult:No valid cells found for operation.</v>
      </c>
      <c r="AM53" s="15" t="b">
        <f>AND(Trans!C776,"AAAAAF/+7iY=")</f>
        <v>1</v>
      </c>
      <c r="AN53" s="15" t="b">
        <f>AND(Trans!D776,"AAAAAF/+7ic=")</f>
        <v>1</v>
      </c>
      <c r="AO53" s="15" t="str">
        <f>AND(Trans!E776,"AAAAAF/+7ig=")</f>
        <v>#VALUE!:noResult:No valid cells found for operation.</v>
      </c>
      <c r="AP53" s="15" t="str">
        <f>AND(Trans!F776,"AAAAAF/+7ik=")</f>
        <v>#VALUE!:noResult:No valid cells found for operation.</v>
      </c>
      <c r="AQ53" s="15" t="str">
        <f>AND(Trans!G776,"AAAAAF/+7io=")</f>
        <v>#VALUE!:noResult:No valid cells found for operation.</v>
      </c>
      <c r="AR53" s="15" t="str">
        <f>#REF!</f>
        <v>#VALUE!:noResult:No valid cells found for operation.</v>
      </c>
      <c r="AS53" s="15" t="str">
        <f>AND(Trans!H776,"AAAAAF/+7iw=")</f>
        <v>#VALUE!:noResult:No valid cells found for operation.</v>
      </c>
      <c r="AT53" s="15" t="str">
        <f>#REF!</f>
        <v>#VALUE!:noResult:No valid cells found for operation.</v>
      </c>
      <c r="AU53" s="15" t="str">
        <f>#REF!</f>
        <v>#VALUE!:noResult:No valid cells found for operation.</v>
      </c>
      <c r="AV53" s="15" t="str">
        <f>#REF!</f>
        <v>#VALUE!:noResult:No valid cells found for operation.</v>
      </c>
      <c r="AW53" s="15" t="str">
        <f>#REF!</f>
        <v>#VALUE!:noResult:No valid cells found for operation.</v>
      </c>
      <c r="AX53" s="15" t="str">
        <f>#REF!</f>
        <v>#VALUE!:noResult:No valid cells found for operation.</v>
      </c>
      <c r="AY53" s="15" t="str">
        <f>#REF!</f>
        <v>#VALUE!:noResult:No valid cells found for operation.</v>
      </c>
      <c r="AZ53" s="15">
        <f>IF(Trans!R[724],"AAAAAF/+7jM=",0)</f>
        <v>0</v>
      </c>
      <c r="BA53" s="15" t="b">
        <f>AND(Trans!A777,"AAAAAF/+7jQ=")</f>
        <v>1</v>
      </c>
      <c r="BB53" s="15" t="str">
        <f>AND(Trans!B777,"AAAAAF/+7jU=")</f>
        <v>#VALUE!:noResult:No valid cells found for operation.</v>
      </c>
      <c r="BC53" s="15" t="b">
        <f>AND(Trans!C777,"AAAAAF/+7jY=")</f>
        <v>1</v>
      </c>
      <c r="BD53" s="15" t="b">
        <f>AND(Trans!D777,"AAAAAF/+7jc=")</f>
        <v>1</v>
      </c>
      <c r="BE53" s="15" t="str">
        <f>AND(Trans!E777,"AAAAAF/+7jg=")</f>
        <v>#VALUE!:noResult:No valid cells found for operation.</v>
      </c>
      <c r="BF53" s="15" t="str">
        <f>AND(Trans!F777,"AAAAAF/+7jk=")</f>
        <v>#VALUE!:noResult:No valid cells found for operation.</v>
      </c>
      <c r="BG53" s="15" t="str">
        <f>AND(Trans!G777,"AAAAAF/+7jo=")</f>
        <v>#VALUE!:noResult:No valid cells found for operation.</v>
      </c>
      <c r="BH53" s="15" t="str">
        <f>#REF!</f>
        <v>#VALUE!:noResult:No valid cells found for operation.</v>
      </c>
      <c r="BI53" s="15" t="str">
        <f>AND(Trans!H777,"AAAAAF/+7jw=")</f>
        <v>#VALUE!:noResult:No valid cells found for operation.</v>
      </c>
      <c r="BJ53" s="15" t="str">
        <f>#REF!</f>
        <v>#VALUE!:noResult:No valid cells found for operation.</v>
      </c>
      <c r="BK53" s="15" t="str">
        <f>#REF!</f>
        <v>#VALUE!:noResult:No valid cells found for operation.</v>
      </c>
      <c r="BL53" s="15" t="str">
        <f>#REF!</f>
        <v>#VALUE!:noResult:No valid cells found for operation.</v>
      </c>
      <c r="BM53" s="15" t="str">
        <f>#REF!</f>
        <v>#VALUE!:noResult:No valid cells found for operation.</v>
      </c>
      <c r="BN53" s="15" t="str">
        <f>#REF!</f>
        <v>#VALUE!:noResult:No valid cells found for operation.</v>
      </c>
      <c r="BO53" s="15" t="str">
        <f>#REF!</f>
        <v>#VALUE!:noResult:No valid cells found for operation.</v>
      </c>
      <c r="BP53" s="15">
        <f>IF(Trans!R[725],"AAAAAF/+7kM=",0)</f>
        <v>0</v>
      </c>
      <c r="BQ53" s="15" t="b">
        <f>AND(Trans!A778,"AAAAAF/+7kQ=")</f>
        <v>1</v>
      </c>
      <c r="BR53" s="15" t="str">
        <f>AND(Trans!B778,"AAAAAF/+7kU=")</f>
        <v>#VALUE!:noResult:No valid cells found for operation.</v>
      </c>
      <c r="BS53" s="15" t="b">
        <f>AND(Trans!C778,"AAAAAF/+7kY=")</f>
        <v>0</v>
      </c>
      <c r="BT53" s="15" t="b">
        <f>AND(Trans!D778,"AAAAAF/+7kc=")</f>
        <v>1</v>
      </c>
      <c r="BU53" s="15" t="str">
        <f>AND(Trans!E778,"AAAAAF/+7kg=")</f>
        <v>#VALUE!:noResult:No valid cells found for operation.</v>
      </c>
      <c r="BV53" s="15" t="str">
        <f>AND(Trans!F778,"AAAAAF/+7kk=")</f>
        <v>#VALUE!:noResult:No valid cells found for operation.</v>
      </c>
      <c r="BW53" s="15" t="str">
        <f>AND(Trans!G778,"AAAAAF/+7ko=")</f>
        <v>#VALUE!:noResult:No valid cells found for operation.</v>
      </c>
      <c r="BX53" s="15" t="str">
        <f>#REF!</f>
        <v>#VALUE!:noResult:No valid cells found for operation.</v>
      </c>
      <c r="BY53" s="15" t="str">
        <f>AND(Trans!H778,"AAAAAF/+7kw=")</f>
        <v>#VALUE!:noResult:No valid cells found for operation.</v>
      </c>
      <c r="BZ53" s="15" t="str">
        <f>#REF!</f>
        <v>#VALUE!:noResult:No valid cells found for operation.</v>
      </c>
      <c r="CA53" s="15" t="str">
        <f>#REF!</f>
        <v>#VALUE!:noResult:No valid cells found for operation.</v>
      </c>
      <c r="CB53" s="15" t="str">
        <f>#REF!</f>
        <v>#VALUE!:noResult:No valid cells found for operation.</v>
      </c>
      <c r="CC53" s="15" t="str">
        <f>#REF!</f>
        <v>#VALUE!:noResult:No valid cells found for operation.</v>
      </c>
      <c r="CD53" s="15" t="str">
        <f>#REF!</f>
        <v>#VALUE!:noResult:No valid cells found for operation.</v>
      </c>
      <c r="CE53" s="15" t="str">
        <f>#REF!</f>
        <v>#VALUE!:noResult:No valid cells found for operation.</v>
      </c>
      <c r="CF53" s="15">
        <f>IF(Trans!R[726],"AAAAAF/+7lM=",0)</f>
        <v>0</v>
      </c>
      <c r="CG53" s="15" t="b">
        <f>AND(Trans!A779,"AAAAAF/+7lQ=")</f>
        <v>1</v>
      </c>
      <c r="CH53" s="15" t="str">
        <f>AND(Trans!B779,"AAAAAF/+7lU=")</f>
        <v>#VALUE!:noResult:No valid cells found for operation.</v>
      </c>
      <c r="CI53" s="15" t="b">
        <f>AND(Trans!C779,"AAAAAF/+7lY=")</f>
        <v>1</v>
      </c>
      <c r="CJ53" s="15" t="b">
        <f>AND(Trans!D779,"AAAAAF/+7lc=")</f>
        <v>1</v>
      </c>
      <c r="CK53" s="15" t="str">
        <f>AND(Trans!E779,"AAAAAF/+7lg=")</f>
        <v>#VALUE!:noResult:No valid cells found for operation.</v>
      </c>
      <c r="CL53" s="15" t="str">
        <f>AND(Trans!F779,"AAAAAF/+7lk=")</f>
        <v>#VALUE!:noResult:No valid cells found for operation.</v>
      </c>
      <c r="CM53" s="15" t="str">
        <f>AND(Trans!G779,"AAAAAF/+7lo=")</f>
        <v>#VALUE!:noResult:No valid cells found for operation.</v>
      </c>
      <c r="CN53" s="15" t="str">
        <f>#REF!</f>
        <v>#VALUE!:noResult:No valid cells found for operation.</v>
      </c>
      <c r="CO53" s="15" t="str">
        <f>AND(Trans!H779,"AAAAAF/+7lw=")</f>
        <v>#VALUE!:noResult:No valid cells found for operation.</v>
      </c>
      <c r="CP53" s="15" t="str">
        <f>#REF!</f>
        <v>#VALUE!:noResult:No valid cells found for operation.</v>
      </c>
      <c r="CQ53" s="15" t="str">
        <f>#REF!</f>
        <v>#VALUE!:noResult:No valid cells found for operation.</v>
      </c>
      <c r="CR53" s="15" t="str">
        <f>#REF!</f>
        <v>#VALUE!:noResult:No valid cells found for operation.</v>
      </c>
      <c r="CS53" s="15" t="str">
        <f>#REF!</f>
        <v>#VALUE!:noResult:No valid cells found for operation.</v>
      </c>
      <c r="CT53" s="15" t="str">
        <f>#REF!</f>
        <v>#VALUE!:noResult:No valid cells found for operation.</v>
      </c>
      <c r="CU53" s="15" t="str">
        <f>#REF!</f>
        <v>#VALUE!:noResult:No valid cells found for operation.</v>
      </c>
      <c r="CV53" s="15">
        <f>IF(Trans!R[727],"AAAAAF/+7mM=",0)</f>
        <v>0</v>
      </c>
      <c r="CW53" s="15" t="b">
        <f>AND(Trans!A780,"AAAAAF/+7mQ=")</f>
        <v>1</v>
      </c>
      <c r="CX53" s="15" t="str">
        <f>AND(Trans!B780,"AAAAAF/+7mU=")</f>
        <v>#VALUE!:noResult:No valid cells found for operation.</v>
      </c>
      <c r="CY53" s="15" t="b">
        <f>AND(Trans!C780,"AAAAAF/+7mY=")</f>
        <v>1</v>
      </c>
      <c r="CZ53" s="15" t="b">
        <f>AND(Trans!D780,"AAAAAF/+7mc=")</f>
        <v>1</v>
      </c>
      <c r="DA53" s="15" t="str">
        <f>AND(Trans!E780,"AAAAAF/+7mg=")</f>
        <v>#VALUE!:noResult:No valid cells found for operation.</v>
      </c>
      <c r="DB53" s="15" t="str">
        <f>AND(Trans!F780,"AAAAAF/+7mk=")</f>
        <v>#VALUE!:noResult:No valid cells found for operation.</v>
      </c>
      <c r="DC53" s="15" t="str">
        <f>AND(Trans!G780,"AAAAAF/+7mo=")</f>
        <v>#VALUE!:noResult:No valid cells found for operation.</v>
      </c>
      <c r="DD53" s="15" t="str">
        <f>#REF!</f>
        <v>#VALUE!:noResult:No valid cells found for operation.</v>
      </c>
      <c r="DE53" s="15" t="str">
        <f>AND(Trans!H780,"AAAAAF/+7mw=")</f>
        <v>#VALUE!:noResult:No valid cells found for operation.</v>
      </c>
      <c r="DF53" s="15" t="str">
        <f>#REF!</f>
        <v>#VALUE!:noResult:No valid cells found for operation.</v>
      </c>
      <c r="DG53" s="15" t="str">
        <f>#REF!</f>
        <v>#VALUE!:noResult:No valid cells found for operation.</v>
      </c>
      <c r="DH53" s="15" t="str">
        <f>#REF!</f>
        <v>#VALUE!:noResult:No valid cells found for operation.</v>
      </c>
      <c r="DI53" s="15" t="str">
        <f>#REF!</f>
        <v>#VALUE!:noResult:No valid cells found for operation.</v>
      </c>
      <c r="DJ53" s="15" t="str">
        <f>#REF!</f>
        <v>#VALUE!:noResult:No valid cells found for operation.</v>
      </c>
      <c r="DK53" s="15" t="str">
        <f>#REF!</f>
        <v>#VALUE!:noResult:No valid cells found for operation.</v>
      </c>
      <c r="DL53" s="15">
        <f>IF(Trans!R[728],"AAAAAF/+7nM=",0)</f>
        <v>0</v>
      </c>
      <c r="DM53" s="15" t="b">
        <f>AND(Trans!A781,"AAAAAF/+7nQ=")</f>
        <v>1</v>
      </c>
      <c r="DN53" s="15" t="str">
        <f>AND(Trans!B781,"AAAAAF/+7nU=")</f>
        <v>#VALUE!:noResult:No valid cells found for operation.</v>
      </c>
      <c r="DO53" s="15" t="b">
        <f>AND(Trans!C781,"AAAAAF/+7nY=")</f>
        <v>1</v>
      </c>
      <c r="DP53" s="15" t="b">
        <f>AND(Trans!D781,"AAAAAF/+7nc=")</f>
        <v>1</v>
      </c>
      <c r="DQ53" s="15" t="str">
        <f>AND(Trans!E781,"AAAAAF/+7ng=")</f>
        <v>#VALUE!:noResult:No valid cells found for operation.</v>
      </c>
      <c r="DR53" s="15" t="str">
        <f>AND(Trans!F781,"AAAAAF/+7nk=")</f>
        <v>#VALUE!:noResult:No valid cells found for operation.</v>
      </c>
      <c r="DS53" s="15" t="str">
        <f>AND(Trans!G781,"AAAAAF/+7no=")</f>
        <v>#VALUE!:noResult:No valid cells found for operation.</v>
      </c>
      <c r="DT53" s="15" t="str">
        <f>#REF!</f>
        <v>#VALUE!:noResult:No valid cells found for operation.</v>
      </c>
      <c r="DU53" s="15" t="str">
        <f>AND(Trans!H781,"AAAAAF/+7nw=")</f>
        <v>#VALUE!:noResult:No valid cells found for operation.</v>
      </c>
      <c r="DV53" s="15" t="str">
        <f>#REF!</f>
        <v>#VALUE!:noResult:No valid cells found for operation.</v>
      </c>
      <c r="DW53" s="15" t="str">
        <f>#REF!</f>
        <v>#VALUE!:noResult:No valid cells found for operation.</v>
      </c>
      <c r="DX53" s="15" t="str">
        <f>#REF!</f>
        <v>#VALUE!:noResult:No valid cells found for operation.</v>
      </c>
      <c r="DY53" s="15" t="str">
        <f>#REF!</f>
        <v>#VALUE!:noResult:No valid cells found for operation.</v>
      </c>
      <c r="DZ53" s="15" t="str">
        <f>#REF!</f>
        <v>#VALUE!:noResult:No valid cells found for operation.</v>
      </c>
      <c r="EA53" s="15" t="str">
        <f>#REF!</f>
        <v>#VALUE!:noResult:No valid cells found for operation.</v>
      </c>
      <c r="EB53" s="15">
        <f>IF(Trans!R[729],"AAAAAF/+7oM=",0)</f>
        <v>0</v>
      </c>
      <c r="EC53" s="15" t="b">
        <f>AND(Trans!A782,"AAAAAF/+7oQ=")</f>
        <v>1</v>
      </c>
      <c r="ED53" s="15" t="str">
        <f>AND(Trans!B782,"AAAAAF/+7oU=")</f>
        <v>#VALUE!:noResult:No valid cells found for operation.</v>
      </c>
      <c r="EE53" s="15" t="b">
        <f>AND(Trans!C782,"AAAAAF/+7oY=")</f>
        <v>1</v>
      </c>
      <c r="EF53" s="15" t="b">
        <f>AND(Trans!D782,"AAAAAF/+7oc=")</f>
        <v>1</v>
      </c>
      <c r="EG53" s="15" t="str">
        <f>AND(Trans!E782,"AAAAAF/+7og=")</f>
        <v>#VALUE!:noResult:No valid cells found for operation.</v>
      </c>
      <c r="EH53" s="15" t="str">
        <f>AND(Trans!F782,"AAAAAF/+7ok=")</f>
        <v>#VALUE!:noResult:No valid cells found for operation.</v>
      </c>
      <c r="EI53" s="15" t="str">
        <f>AND(Trans!G782,"AAAAAF/+7oo=")</f>
        <v>#VALUE!:noResult:No valid cells found for operation.</v>
      </c>
      <c r="EJ53" s="15" t="str">
        <f>#REF!</f>
        <v>#VALUE!:noResult:No valid cells found for operation.</v>
      </c>
      <c r="EK53" s="15" t="str">
        <f>AND(Trans!H782,"AAAAAF/+7ow=")</f>
        <v>#VALUE!:noResult:No valid cells found for operation.</v>
      </c>
      <c r="EL53" s="15" t="str">
        <f>#REF!</f>
        <v>#VALUE!:noResult:No valid cells found for operation.</v>
      </c>
      <c r="EM53" s="15" t="str">
        <f>#REF!</f>
        <v>#VALUE!:noResult:No valid cells found for operation.</v>
      </c>
      <c r="EN53" s="15" t="str">
        <f>#REF!</f>
        <v>#VALUE!:noResult:No valid cells found for operation.</v>
      </c>
      <c r="EO53" s="15" t="str">
        <f>#REF!</f>
        <v>#VALUE!:noResult:No valid cells found for operation.</v>
      </c>
      <c r="EP53" s="15" t="str">
        <f>#REF!</f>
        <v>#VALUE!:noResult:No valid cells found for operation.</v>
      </c>
      <c r="EQ53" s="15" t="str">
        <f>#REF!</f>
        <v>#VALUE!:noResult:No valid cells found for operation.</v>
      </c>
      <c r="ER53" s="15">
        <f>IF(Trans!R[730],"AAAAAF/+7pM=",0)</f>
        <v>0</v>
      </c>
      <c r="ES53" s="15" t="b">
        <f>AND(Trans!A783,"AAAAAF/+7pQ=")</f>
        <v>1</v>
      </c>
      <c r="ET53" s="15" t="str">
        <f>AND(Trans!B783,"AAAAAF/+7pU=")</f>
        <v>#VALUE!:noResult:No valid cells found for operation.</v>
      </c>
      <c r="EU53" s="15" t="b">
        <f>AND(Trans!C783,"AAAAAF/+7pY=")</f>
        <v>1</v>
      </c>
      <c r="EV53" s="15" t="b">
        <f>AND(Trans!D783,"AAAAAF/+7pc=")</f>
        <v>1</v>
      </c>
      <c r="EW53" s="15" t="str">
        <f>AND(Trans!E783,"AAAAAF/+7pg=")</f>
        <v>#VALUE!:noResult:No valid cells found for operation.</v>
      </c>
      <c r="EX53" s="15" t="str">
        <f>AND(Trans!F783,"AAAAAF/+7pk=")</f>
        <v>#VALUE!:noResult:No valid cells found for operation.</v>
      </c>
      <c r="EY53" s="15" t="str">
        <f>AND(Trans!G783,"AAAAAF/+7po=")</f>
        <v>#VALUE!:noResult:No valid cells found for operation.</v>
      </c>
      <c r="EZ53" s="15" t="str">
        <f>#REF!</f>
        <v>#VALUE!:noResult:No valid cells found for operation.</v>
      </c>
      <c r="FA53" s="15" t="str">
        <f>AND(Trans!H783,"AAAAAF/+7pw=")</f>
        <v>#VALUE!:noResult:No valid cells found for operation.</v>
      </c>
      <c r="FB53" s="15" t="str">
        <f>#REF!</f>
        <v>#VALUE!:noResult:No valid cells found for operation.</v>
      </c>
      <c r="FC53" s="15" t="str">
        <f>#REF!</f>
        <v>#VALUE!:noResult:No valid cells found for operation.</v>
      </c>
      <c r="FD53" s="15" t="str">
        <f>#REF!</f>
        <v>#VALUE!:noResult:No valid cells found for operation.</v>
      </c>
      <c r="FE53" s="15" t="str">
        <f>#REF!</f>
        <v>#VALUE!:noResult:No valid cells found for operation.</v>
      </c>
      <c r="FF53" s="15" t="str">
        <f>#REF!</f>
        <v>#VALUE!:noResult:No valid cells found for operation.</v>
      </c>
      <c r="FG53" s="15" t="str">
        <f>#REF!</f>
        <v>#VALUE!:noResult:No valid cells found for operation.</v>
      </c>
      <c r="FH53" s="15">
        <f>IF(Trans!R[731],"AAAAAF/+7qM=",0)</f>
        <v>0</v>
      </c>
      <c r="FI53" s="15" t="b">
        <f>AND(Trans!A784,"AAAAAF/+7qQ=")</f>
        <v>1</v>
      </c>
      <c r="FJ53" s="15" t="str">
        <f>AND(Trans!B784,"AAAAAF/+7qU=")</f>
        <v>#VALUE!:noResult:No valid cells found for operation.</v>
      </c>
      <c r="FK53" s="15" t="b">
        <f>AND(Trans!C784,"AAAAAF/+7qY=")</f>
        <v>1</v>
      </c>
      <c r="FL53" s="15" t="b">
        <f>AND(Trans!D784,"AAAAAF/+7qc=")</f>
        <v>1</v>
      </c>
      <c r="FM53" s="15" t="str">
        <f>AND(Trans!E784,"AAAAAF/+7qg=")</f>
        <v>#VALUE!:noResult:No valid cells found for operation.</v>
      </c>
      <c r="FN53" s="15" t="str">
        <f>AND(Trans!F784,"AAAAAF/+7qk=")</f>
        <v>#VALUE!:noResult:No valid cells found for operation.</v>
      </c>
      <c r="FO53" s="15" t="str">
        <f>AND(Trans!G784,"AAAAAF/+7qo=")</f>
        <v>#VALUE!:noResult:No valid cells found for operation.</v>
      </c>
      <c r="FP53" s="15" t="str">
        <f>#REF!</f>
        <v>#VALUE!:noResult:No valid cells found for operation.</v>
      </c>
      <c r="FQ53" s="15" t="str">
        <f>AND(Trans!H784,"AAAAAF/+7qw=")</f>
        <v>#VALUE!:noResult:No valid cells found for operation.</v>
      </c>
      <c r="FR53" s="15" t="str">
        <f>#REF!</f>
        <v>#VALUE!:noResult:No valid cells found for operation.</v>
      </c>
      <c r="FS53" s="15" t="str">
        <f>#REF!</f>
        <v>#VALUE!:noResult:No valid cells found for operation.</v>
      </c>
      <c r="FT53" s="15" t="str">
        <f>#REF!</f>
        <v>#VALUE!:noResult:No valid cells found for operation.</v>
      </c>
      <c r="FU53" s="15" t="str">
        <f>#REF!</f>
        <v>#VALUE!:noResult:No valid cells found for operation.</v>
      </c>
      <c r="FV53" s="15" t="str">
        <f>#REF!</f>
        <v>#VALUE!:noResult:No valid cells found for operation.</v>
      </c>
      <c r="FW53" s="15" t="str">
        <f>#REF!</f>
        <v>#VALUE!:noResult:No valid cells found for operation.</v>
      </c>
      <c r="FX53" s="15">
        <f>IF(Trans!R[732],"AAAAAF/+7rM=",0)</f>
        <v>0</v>
      </c>
      <c r="FY53" s="15" t="b">
        <f>AND(Trans!A785,"AAAAAF/+7rQ=")</f>
        <v>1</v>
      </c>
      <c r="FZ53" s="15" t="str">
        <f>AND(Trans!B785,"AAAAAF/+7rU=")</f>
        <v>#VALUE!:noResult:No valid cells found for operation.</v>
      </c>
      <c r="GA53" s="15" t="b">
        <f>AND(Trans!C785,"AAAAAF/+7rY=")</f>
        <v>1</v>
      </c>
      <c r="GB53" s="15" t="b">
        <f>AND(Trans!D785,"AAAAAF/+7rc=")</f>
        <v>1</v>
      </c>
      <c r="GC53" s="15" t="str">
        <f>AND(Trans!E785,"AAAAAF/+7rg=")</f>
        <v>#VALUE!:noResult:No valid cells found for operation.</v>
      </c>
      <c r="GD53" s="15" t="str">
        <f>AND(Trans!F785,"AAAAAF/+7rk=")</f>
        <v>#VALUE!:noResult:No valid cells found for operation.</v>
      </c>
      <c r="GE53" s="15" t="str">
        <f>AND(Trans!G785,"AAAAAF/+7ro=")</f>
        <v>#VALUE!:noResult:No valid cells found for operation.</v>
      </c>
      <c r="GF53" s="15" t="str">
        <f>#REF!</f>
        <v>#VALUE!:noResult:No valid cells found for operation.</v>
      </c>
      <c r="GG53" s="15" t="str">
        <f>AND(Trans!H785,"AAAAAF/+7rw=")</f>
        <v>#VALUE!:noResult:No valid cells found for operation.</v>
      </c>
      <c r="GH53" s="15" t="str">
        <f>#REF!</f>
        <v>#VALUE!:noResult:No valid cells found for operation.</v>
      </c>
      <c r="GI53" s="15" t="str">
        <f>#REF!</f>
        <v>#VALUE!:noResult:No valid cells found for operation.</v>
      </c>
      <c r="GJ53" s="15" t="str">
        <f>#REF!</f>
        <v>#VALUE!:noResult:No valid cells found for operation.</v>
      </c>
      <c r="GK53" s="15" t="str">
        <f>#REF!</f>
        <v>#VALUE!:noResult:No valid cells found for operation.</v>
      </c>
      <c r="GL53" s="15" t="str">
        <f>#REF!</f>
        <v>#VALUE!:noResult:No valid cells found for operation.</v>
      </c>
      <c r="GM53" s="15" t="str">
        <f>#REF!</f>
        <v>#VALUE!:noResult:No valid cells found for operation.</v>
      </c>
      <c r="GN53" s="15">
        <f>IF(Trans!R[733],"AAAAAF/+7sM=",0)</f>
        <v>0</v>
      </c>
      <c r="GO53" s="15" t="b">
        <f>AND(Trans!A786,"AAAAAF/+7sQ=")</f>
        <v>1</v>
      </c>
      <c r="GP53" s="15" t="str">
        <f>AND(Trans!B786,"AAAAAF/+7sU=")</f>
        <v>#VALUE!:noResult:No valid cells found for operation.</v>
      </c>
      <c r="GQ53" s="15" t="b">
        <f>AND(Trans!C786,"AAAAAF/+7sY=")</f>
        <v>1</v>
      </c>
      <c r="GR53" s="15" t="b">
        <f>AND(Trans!D786,"AAAAAF/+7sc=")</f>
        <v>1</v>
      </c>
      <c r="GS53" s="15" t="str">
        <f>AND(Trans!E786,"AAAAAF/+7sg=")</f>
        <v>#VALUE!:noResult:No valid cells found for operation.</v>
      </c>
      <c r="GT53" s="15" t="str">
        <f>AND(Trans!F786,"AAAAAF/+7sk=")</f>
        <v>#VALUE!:noResult:No valid cells found for operation.</v>
      </c>
      <c r="GU53" s="15" t="str">
        <f>AND(Trans!G786,"AAAAAF/+7so=")</f>
        <v>#VALUE!:noResult:No valid cells found for operation.</v>
      </c>
      <c r="GV53" s="15" t="str">
        <f>#REF!</f>
        <v>#VALUE!:noResult:No valid cells found for operation.</v>
      </c>
      <c r="GW53" s="15" t="str">
        <f>AND(Trans!H786,"AAAAAF/+7sw=")</f>
        <v>#VALUE!:noResult:No valid cells found for operation.</v>
      </c>
      <c r="GX53" s="15" t="str">
        <f>#REF!</f>
        <v>#VALUE!:noResult:No valid cells found for operation.</v>
      </c>
      <c r="GY53" s="15" t="str">
        <f>#REF!</f>
        <v>#VALUE!:noResult:No valid cells found for operation.</v>
      </c>
      <c r="GZ53" s="15" t="str">
        <f>#REF!</f>
        <v>#VALUE!:noResult:No valid cells found for operation.</v>
      </c>
      <c r="HA53" s="15" t="str">
        <f>#REF!</f>
        <v>#VALUE!:noResult:No valid cells found for operation.</v>
      </c>
      <c r="HB53" s="15" t="str">
        <f>#REF!</f>
        <v>#VALUE!:noResult:No valid cells found for operation.</v>
      </c>
      <c r="HC53" s="15" t="str">
        <f>#REF!</f>
        <v>#VALUE!:noResult:No valid cells found for operation.</v>
      </c>
      <c r="HD53" s="15">
        <f>IF(Trans!R[734],"AAAAAF/+7tM=",0)</f>
        <v>0</v>
      </c>
      <c r="HE53" s="15" t="b">
        <f>AND(Trans!A787,"AAAAAF/+7tQ=")</f>
        <v>1</v>
      </c>
      <c r="HF53" s="15" t="str">
        <f>AND(Trans!B787,"AAAAAF/+7tU=")</f>
        <v>#VALUE!:noResult:No valid cells found for operation.</v>
      </c>
      <c r="HG53" s="15" t="b">
        <f>AND(Trans!C787,"AAAAAF/+7tY=")</f>
        <v>1</v>
      </c>
      <c r="HH53" s="15" t="b">
        <f>AND(Trans!D787,"AAAAAF/+7tc=")</f>
        <v>1</v>
      </c>
      <c r="HI53" s="15" t="str">
        <f>AND(Trans!E787,"AAAAAF/+7tg=")</f>
        <v>#VALUE!:noResult:No valid cells found for operation.</v>
      </c>
      <c r="HJ53" s="15" t="str">
        <f>AND(Trans!F787,"AAAAAF/+7tk=")</f>
        <v>#VALUE!:noResult:No valid cells found for operation.</v>
      </c>
      <c r="HK53" s="15" t="str">
        <f>AND(Trans!G787,"AAAAAF/+7to=")</f>
        <v>#VALUE!:noResult:No valid cells found for operation.</v>
      </c>
      <c r="HL53" s="15" t="str">
        <f>#REF!</f>
        <v>#VALUE!:noResult:No valid cells found for operation.</v>
      </c>
      <c r="HM53" s="15" t="str">
        <f>AND(Trans!H787,"AAAAAF/+7tw=")</f>
        <v>#VALUE!:noResult:No valid cells found for operation.</v>
      </c>
      <c r="HN53" s="15" t="str">
        <f>#REF!</f>
        <v>#VALUE!:noResult:No valid cells found for operation.</v>
      </c>
      <c r="HO53" s="15" t="str">
        <f>#REF!</f>
        <v>#VALUE!:noResult:No valid cells found for operation.</v>
      </c>
      <c r="HP53" s="15" t="str">
        <f>#REF!</f>
        <v>#VALUE!:noResult:No valid cells found for operation.</v>
      </c>
      <c r="HQ53" s="15" t="str">
        <f>#REF!</f>
        <v>#VALUE!:noResult:No valid cells found for operation.</v>
      </c>
      <c r="HR53" s="15" t="str">
        <f>#REF!</f>
        <v>#VALUE!:noResult:No valid cells found for operation.</v>
      </c>
      <c r="HS53" s="15" t="str">
        <f>#REF!</f>
        <v>#VALUE!:noResult:No valid cells found for operation.</v>
      </c>
      <c r="HT53" s="15">
        <f>IF(Trans!R[735],"AAAAAF/+7uM=",0)</f>
        <v>0</v>
      </c>
      <c r="HU53" s="15" t="b">
        <f>AND(Trans!A788,"AAAAAF/+7uQ=")</f>
        <v>1</v>
      </c>
      <c r="HV53" s="15" t="str">
        <f>AND(Trans!B788,"AAAAAF/+7uU=")</f>
        <v>#VALUE!:noResult:No valid cells found for operation.</v>
      </c>
      <c r="HW53" s="15" t="b">
        <f>AND(Trans!C788,"AAAAAF/+7uY=")</f>
        <v>1</v>
      </c>
      <c r="HX53" s="15" t="b">
        <f>AND(Trans!D788,"AAAAAF/+7uc=")</f>
        <v>1</v>
      </c>
      <c r="HY53" s="15" t="str">
        <f>AND(Trans!E788,"AAAAAF/+7ug=")</f>
        <v>#VALUE!:noResult:No valid cells found for operation.</v>
      </c>
      <c r="HZ53" s="15" t="str">
        <f>AND(Trans!F788,"AAAAAF/+7uk=")</f>
        <v>#VALUE!:noResult:No valid cells found for operation.</v>
      </c>
      <c r="IA53" s="15" t="str">
        <f>AND(Trans!G788,"AAAAAF/+7uo=")</f>
        <v>#VALUE!:noResult:No valid cells found for operation.</v>
      </c>
      <c r="IB53" s="15" t="str">
        <f>#REF!</f>
        <v>#VALUE!:noResult:No valid cells found for operation.</v>
      </c>
      <c r="IC53" s="15" t="str">
        <f>AND(Trans!H788,"AAAAAF/+7uw=")</f>
        <v>#VALUE!:noResult:No valid cells found for operation.</v>
      </c>
      <c r="ID53" s="15" t="str">
        <f>#REF!</f>
        <v>#VALUE!:noResult:No valid cells found for operation.</v>
      </c>
      <c r="IE53" s="15" t="str">
        <f>#REF!</f>
        <v>#VALUE!:noResult:No valid cells found for operation.</v>
      </c>
      <c r="IF53" s="15" t="str">
        <f>#REF!</f>
        <v>#VALUE!:noResult:No valid cells found for operation.</v>
      </c>
      <c r="IG53" s="15" t="str">
        <f>#REF!</f>
        <v>#VALUE!:noResult:No valid cells found for operation.</v>
      </c>
      <c r="IH53" s="15" t="str">
        <f>#REF!</f>
        <v>#VALUE!:noResult:No valid cells found for operation.</v>
      </c>
      <c r="II53" s="15" t="str">
        <f>#REF!</f>
        <v>#VALUE!:noResult:No valid cells found for operation.</v>
      </c>
      <c r="IJ53" s="15">
        <f>IF(Trans!R[736],"AAAAAF/+7vM=",0)</f>
        <v>0</v>
      </c>
      <c r="IK53" s="15" t="b">
        <f>AND(Trans!A789,"AAAAAF/+7vQ=")</f>
        <v>1</v>
      </c>
      <c r="IL53" s="15" t="str">
        <f>AND(Trans!B789,"AAAAAF/+7vU=")</f>
        <v>#VALUE!:noResult:No valid cells found for operation.</v>
      </c>
      <c r="IM53" s="15" t="b">
        <f>AND(Trans!C789,"AAAAAF/+7vY=")</f>
        <v>1</v>
      </c>
      <c r="IN53" s="15" t="b">
        <f>AND(Trans!D789,"AAAAAF/+7vc=")</f>
        <v>1</v>
      </c>
      <c r="IO53" s="15" t="str">
        <f>AND(Trans!E789,"AAAAAF/+7vg=")</f>
        <v>#VALUE!:noResult:No valid cells found for operation.</v>
      </c>
      <c r="IP53" s="15" t="str">
        <f>AND(Trans!F789,"AAAAAF/+7vk=")</f>
        <v>#VALUE!:noResult:No valid cells found for operation.</v>
      </c>
      <c r="IQ53" s="15" t="str">
        <f>AND(Trans!G789,"AAAAAF/+7vo=")</f>
        <v>#VALUE!:noResult:No valid cells found for operation.</v>
      </c>
      <c r="IR53" s="15" t="str">
        <f>#REF!</f>
        <v>#VALUE!:noResult:No valid cells found for operation.</v>
      </c>
      <c r="IS53" s="15" t="str">
        <f>AND(Trans!H789,"AAAAAF/+7vw=")</f>
        <v>#VALUE!:noResult:No valid cells found for operation.</v>
      </c>
      <c r="IT53" s="15" t="str">
        <f>#REF!</f>
        <v>#VALUE!:noResult:No valid cells found for operation.</v>
      </c>
      <c r="IU53" s="15" t="str">
        <f>#REF!</f>
        <v>#VALUE!:noResult:No valid cells found for operation.</v>
      </c>
      <c r="IV53" s="15" t="str">
        <f>#REF!</f>
        <v>#VALUE!:noResult:No valid cells found for operation.</v>
      </c>
    </row>
    <row r="54">
      <c r="A54" s="15" t="str">
        <f>#REF!</f>
        <v>#VALUE!:noResult:No valid cells found for operation.</v>
      </c>
      <c r="B54" s="15" t="str">
        <f>#REF!</f>
        <v>#VALUE!:noResult:No valid cells found for operation.</v>
      </c>
      <c r="C54" s="15" t="str">
        <f>#REF!</f>
        <v>#VALUE!:noResult:No valid cells found for operation.</v>
      </c>
      <c r="D54" s="15" t="str">
        <f>IF(Trans!R[736],"AAAAAH+6/QM=",0)</f>
        <v>AAAAAH+6/QM=</v>
      </c>
      <c r="E54" s="15" t="b">
        <f>AND(Trans!A790,"AAAAAH+6/QQ=")</f>
        <v>1</v>
      </c>
      <c r="F54" s="15" t="str">
        <f>AND(Trans!B790,"AAAAAH+6/QU=")</f>
        <v>#VALUE!:noResult:No valid cells found for operation.</v>
      </c>
      <c r="G54" s="15" t="b">
        <f>AND(Trans!C790,"AAAAAH+6/QY=")</f>
        <v>1</v>
      </c>
      <c r="H54" s="15" t="b">
        <f>AND(Trans!D790,"AAAAAH+6/Qc=")</f>
        <v>1</v>
      </c>
      <c r="I54" s="15" t="str">
        <f>AND(Trans!E790,"AAAAAH+6/Qg=")</f>
        <v>#VALUE!:noResult:No valid cells found for operation.</v>
      </c>
      <c r="J54" s="15" t="str">
        <f>AND(Trans!F790,"AAAAAH+6/Qk=")</f>
        <v>#VALUE!:noResult:No valid cells found for operation.</v>
      </c>
      <c r="K54" s="15" t="str">
        <f>AND(Trans!G790,"AAAAAH+6/Qo=")</f>
        <v>#VALUE!:noResult:No valid cells found for operation.</v>
      </c>
      <c r="L54" s="15" t="str">
        <f>#REF!</f>
        <v>#VALUE!:noResult:No valid cells found for operation.</v>
      </c>
      <c r="M54" s="15" t="str">
        <f>AND(Trans!H790,"AAAAAH+6/Qw=")</f>
        <v>#VALUE!:noResult:No valid cells found for operation.</v>
      </c>
      <c r="N54" s="15" t="str">
        <f>#REF!</f>
        <v>#VALUE!:noResult:No valid cells found for operation.</v>
      </c>
      <c r="O54" s="15" t="str">
        <f>#REF!</f>
        <v>#VALUE!:noResult:No valid cells found for operation.</v>
      </c>
      <c r="P54" s="15" t="str">
        <f>#REF!</f>
        <v>#VALUE!:noResult:No valid cells found for operation.</v>
      </c>
      <c r="Q54" s="15" t="str">
        <f>#REF!</f>
        <v>#VALUE!:noResult:No valid cells found for operation.</v>
      </c>
      <c r="R54" s="15" t="str">
        <f>#REF!</f>
        <v>#VALUE!:noResult:No valid cells found for operation.</v>
      </c>
      <c r="S54" s="15" t="str">
        <f>#REF!</f>
        <v>#VALUE!:noResult:No valid cells found for operation.</v>
      </c>
      <c r="T54" s="15">
        <f>IF(Trans!R[737],"AAAAAH+6/RM=",0)</f>
        <v>0</v>
      </c>
      <c r="U54" s="15" t="b">
        <f>AND(Trans!A791,"AAAAAH+6/RQ=")</f>
        <v>1</v>
      </c>
      <c r="V54" s="15" t="str">
        <f>AND(Trans!B791,"AAAAAH+6/RU=")</f>
        <v>#VALUE!:noResult:No valid cells found for operation.</v>
      </c>
      <c r="W54" s="15" t="b">
        <f>AND(Trans!C791,"AAAAAH+6/RY=")</f>
        <v>1</v>
      </c>
      <c r="X54" s="15" t="b">
        <f>AND(Trans!D791,"AAAAAH+6/Rc=")</f>
        <v>1</v>
      </c>
      <c r="Y54" s="15" t="str">
        <f>AND(Trans!E791,"AAAAAH+6/Rg=")</f>
        <v>#VALUE!:noResult:No valid cells found for operation.</v>
      </c>
      <c r="Z54" s="15" t="str">
        <f>AND(Trans!F791,"AAAAAH+6/Rk=")</f>
        <v>#VALUE!:noResult:No valid cells found for operation.</v>
      </c>
      <c r="AA54" s="15" t="str">
        <f>AND(Trans!G791,"AAAAAH+6/Ro=")</f>
        <v>#VALUE!:noResult:No valid cells found for operation.</v>
      </c>
      <c r="AB54" s="15" t="str">
        <f>#REF!</f>
        <v>#VALUE!:noResult:No valid cells found for operation.</v>
      </c>
      <c r="AC54" s="15" t="str">
        <f>AND(Trans!H791,"AAAAAH+6/Rw=")</f>
        <v>#VALUE!:noResult:No valid cells found for operation.</v>
      </c>
      <c r="AD54" s="15" t="str">
        <f>#REF!</f>
        <v>#VALUE!:noResult:No valid cells found for operation.</v>
      </c>
      <c r="AE54" s="15" t="str">
        <f>#REF!</f>
        <v>#VALUE!:noResult:No valid cells found for operation.</v>
      </c>
      <c r="AF54" s="15" t="str">
        <f>#REF!</f>
        <v>#VALUE!:noResult:No valid cells found for operation.</v>
      </c>
      <c r="AG54" s="15" t="str">
        <f>#REF!</f>
        <v>#VALUE!:noResult:No valid cells found for operation.</v>
      </c>
      <c r="AH54" s="15" t="str">
        <f>#REF!</f>
        <v>#VALUE!:noResult:No valid cells found for operation.</v>
      </c>
      <c r="AI54" s="15" t="str">
        <f>#REF!</f>
        <v>#VALUE!:noResult:No valid cells found for operation.</v>
      </c>
      <c r="AJ54" s="15">
        <f>IF(Trans!R[738],"AAAAAH+6/SM=",0)</f>
        <v>0</v>
      </c>
      <c r="AK54" s="15" t="b">
        <f>AND(Trans!A792,"AAAAAH+6/SQ=")</f>
        <v>1</v>
      </c>
      <c r="AL54" s="15" t="str">
        <f>AND(Trans!B792,"AAAAAH+6/SU=")</f>
        <v>#VALUE!:noResult:No valid cells found for operation.</v>
      </c>
      <c r="AM54" s="15" t="b">
        <f>AND(Trans!C792,"AAAAAH+6/SY=")</f>
        <v>1</v>
      </c>
      <c r="AN54" s="15" t="b">
        <f>AND(Trans!D792,"AAAAAH+6/Sc=")</f>
        <v>1</v>
      </c>
      <c r="AO54" s="15" t="str">
        <f>AND(Trans!E792,"AAAAAH+6/Sg=")</f>
        <v>#VALUE!:noResult:No valid cells found for operation.</v>
      </c>
      <c r="AP54" s="15" t="str">
        <f>AND(Trans!F792,"AAAAAH+6/Sk=")</f>
        <v>#VALUE!:noResult:No valid cells found for operation.</v>
      </c>
      <c r="AQ54" s="15" t="str">
        <f>AND(Trans!G792,"AAAAAH+6/So=")</f>
        <v>#VALUE!:noResult:No valid cells found for operation.</v>
      </c>
      <c r="AR54" s="15" t="str">
        <f>#REF!</f>
        <v>#VALUE!:noResult:No valid cells found for operation.</v>
      </c>
      <c r="AS54" s="15" t="str">
        <f>AND(Trans!H792,"AAAAAH+6/Sw=")</f>
        <v>#VALUE!:noResult:No valid cells found for operation.</v>
      </c>
      <c r="AT54" s="15" t="str">
        <f>#REF!</f>
        <v>#VALUE!:noResult:No valid cells found for operation.</v>
      </c>
      <c r="AU54" s="15" t="str">
        <f>#REF!</f>
        <v>#VALUE!:noResult:No valid cells found for operation.</v>
      </c>
      <c r="AV54" s="15" t="str">
        <f>#REF!</f>
        <v>#VALUE!:noResult:No valid cells found for operation.</v>
      </c>
      <c r="AW54" s="15" t="str">
        <f>#REF!</f>
        <v>#VALUE!:noResult:No valid cells found for operation.</v>
      </c>
      <c r="AX54" s="15" t="str">
        <f>#REF!</f>
        <v>#VALUE!:noResult:No valid cells found for operation.</v>
      </c>
      <c r="AY54" s="15" t="str">
        <f>#REF!</f>
        <v>#VALUE!:noResult:No valid cells found for operation.</v>
      </c>
      <c r="AZ54" s="15">
        <f>IF(Trans!R[739],"AAAAAH+6/TM=",0)</f>
        <v>0</v>
      </c>
      <c r="BA54" s="15" t="b">
        <f>AND(Trans!A793,"AAAAAH+6/TQ=")</f>
        <v>1</v>
      </c>
      <c r="BB54" s="15" t="str">
        <f>AND(Trans!B793,"AAAAAH+6/TU=")</f>
        <v>#VALUE!:noResult:No valid cells found for operation.</v>
      </c>
      <c r="BC54" s="15" t="b">
        <f>AND(Trans!C793,"AAAAAH+6/TY=")</f>
        <v>1</v>
      </c>
      <c r="BD54" s="15" t="b">
        <f>AND(Trans!D793,"AAAAAH+6/Tc=")</f>
        <v>1</v>
      </c>
      <c r="BE54" s="15" t="str">
        <f>AND(Trans!E793,"AAAAAH+6/Tg=")</f>
        <v>#VALUE!:noResult:No valid cells found for operation.</v>
      </c>
      <c r="BF54" s="15" t="str">
        <f>AND(Trans!F793,"AAAAAH+6/Tk=")</f>
        <v>#VALUE!:noResult:No valid cells found for operation.</v>
      </c>
      <c r="BG54" s="15" t="str">
        <f>AND(Trans!G793,"AAAAAH+6/To=")</f>
        <v>#VALUE!:noResult:No valid cells found for operation.</v>
      </c>
      <c r="BH54" s="15" t="str">
        <f>#REF!</f>
        <v>#VALUE!:noResult:No valid cells found for operation.</v>
      </c>
      <c r="BI54" s="15" t="str">
        <f>AND(Trans!H793,"AAAAAH+6/Tw=")</f>
        <v>#VALUE!:noResult:No valid cells found for operation.</v>
      </c>
      <c r="BJ54" s="15" t="str">
        <f>#REF!</f>
        <v>#VALUE!:noResult:No valid cells found for operation.</v>
      </c>
      <c r="BK54" s="15" t="str">
        <f>#REF!</f>
        <v>#VALUE!:noResult:No valid cells found for operation.</v>
      </c>
      <c r="BL54" s="15" t="str">
        <f>#REF!</f>
        <v>#VALUE!:noResult:No valid cells found for operation.</v>
      </c>
      <c r="BM54" s="15" t="str">
        <f>#REF!</f>
        <v>#VALUE!:noResult:No valid cells found for operation.</v>
      </c>
      <c r="BN54" s="15" t="str">
        <f>#REF!</f>
        <v>#VALUE!:noResult:No valid cells found for operation.</v>
      </c>
      <c r="BO54" s="15" t="str">
        <f>#REF!</f>
        <v>#VALUE!:noResult:No valid cells found for operation.</v>
      </c>
      <c r="BP54" s="15">
        <f>IF(Trans!R[740],"AAAAAH+6/UM=",0)</f>
        <v>0</v>
      </c>
      <c r="BQ54" s="15" t="b">
        <f>AND(Trans!A794,"AAAAAH+6/UQ=")</f>
        <v>1</v>
      </c>
      <c r="BR54" s="15" t="str">
        <f>AND(Trans!B794,"AAAAAH+6/UU=")</f>
        <v>#VALUE!:noResult:No valid cells found for operation.</v>
      </c>
      <c r="BS54" s="15" t="b">
        <f>AND(Trans!C794,"AAAAAH+6/UY=")</f>
        <v>1</v>
      </c>
      <c r="BT54" s="15" t="b">
        <f>AND(Trans!D794,"AAAAAH+6/Uc=")</f>
        <v>1</v>
      </c>
      <c r="BU54" s="15" t="str">
        <f>AND(Trans!E794,"AAAAAH+6/Ug=")</f>
        <v>#VALUE!:noResult:No valid cells found for operation.</v>
      </c>
      <c r="BV54" s="15" t="str">
        <f>AND(Trans!F794,"AAAAAH+6/Uk=")</f>
        <v>#VALUE!:noResult:No valid cells found for operation.</v>
      </c>
      <c r="BW54" s="15" t="str">
        <f>AND(Trans!G794,"AAAAAH+6/Uo=")</f>
        <v>#VALUE!:noResult:No valid cells found for operation.</v>
      </c>
      <c r="BX54" s="15" t="str">
        <f>#REF!</f>
        <v>#VALUE!:noResult:No valid cells found for operation.</v>
      </c>
      <c r="BY54" s="15" t="str">
        <f>AND(Trans!H794,"AAAAAH+6/Uw=")</f>
        <v>#VALUE!:noResult:No valid cells found for operation.</v>
      </c>
      <c r="BZ54" s="15" t="str">
        <f>#REF!</f>
        <v>#VALUE!:noResult:No valid cells found for operation.</v>
      </c>
      <c r="CA54" s="15" t="str">
        <f>#REF!</f>
        <v>#VALUE!:noResult:No valid cells found for operation.</v>
      </c>
      <c r="CB54" s="15" t="str">
        <f>#REF!</f>
        <v>#VALUE!:noResult:No valid cells found for operation.</v>
      </c>
      <c r="CC54" s="15" t="str">
        <f>#REF!</f>
        <v>#VALUE!:noResult:No valid cells found for operation.</v>
      </c>
      <c r="CD54" s="15" t="str">
        <f>#REF!</f>
        <v>#VALUE!:noResult:No valid cells found for operation.</v>
      </c>
      <c r="CE54" s="15" t="str">
        <f>#REF!</f>
        <v>#VALUE!:noResult:No valid cells found for operation.</v>
      </c>
      <c r="CF54" s="15">
        <f>IF(Trans!R[741],"AAAAAH+6/VM=",0)</f>
        <v>0</v>
      </c>
      <c r="CG54" s="15" t="b">
        <f>AND(Trans!A795,"AAAAAH+6/VQ=")</f>
        <v>1</v>
      </c>
      <c r="CH54" s="15" t="str">
        <f>AND(Trans!B795,"AAAAAH+6/VU=")</f>
        <v>#VALUE!:noResult:No valid cells found for operation.</v>
      </c>
      <c r="CI54" s="15" t="b">
        <f>AND(Trans!C795,"AAAAAH+6/VY=")</f>
        <v>1</v>
      </c>
      <c r="CJ54" s="15" t="b">
        <f>AND(Trans!D795,"AAAAAH+6/Vc=")</f>
        <v>1</v>
      </c>
      <c r="CK54" s="15" t="str">
        <f>AND(Trans!E795,"AAAAAH+6/Vg=")</f>
        <v>#VALUE!:noResult:No valid cells found for operation.</v>
      </c>
      <c r="CL54" s="15" t="str">
        <f>AND(Trans!F795,"AAAAAH+6/Vk=")</f>
        <v>#VALUE!:noResult:No valid cells found for operation.</v>
      </c>
      <c r="CM54" s="15" t="str">
        <f>AND(Trans!G795,"AAAAAH+6/Vo=")</f>
        <v>#VALUE!:noResult:No valid cells found for operation.</v>
      </c>
      <c r="CN54" s="15" t="str">
        <f>#REF!</f>
        <v>#VALUE!:noResult:No valid cells found for operation.</v>
      </c>
      <c r="CO54" s="15" t="str">
        <f>AND(Trans!H795,"AAAAAH+6/Vw=")</f>
        <v>#VALUE!:noResult:No valid cells found for operation.</v>
      </c>
      <c r="CP54" s="15" t="str">
        <f>#REF!</f>
        <v>#VALUE!:noResult:No valid cells found for operation.</v>
      </c>
      <c r="CQ54" s="15" t="str">
        <f>#REF!</f>
        <v>#VALUE!:noResult:No valid cells found for operation.</v>
      </c>
      <c r="CR54" s="15" t="str">
        <f>#REF!</f>
        <v>#VALUE!:noResult:No valid cells found for operation.</v>
      </c>
      <c r="CS54" s="15" t="str">
        <f>#REF!</f>
        <v>#VALUE!:noResult:No valid cells found for operation.</v>
      </c>
      <c r="CT54" s="15" t="str">
        <f>#REF!</f>
        <v>#VALUE!:noResult:No valid cells found for operation.</v>
      </c>
      <c r="CU54" s="15" t="str">
        <f>#REF!</f>
        <v>#VALUE!:noResult:No valid cells found for operation.</v>
      </c>
      <c r="CV54" s="15">
        <f>IF(Trans!R[742],"AAAAAH+6/WM=",0)</f>
        <v>0</v>
      </c>
      <c r="CW54" s="15" t="b">
        <f>AND(Trans!A796,"AAAAAH+6/WQ=")</f>
        <v>1</v>
      </c>
      <c r="CX54" s="15" t="str">
        <f>AND(Trans!B796,"AAAAAH+6/WU=")</f>
        <v>#VALUE!:noResult:No valid cells found for operation.</v>
      </c>
      <c r="CY54" s="15" t="b">
        <f>AND(Trans!C796,"AAAAAH+6/WY=")</f>
        <v>1</v>
      </c>
      <c r="CZ54" s="15" t="b">
        <f>AND(Trans!D796,"AAAAAH+6/Wc=")</f>
        <v>1</v>
      </c>
      <c r="DA54" s="15" t="str">
        <f>AND(Trans!E796,"AAAAAH+6/Wg=")</f>
        <v>#VALUE!:noResult:No valid cells found for operation.</v>
      </c>
      <c r="DB54" s="15" t="str">
        <f>AND(Trans!F796,"AAAAAH+6/Wk=")</f>
        <v>#VALUE!:noResult:No valid cells found for operation.</v>
      </c>
      <c r="DC54" s="15" t="str">
        <f>AND(Trans!G796,"AAAAAH+6/Wo=")</f>
        <v>#VALUE!:noResult:No valid cells found for operation.</v>
      </c>
      <c r="DD54" s="15" t="str">
        <f>#REF!</f>
        <v>#VALUE!:noResult:No valid cells found for operation.</v>
      </c>
      <c r="DE54" s="15" t="str">
        <f>AND(Trans!H796,"AAAAAH+6/Ww=")</f>
        <v>#VALUE!:noResult:No valid cells found for operation.</v>
      </c>
      <c r="DF54" s="15" t="str">
        <f>#REF!</f>
        <v>#VALUE!:noResult:No valid cells found for operation.</v>
      </c>
      <c r="DG54" s="15" t="str">
        <f>#REF!</f>
        <v>#VALUE!:noResult:No valid cells found for operation.</v>
      </c>
      <c r="DH54" s="15" t="str">
        <f>#REF!</f>
        <v>#VALUE!:noResult:No valid cells found for operation.</v>
      </c>
      <c r="DI54" s="15" t="str">
        <f>#REF!</f>
        <v>#VALUE!:noResult:No valid cells found for operation.</v>
      </c>
      <c r="DJ54" s="15" t="str">
        <f>#REF!</f>
        <v>#VALUE!:noResult:No valid cells found for operation.</v>
      </c>
      <c r="DK54" s="15" t="str">
        <f>#REF!</f>
        <v>#VALUE!:noResult:No valid cells found for operation.</v>
      </c>
      <c r="DL54" s="15">
        <f>IF(Trans!R[743],"AAAAAH+6/XM=",0)</f>
        <v>0</v>
      </c>
      <c r="DM54" s="15" t="b">
        <f>AND(Trans!A797,"AAAAAH+6/XQ=")</f>
        <v>1</v>
      </c>
      <c r="DN54" s="15" t="str">
        <f>AND(Trans!B797,"AAAAAH+6/XU=")</f>
        <v>#VALUE!:noResult:No valid cells found for operation.</v>
      </c>
      <c r="DO54" s="15" t="b">
        <f>AND(Trans!C797,"AAAAAH+6/XY=")</f>
        <v>1</v>
      </c>
      <c r="DP54" s="15" t="b">
        <f>AND(Trans!D797,"AAAAAH+6/Xc=")</f>
        <v>1</v>
      </c>
      <c r="DQ54" s="15" t="str">
        <f>AND(Trans!E797,"AAAAAH+6/Xg=")</f>
        <v>#VALUE!:noResult:No valid cells found for operation.</v>
      </c>
      <c r="DR54" s="15" t="str">
        <f>AND(Trans!F797,"AAAAAH+6/Xk=")</f>
        <v>#VALUE!:noResult:No valid cells found for operation.</v>
      </c>
      <c r="DS54" s="15" t="str">
        <f>AND(Trans!G797,"AAAAAH+6/Xo=")</f>
        <v>#VALUE!:noResult:No valid cells found for operation.</v>
      </c>
      <c r="DT54" s="15" t="str">
        <f>#REF!</f>
        <v>#VALUE!:noResult:No valid cells found for operation.</v>
      </c>
      <c r="DU54" s="15" t="str">
        <f>AND(Trans!H797,"AAAAAH+6/Xw=")</f>
        <v>#VALUE!:noResult:No valid cells found for operation.</v>
      </c>
      <c r="DV54" s="15" t="str">
        <f>#REF!</f>
        <v>#VALUE!:noResult:No valid cells found for operation.</v>
      </c>
      <c r="DW54" s="15" t="str">
        <f>#REF!</f>
        <v>#VALUE!:noResult:No valid cells found for operation.</v>
      </c>
      <c r="DX54" s="15" t="str">
        <f>#REF!</f>
        <v>#VALUE!:noResult:No valid cells found for operation.</v>
      </c>
      <c r="DY54" s="15" t="str">
        <f>#REF!</f>
        <v>#VALUE!:noResult:No valid cells found for operation.</v>
      </c>
      <c r="DZ54" s="15" t="str">
        <f>#REF!</f>
        <v>#VALUE!:noResult:No valid cells found for operation.</v>
      </c>
      <c r="EA54" s="15" t="str">
        <f>#REF!</f>
        <v>#VALUE!:noResult:No valid cells found for operation.</v>
      </c>
      <c r="EB54" s="15">
        <f>IF(Trans!R[744],"AAAAAH+6/YM=",0)</f>
        <v>0</v>
      </c>
      <c r="EC54" s="15" t="b">
        <f>AND(Trans!A798,"AAAAAH+6/YQ=")</f>
        <v>1</v>
      </c>
      <c r="ED54" s="15" t="str">
        <f>AND(Trans!B798,"AAAAAH+6/YU=")</f>
        <v>#VALUE!:noResult:No valid cells found for operation.</v>
      </c>
      <c r="EE54" s="15" t="b">
        <f>AND(Trans!C798,"AAAAAH+6/YY=")</f>
        <v>1</v>
      </c>
      <c r="EF54" s="15" t="b">
        <f>AND(Trans!D798,"AAAAAH+6/Yc=")</f>
        <v>1</v>
      </c>
      <c r="EG54" s="15" t="str">
        <f>AND(Trans!E798,"AAAAAH+6/Yg=")</f>
        <v>#VALUE!:noResult:No valid cells found for operation.</v>
      </c>
      <c r="EH54" s="15" t="str">
        <f>AND(Trans!F798,"AAAAAH+6/Yk=")</f>
        <v>#VALUE!:noResult:No valid cells found for operation.</v>
      </c>
      <c r="EI54" s="15" t="str">
        <f>AND(Trans!G798,"AAAAAH+6/Yo=")</f>
        <v>#VALUE!:noResult:No valid cells found for operation.</v>
      </c>
      <c r="EJ54" s="15" t="str">
        <f>#REF!</f>
        <v>#VALUE!:noResult:No valid cells found for operation.</v>
      </c>
      <c r="EK54" s="15" t="str">
        <f>AND(Trans!H798,"AAAAAH+6/Yw=")</f>
        <v>#VALUE!:noResult:No valid cells found for operation.</v>
      </c>
      <c r="EL54" s="15" t="str">
        <f>#REF!</f>
        <v>#VALUE!:noResult:No valid cells found for operation.</v>
      </c>
      <c r="EM54" s="15" t="str">
        <f>#REF!</f>
        <v>#VALUE!:noResult:No valid cells found for operation.</v>
      </c>
      <c r="EN54" s="15" t="str">
        <f>#REF!</f>
        <v>#VALUE!:noResult:No valid cells found for operation.</v>
      </c>
      <c r="EO54" s="15" t="str">
        <f>#REF!</f>
        <v>#VALUE!:noResult:No valid cells found for operation.</v>
      </c>
      <c r="EP54" s="15" t="str">
        <f>#REF!</f>
        <v>#VALUE!:noResult:No valid cells found for operation.</v>
      </c>
      <c r="EQ54" s="15" t="str">
        <f>#REF!</f>
        <v>#VALUE!:noResult:No valid cells found for operation.</v>
      </c>
      <c r="ER54" s="15">
        <f>IF(Trans!R[745],"AAAAAH+6/ZM=",0)</f>
        <v>0</v>
      </c>
      <c r="ES54" s="15" t="b">
        <f>AND(Trans!A799,"AAAAAH+6/ZQ=")</f>
        <v>1</v>
      </c>
      <c r="ET54" s="15" t="str">
        <f>AND(Trans!B799,"AAAAAH+6/ZU=")</f>
        <v>#VALUE!:noResult:No valid cells found for operation.</v>
      </c>
      <c r="EU54" s="15" t="b">
        <f>AND(Trans!C799,"AAAAAH+6/ZY=")</f>
        <v>1</v>
      </c>
      <c r="EV54" s="15" t="b">
        <f>AND(Trans!D799,"AAAAAH+6/Zc=")</f>
        <v>1</v>
      </c>
      <c r="EW54" s="15" t="str">
        <f>AND(Trans!E799,"AAAAAH+6/Zg=")</f>
        <v>#VALUE!:noResult:No valid cells found for operation.</v>
      </c>
      <c r="EX54" s="15" t="str">
        <f>AND(Trans!F799,"AAAAAH+6/Zk=")</f>
        <v>#VALUE!:noResult:No valid cells found for operation.</v>
      </c>
      <c r="EY54" s="15" t="str">
        <f>AND(Trans!G799,"AAAAAH+6/Zo=")</f>
        <v>#VALUE!:noResult:No valid cells found for operation.</v>
      </c>
      <c r="EZ54" s="15" t="str">
        <f>#REF!</f>
        <v>#VALUE!:noResult:No valid cells found for operation.</v>
      </c>
      <c r="FA54" s="15" t="str">
        <f>AND(Trans!H799,"AAAAAH+6/Zw=")</f>
        <v>#VALUE!:noResult:No valid cells found for operation.</v>
      </c>
      <c r="FB54" s="15" t="str">
        <f>#REF!</f>
        <v>#VALUE!:noResult:No valid cells found for operation.</v>
      </c>
      <c r="FC54" s="15" t="str">
        <f>#REF!</f>
        <v>#VALUE!:noResult:No valid cells found for operation.</v>
      </c>
      <c r="FD54" s="15" t="str">
        <f>#REF!</f>
        <v>#VALUE!:noResult:No valid cells found for operation.</v>
      </c>
      <c r="FE54" s="15" t="str">
        <f>#REF!</f>
        <v>#VALUE!:noResult:No valid cells found for operation.</v>
      </c>
      <c r="FF54" s="15" t="str">
        <f>#REF!</f>
        <v>#VALUE!:noResult:No valid cells found for operation.</v>
      </c>
      <c r="FG54" s="15" t="str">
        <f>#REF!</f>
        <v>#VALUE!:noResult:No valid cells found for operation.</v>
      </c>
      <c r="FH54" s="15">
        <f>IF(Trans!R[746],"AAAAAH+6/aM=",0)</f>
        <v>0</v>
      </c>
      <c r="FI54" s="15" t="b">
        <f>AND(Trans!A800,"AAAAAH+6/aQ=")</f>
        <v>1</v>
      </c>
      <c r="FJ54" s="15" t="str">
        <f>AND(Trans!B800,"AAAAAH+6/aU=")</f>
        <v>#VALUE!:noResult:No valid cells found for operation.</v>
      </c>
      <c r="FK54" s="15" t="b">
        <f>AND(Trans!C800,"AAAAAH+6/aY=")</f>
        <v>1</v>
      </c>
      <c r="FL54" s="15" t="b">
        <f>AND(Trans!D800,"AAAAAH+6/ac=")</f>
        <v>1</v>
      </c>
      <c r="FM54" s="15" t="str">
        <f>AND(Trans!E800,"AAAAAH+6/ag=")</f>
        <v>#VALUE!:noResult:No valid cells found for operation.</v>
      </c>
      <c r="FN54" s="15" t="str">
        <f>AND(Trans!F800,"AAAAAH+6/ak=")</f>
        <v>#VALUE!:noResult:No valid cells found for operation.</v>
      </c>
      <c r="FO54" s="15" t="str">
        <f>AND(Trans!G800,"AAAAAH+6/ao=")</f>
        <v>#VALUE!:noResult:No valid cells found for operation.</v>
      </c>
      <c r="FP54" s="15" t="str">
        <f>#REF!</f>
        <v>#VALUE!:noResult:No valid cells found for operation.</v>
      </c>
      <c r="FQ54" s="15" t="str">
        <f>AND(Trans!H800,"AAAAAH+6/aw=")</f>
        <v>#VALUE!:noResult:No valid cells found for operation.</v>
      </c>
      <c r="FR54" s="15" t="str">
        <f>#REF!</f>
        <v>#VALUE!:noResult:No valid cells found for operation.</v>
      </c>
      <c r="FS54" s="15" t="str">
        <f>#REF!</f>
        <v>#VALUE!:noResult:No valid cells found for operation.</v>
      </c>
      <c r="FT54" s="15" t="str">
        <f>#REF!</f>
        <v>#VALUE!:noResult:No valid cells found for operation.</v>
      </c>
      <c r="FU54" s="15" t="str">
        <f>#REF!</f>
        <v>#VALUE!:noResult:No valid cells found for operation.</v>
      </c>
      <c r="FV54" s="15" t="str">
        <f>#REF!</f>
        <v>#VALUE!:noResult:No valid cells found for operation.</v>
      </c>
      <c r="FW54" s="15" t="str">
        <f>#REF!</f>
        <v>#VALUE!:noResult:No valid cells found for operation.</v>
      </c>
      <c r="FX54" s="15">
        <f>IF(Trans!R[747],"AAAAAH+6/bM=",0)</f>
        <v>0</v>
      </c>
      <c r="FY54" s="15" t="b">
        <f>AND(Trans!A801,"AAAAAH+6/bQ=")</f>
        <v>1</v>
      </c>
      <c r="FZ54" s="15" t="str">
        <f>AND(Trans!B801,"AAAAAH+6/bU=")</f>
        <v>#VALUE!:noResult:No valid cells found for operation.</v>
      </c>
      <c r="GA54" s="15" t="b">
        <f>AND(Trans!C801,"AAAAAH+6/bY=")</f>
        <v>1</v>
      </c>
      <c r="GB54" s="15" t="b">
        <f>AND(Trans!D801,"AAAAAH+6/bc=")</f>
        <v>1</v>
      </c>
      <c r="GC54" s="15" t="str">
        <f>AND(Trans!E801,"AAAAAH+6/bg=")</f>
        <v>#VALUE!:noResult:No valid cells found for operation.</v>
      </c>
      <c r="GD54" s="15" t="str">
        <f>AND(Trans!F801,"AAAAAH+6/bk=")</f>
        <v>#VALUE!:noResult:No valid cells found for operation.</v>
      </c>
      <c r="GE54" s="15" t="str">
        <f>AND(Trans!G801,"AAAAAH+6/bo=")</f>
        <v>#VALUE!:noResult:No valid cells found for operation.</v>
      </c>
      <c r="GF54" s="15" t="str">
        <f>#REF!</f>
        <v>#VALUE!:noResult:No valid cells found for operation.</v>
      </c>
      <c r="GG54" s="15" t="str">
        <f>AND(Trans!H801,"AAAAAH+6/bw=")</f>
        <v>#VALUE!:noResult:No valid cells found for operation.</v>
      </c>
      <c r="GH54" s="15" t="str">
        <f>#REF!</f>
        <v>#VALUE!:noResult:No valid cells found for operation.</v>
      </c>
      <c r="GI54" s="15" t="str">
        <f>#REF!</f>
        <v>#VALUE!:noResult:No valid cells found for operation.</v>
      </c>
      <c r="GJ54" s="15" t="str">
        <f>#REF!</f>
        <v>#VALUE!:noResult:No valid cells found for operation.</v>
      </c>
      <c r="GK54" s="15" t="str">
        <f>#REF!</f>
        <v>#VALUE!:noResult:No valid cells found for operation.</v>
      </c>
      <c r="GL54" s="15" t="str">
        <f>#REF!</f>
        <v>#VALUE!:noResult:No valid cells found for operation.</v>
      </c>
      <c r="GM54" s="15" t="str">
        <f>#REF!</f>
        <v>#VALUE!:noResult:No valid cells found for operation.</v>
      </c>
      <c r="GN54" s="15">
        <f>IF(Trans!R[748],"AAAAAH+6/cM=",0)</f>
        <v>0</v>
      </c>
      <c r="GO54" s="15" t="b">
        <f>AND(Trans!A802,"AAAAAH+6/cQ=")</f>
        <v>1</v>
      </c>
      <c r="GP54" s="15" t="str">
        <f>AND(Trans!B802,"AAAAAH+6/cU=")</f>
        <v>#VALUE!:noResult:No valid cells found for operation.</v>
      </c>
      <c r="GQ54" s="15" t="b">
        <f>AND(Trans!C802,"AAAAAH+6/cY=")</f>
        <v>1</v>
      </c>
      <c r="GR54" s="15" t="b">
        <f>AND(Trans!D802,"AAAAAH+6/cc=")</f>
        <v>1</v>
      </c>
      <c r="GS54" s="15" t="str">
        <f>AND(Trans!E802,"AAAAAH+6/cg=")</f>
        <v>#VALUE!:noResult:No valid cells found for operation.</v>
      </c>
      <c r="GT54" s="15" t="str">
        <f>AND(Trans!F802,"AAAAAH+6/ck=")</f>
        <v>#VALUE!:noResult:No valid cells found for operation.</v>
      </c>
      <c r="GU54" s="15" t="str">
        <f>AND(Trans!G802,"AAAAAH+6/co=")</f>
        <v>#VALUE!:noResult:No valid cells found for operation.</v>
      </c>
      <c r="GV54" s="15" t="str">
        <f>#REF!</f>
        <v>#VALUE!:noResult:No valid cells found for operation.</v>
      </c>
      <c r="GW54" s="15" t="str">
        <f>AND(Trans!H802,"AAAAAH+6/cw=")</f>
        <v>#VALUE!:noResult:No valid cells found for operation.</v>
      </c>
      <c r="GX54" s="15" t="str">
        <f>#REF!</f>
        <v>#VALUE!:noResult:No valid cells found for operation.</v>
      </c>
      <c r="GY54" s="15" t="str">
        <f>#REF!</f>
        <v>#VALUE!:noResult:No valid cells found for operation.</v>
      </c>
      <c r="GZ54" s="15" t="str">
        <f>#REF!</f>
        <v>#VALUE!:noResult:No valid cells found for operation.</v>
      </c>
      <c r="HA54" s="15" t="str">
        <f>#REF!</f>
        <v>#VALUE!:noResult:No valid cells found for operation.</v>
      </c>
      <c r="HB54" s="15" t="str">
        <f>#REF!</f>
        <v>#VALUE!:noResult:No valid cells found for operation.</v>
      </c>
      <c r="HC54" s="15" t="str">
        <f>#REF!</f>
        <v>#VALUE!:noResult:No valid cells found for operation.</v>
      </c>
      <c r="HD54" s="15">
        <f>IF(Trans!R[749],"AAAAAH+6/dM=",0)</f>
        <v>0</v>
      </c>
      <c r="HE54" s="15" t="b">
        <f>AND(Trans!A803,"AAAAAH+6/dQ=")</f>
        <v>1</v>
      </c>
      <c r="HF54" s="15" t="str">
        <f>AND(Trans!B803,"AAAAAH+6/dU=")</f>
        <v>#VALUE!:noResult:No valid cells found for operation.</v>
      </c>
      <c r="HG54" s="15" t="b">
        <f>AND(Trans!C803,"AAAAAH+6/dY=")</f>
        <v>1</v>
      </c>
      <c r="HH54" s="15" t="b">
        <f>AND(Trans!D803,"AAAAAH+6/dc=")</f>
        <v>1</v>
      </c>
      <c r="HI54" s="15" t="str">
        <f>AND(Trans!E803,"AAAAAH+6/dg=")</f>
        <v>#VALUE!:noResult:No valid cells found for operation.</v>
      </c>
      <c r="HJ54" s="15" t="str">
        <f>AND(Trans!F803,"AAAAAH+6/dk=")</f>
        <v>#VALUE!:noResult:No valid cells found for operation.</v>
      </c>
      <c r="HK54" s="15" t="str">
        <f>AND(Trans!G803,"AAAAAH+6/do=")</f>
        <v>#VALUE!:noResult:No valid cells found for operation.</v>
      </c>
      <c r="HL54" s="15" t="str">
        <f>#REF!</f>
        <v>#VALUE!:noResult:No valid cells found for operation.</v>
      </c>
      <c r="HM54" s="15" t="str">
        <f>AND(Trans!H803,"AAAAAH+6/dw=")</f>
        <v>#VALUE!:noResult:No valid cells found for operation.</v>
      </c>
      <c r="HN54" s="15" t="str">
        <f>#REF!</f>
        <v>#VALUE!:noResult:No valid cells found for operation.</v>
      </c>
      <c r="HO54" s="15" t="str">
        <f>#REF!</f>
        <v>#VALUE!:noResult:No valid cells found for operation.</v>
      </c>
      <c r="HP54" s="15" t="str">
        <f>#REF!</f>
        <v>#VALUE!:noResult:No valid cells found for operation.</v>
      </c>
      <c r="HQ54" s="15" t="str">
        <f>#REF!</f>
        <v>#VALUE!:noResult:No valid cells found for operation.</v>
      </c>
      <c r="HR54" s="15" t="str">
        <f>#REF!</f>
        <v>#VALUE!:noResult:No valid cells found for operation.</v>
      </c>
      <c r="HS54" s="15" t="str">
        <f>#REF!</f>
        <v>#VALUE!:noResult:No valid cells found for operation.</v>
      </c>
      <c r="HT54" s="15">
        <f>IF(Trans!R[750],"AAAAAH+6/eM=",0)</f>
        <v>0</v>
      </c>
      <c r="HU54" s="15" t="b">
        <f>AND(Trans!A804,"AAAAAH+6/eQ=")</f>
        <v>1</v>
      </c>
      <c r="HV54" s="15" t="str">
        <f>AND(Trans!B804,"AAAAAH+6/eU=")</f>
        <v>#VALUE!:noResult:No valid cells found for operation.</v>
      </c>
      <c r="HW54" s="15" t="b">
        <f>AND(Trans!C804,"AAAAAH+6/eY=")</f>
        <v>1</v>
      </c>
      <c r="HX54" s="15" t="b">
        <f>AND(Trans!D804,"AAAAAH+6/ec=")</f>
        <v>1</v>
      </c>
      <c r="HY54" s="15" t="str">
        <f>AND(Trans!E804,"AAAAAH+6/eg=")</f>
        <v>#VALUE!:noResult:No valid cells found for operation.</v>
      </c>
      <c r="HZ54" s="15" t="str">
        <f>AND(Trans!F804,"AAAAAH+6/ek=")</f>
        <v>#VALUE!:noResult:No valid cells found for operation.</v>
      </c>
      <c r="IA54" s="15" t="str">
        <f>AND(Trans!G804,"AAAAAH+6/eo=")</f>
        <v>#VALUE!:noResult:No valid cells found for operation.</v>
      </c>
      <c r="IB54" s="15" t="str">
        <f>#REF!</f>
        <v>#VALUE!:noResult:No valid cells found for operation.</v>
      </c>
      <c r="IC54" s="15" t="str">
        <f>AND(Trans!H804,"AAAAAH+6/ew=")</f>
        <v>#VALUE!:noResult:No valid cells found for operation.</v>
      </c>
      <c r="ID54" s="15" t="str">
        <f>#REF!</f>
        <v>#VALUE!:noResult:No valid cells found for operation.</v>
      </c>
      <c r="IE54" s="15" t="str">
        <f>#REF!</f>
        <v>#VALUE!:noResult:No valid cells found for operation.</v>
      </c>
      <c r="IF54" s="15" t="str">
        <f>#REF!</f>
        <v>#VALUE!:noResult:No valid cells found for operation.</v>
      </c>
      <c r="IG54" s="15" t="str">
        <f>#REF!</f>
        <v>#VALUE!:noResult:No valid cells found for operation.</v>
      </c>
      <c r="IH54" s="15" t="str">
        <f>#REF!</f>
        <v>#VALUE!:noResult:No valid cells found for operation.</v>
      </c>
      <c r="II54" s="15" t="str">
        <f>#REF!</f>
        <v>#VALUE!:noResult:No valid cells found for operation.</v>
      </c>
      <c r="IJ54" s="15">
        <f>IF(Trans!R[751],"AAAAAH+6/fM=",0)</f>
        <v>0</v>
      </c>
      <c r="IK54" s="15" t="b">
        <f>AND(Trans!A805,"AAAAAH+6/fQ=")</f>
        <v>1</v>
      </c>
      <c r="IL54" s="15" t="str">
        <f>AND(Trans!B805,"AAAAAH+6/fU=")</f>
        <v>#VALUE!:noResult:No valid cells found for operation.</v>
      </c>
      <c r="IM54" s="15" t="b">
        <f>AND(Trans!C805,"AAAAAH+6/fY=")</f>
        <v>1</v>
      </c>
      <c r="IN54" s="15" t="b">
        <f>AND(Trans!D805,"AAAAAH+6/fc=")</f>
        <v>1</v>
      </c>
      <c r="IO54" s="15" t="str">
        <f>AND(Trans!E805,"AAAAAH+6/fg=")</f>
        <v>#VALUE!:noResult:No valid cells found for operation.</v>
      </c>
      <c r="IP54" s="15" t="str">
        <f>AND(Trans!F805,"AAAAAH+6/fk=")</f>
        <v>#VALUE!:noResult:No valid cells found for operation.</v>
      </c>
      <c r="IQ54" s="15" t="str">
        <f>AND(Trans!G805,"AAAAAH+6/fo=")</f>
        <v>#VALUE!:noResult:No valid cells found for operation.</v>
      </c>
      <c r="IR54" s="15" t="str">
        <f>#REF!</f>
        <v>#VALUE!:noResult:No valid cells found for operation.</v>
      </c>
      <c r="IS54" s="15" t="str">
        <f>AND(Trans!H805,"AAAAAH+6/fw=")</f>
        <v>#VALUE!:noResult:No valid cells found for operation.</v>
      </c>
      <c r="IT54" s="15" t="str">
        <f>#REF!</f>
        <v>#VALUE!:noResult:No valid cells found for operation.</v>
      </c>
      <c r="IU54" s="15" t="str">
        <f>#REF!</f>
        <v>#VALUE!:noResult:No valid cells found for operation.</v>
      </c>
      <c r="IV54" s="15" t="str">
        <f>#REF!</f>
        <v>#VALUE!:noResult:No valid cells found for operation.</v>
      </c>
    </row>
    <row r="55">
      <c r="A55" s="15" t="str">
        <f>#REF!</f>
        <v>#VALUE!:noResult:No valid cells found for operation.</v>
      </c>
      <c r="B55" s="15" t="str">
        <f>#REF!</f>
        <v>#VALUE!:noResult:No valid cells found for operation.</v>
      </c>
      <c r="C55" s="15" t="str">
        <f>#REF!</f>
        <v>#VALUE!:noResult:No valid cells found for operation.</v>
      </c>
      <c r="D55" s="15" t="str">
        <f>IF(Trans!R[751],"AAAAAHqzrwM=",0)</f>
        <v>AAAAAHqzrwM=</v>
      </c>
      <c r="E55" s="15" t="b">
        <f>AND(Trans!A806,"AAAAAHqzrwQ=")</f>
        <v>1</v>
      </c>
      <c r="F55" s="15" t="str">
        <f>AND(Trans!B806,"AAAAAHqzrwU=")</f>
        <v>#VALUE!:noResult:No valid cells found for operation.</v>
      </c>
      <c r="G55" s="15" t="b">
        <f>AND(Trans!C806,"AAAAAHqzrwY=")</f>
        <v>1</v>
      </c>
      <c r="H55" s="15" t="b">
        <f>AND(Trans!D806,"AAAAAHqzrwc=")</f>
        <v>1</v>
      </c>
      <c r="I55" s="15" t="str">
        <f>AND(Trans!E806,"AAAAAHqzrwg=")</f>
        <v>#VALUE!:noResult:No valid cells found for operation.</v>
      </c>
      <c r="J55" s="15" t="str">
        <f>AND(Trans!F806,"AAAAAHqzrwk=")</f>
        <v>#VALUE!:noResult:No valid cells found for operation.</v>
      </c>
      <c r="K55" s="15" t="str">
        <f>AND(Trans!G806,"AAAAAHqzrwo=")</f>
        <v>#VALUE!:noResult:No valid cells found for operation.</v>
      </c>
      <c r="L55" s="15" t="str">
        <f>#REF!</f>
        <v>#VALUE!:noResult:No valid cells found for operation.</v>
      </c>
      <c r="M55" s="15" t="str">
        <f>AND(Trans!H806,"AAAAAHqzrww=")</f>
        <v>#VALUE!:noResult:No valid cells found for operation.</v>
      </c>
      <c r="N55" s="15" t="str">
        <f>#REF!</f>
        <v>#VALUE!:noResult:No valid cells found for operation.</v>
      </c>
      <c r="O55" s="15" t="str">
        <f>#REF!</f>
        <v>#VALUE!:noResult:No valid cells found for operation.</v>
      </c>
      <c r="P55" s="15" t="str">
        <f>#REF!</f>
        <v>#VALUE!:noResult:No valid cells found for operation.</v>
      </c>
      <c r="Q55" s="15" t="str">
        <f>#REF!</f>
        <v>#VALUE!:noResult:No valid cells found for operation.</v>
      </c>
      <c r="R55" s="15" t="str">
        <f>#REF!</f>
        <v>#VALUE!:noResult:No valid cells found for operation.</v>
      </c>
      <c r="S55" s="15" t="str">
        <f>#REF!</f>
        <v>#VALUE!:noResult:No valid cells found for operation.</v>
      </c>
      <c r="T55" s="15">
        <f>IF(Trans!R[752],"AAAAAHqzrxM=",0)</f>
        <v>0</v>
      </c>
      <c r="U55" s="15" t="b">
        <f>AND(Trans!A807,"AAAAAHqzrxQ=")</f>
        <v>1</v>
      </c>
      <c r="V55" s="15" t="str">
        <f>AND(Trans!B807,"AAAAAHqzrxU=")</f>
        <v>#VALUE!:noResult:No valid cells found for operation.</v>
      </c>
      <c r="W55" s="15" t="b">
        <f>AND(Trans!C807,"AAAAAHqzrxY=")</f>
        <v>1</v>
      </c>
      <c r="X55" s="15" t="b">
        <f>AND(Trans!D807,"AAAAAHqzrxc=")</f>
        <v>1</v>
      </c>
      <c r="Y55" s="15" t="str">
        <f>AND(Trans!E807,"AAAAAHqzrxg=")</f>
        <v>#VALUE!:noResult:No valid cells found for operation.</v>
      </c>
      <c r="Z55" s="15" t="str">
        <f>AND(Trans!F807,"AAAAAHqzrxk=")</f>
        <v>#VALUE!:noResult:No valid cells found for operation.</v>
      </c>
      <c r="AA55" s="15" t="str">
        <f>AND(Trans!G807,"AAAAAHqzrxo=")</f>
        <v>#VALUE!:noResult:No valid cells found for operation.</v>
      </c>
      <c r="AB55" s="15" t="str">
        <f>#REF!</f>
        <v>#VALUE!:noResult:No valid cells found for operation.</v>
      </c>
      <c r="AC55" s="15" t="str">
        <f>AND(Trans!H807,"AAAAAHqzrxw=")</f>
        <v>#VALUE!:noResult:No valid cells found for operation.</v>
      </c>
      <c r="AD55" s="15" t="str">
        <f>#REF!</f>
        <v>#VALUE!:noResult:No valid cells found for operation.</v>
      </c>
      <c r="AE55" s="15" t="str">
        <f>#REF!</f>
        <v>#VALUE!:noResult:No valid cells found for operation.</v>
      </c>
      <c r="AF55" s="15" t="str">
        <f>#REF!</f>
        <v>#VALUE!:noResult:No valid cells found for operation.</v>
      </c>
      <c r="AG55" s="15" t="str">
        <f>#REF!</f>
        <v>#VALUE!:noResult:No valid cells found for operation.</v>
      </c>
      <c r="AH55" s="15" t="str">
        <f>#REF!</f>
        <v>#VALUE!:noResult:No valid cells found for operation.</v>
      </c>
      <c r="AI55" s="15" t="str">
        <f>#REF!</f>
        <v>#VALUE!:noResult:No valid cells found for operation.</v>
      </c>
      <c r="AJ55" s="15">
        <f>IF(Trans!R[753],"AAAAAHqzryM=",0)</f>
        <v>0</v>
      </c>
      <c r="AK55" s="15" t="b">
        <f>AND(Trans!A808,"AAAAAHqzryQ=")</f>
        <v>1</v>
      </c>
      <c r="AL55" s="15" t="str">
        <f>AND(Trans!B808,"AAAAAHqzryU=")</f>
        <v>#VALUE!:noResult:No valid cells found for operation.</v>
      </c>
      <c r="AM55" s="15" t="b">
        <f>AND(Trans!C808,"AAAAAHqzryY=")</f>
        <v>1</v>
      </c>
      <c r="AN55" s="15" t="b">
        <f>AND(Trans!D808,"AAAAAHqzryc=")</f>
        <v>1</v>
      </c>
      <c r="AO55" s="15" t="str">
        <f>AND(Trans!E808,"AAAAAHqzryg=")</f>
        <v>#VALUE!:noResult:No valid cells found for operation.</v>
      </c>
      <c r="AP55" s="15" t="str">
        <f>AND(Trans!F808,"AAAAAHqzryk=")</f>
        <v>#VALUE!:noResult:No valid cells found for operation.</v>
      </c>
      <c r="AQ55" s="15" t="str">
        <f>AND(Trans!G808,"AAAAAHqzryo=")</f>
        <v>#VALUE!:noResult:No valid cells found for operation.</v>
      </c>
      <c r="AR55" s="15" t="str">
        <f>#REF!</f>
        <v>#VALUE!:noResult:No valid cells found for operation.</v>
      </c>
      <c r="AS55" s="15" t="str">
        <f>AND(Trans!H808,"AAAAAHqzryw=")</f>
        <v>#VALUE!:noResult:No valid cells found for operation.</v>
      </c>
      <c r="AT55" s="15" t="str">
        <f>#REF!</f>
        <v>#VALUE!:noResult:No valid cells found for operation.</v>
      </c>
      <c r="AU55" s="15" t="str">
        <f>#REF!</f>
        <v>#VALUE!:noResult:No valid cells found for operation.</v>
      </c>
      <c r="AV55" s="15" t="str">
        <f>#REF!</f>
        <v>#VALUE!:noResult:No valid cells found for operation.</v>
      </c>
      <c r="AW55" s="15" t="str">
        <f>#REF!</f>
        <v>#VALUE!:noResult:No valid cells found for operation.</v>
      </c>
      <c r="AX55" s="15" t="str">
        <f>#REF!</f>
        <v>#VALUE!:noResult:No valid cells found for operation.</v>
      </c>
      <c r="AY55" s="15" t="str">
        <f>#REF!</f>
        <v>#VALUE!:noResult:No valid cells found for operation.</v>
      </c>
      <c r="AZ55" s="15">
        <f>IF(Trans!R[754],"AAAAAHqzrzM=",0)</f>
        <v>0</v>
      </c>
      <c r="BA55" s="15" t="b">
        <f>AND(Trans!A809,"AAAAAHqzrzQ=")</f>
        <v>1</v>
      </c>
      <c r="BB55" s="15" t="str">
        <f>AND(Trans!B809,"AAAAAHqzrzU=")</f>
        <v>#VALUE!:noResult:No valid cells found for operation.</v>
      </c>
      <c r="BC55" s="15" t="b">
        <f>AND(Trans!C809,"AAAAAHqzrzY=")</f>
        <v>1</v>
      </c>
      <c r="BD55" s="15" t="b">
        <f>AND(Trans!D809,"AAAAAHqzrzc=")</f>
        <v>1</v>
      </c>
      <c r="BE55" s="15" t="str">
        <f>AND(Trans!E809,"AAAAAHqzrzg=")</f>
        <v>#VALUE!:noResult:No valid cells found for operation.</v>
      </c>
      <c r="BF55" s="15" t="str">
        <f>AND(Trans!F809,"AAAAAHqzrzk=")</f>
        <v>#VALUE!:noResult:No valid cells found for operation.</v>
      </c>
      <c r="BG55" s="15" t="str">
        <f>AND(Trans!G809,"AAAAAHqzrzo=")</f>
        <v>#VALUE!:noResult:No valid cells found for operation.</v>
      </c>
      <c r="BH55" s="15" t="str">
        <f>#REF!</f>
        <v>#VALUE!:noResult:No valid cells found for operation.</v>
      </c>
      <c r="BI55" s="15" t="str">
        <f>AND(Trans!H809,"AAAAAHqzrzw=")</f>
        <v>#VALUE!:noResult:No valid cells found for operation.</v>
      </c>
      <c r="BJ55" s="15" t="str">
        <f>#REF!</f>
        <v>#VALUE!:noResult:No valid cells found for operation.</v>
      </c>
      <c r="BK55" s="15" t="str">
        <f>#REF!</f>
        <v>#VALUE!:noResult:No valid cells found for operation.</v>
      </c>
      <c r="BL55" s="15" t="str">
        <f>#REF!</f>
        <v>#VALUE!:noResult:No valid cells found for operation.</v>
      </c>
      <c r="BM55" s="15" t="str">
        <f>#REF!</f>
        <v>#VALUE!:noResult:No valid cells found for operation.</v>
      </c>
      <c r="BN55" s="15" t="str">
        <f>#REF!</f>
        <v>#VALUE!:noResult:No valid cells found for operation.</v>
      </c>
      <c r="BO55" s="15" t="str">
        <f>#REF!</f>
        <v>#VALUE!:noResult:No valid cells found for operation.</v>
      </c>
      <c r="BP55" s="15">
        <f>IF(Trans!R[755],"AAAAAHqzr0M=",0)</f>
        <v>0</v>
      </c>
      <c r="BQ55" s="15" t="b">
        <f>AND(Trans!A810,"AAAAAHqzr0Q=")</f>
        <v>1</v>
      </c>
      <c r="BR55" s="15" t="str">
        <f>AND(Trans!B810,"AAAAAHqzr0U=")</f>
        <v>#VALUE!:noResult:No valid cells found for operation.</v>
      </c>
      <c r="BS55" s="15" t="b">
        <f>AND(Trans!C810,"AAAAAHqzr0Y=")</f>
        <v>1</v>
      </c>
      <c r="BT55" s="15" t="b">
        <f>AND(Trans!D810,"AAAAAHqzr0c=")</f>
        <v>1</v>
      </c>
      <c r="BU55" s="15" t="str">
        <f>AND(Trans!E810,"AAAAAHqzr0g=")</f>
        <v>#VALUE!:noResult:No valid cells found for operation.</v>
      </c>
      <c r="BV55" s="15" t="str">
        <f>AND(Trans!F810,"AAAAAHqzr0k=")</f>
        <v>#VALUE!:noResult:No valid cells found for operation.</v>
      </c>
      <c r="BW55" s="15" t="str">
        <f>AND(Trans!G810,"AAAAAHqzr0o=")</f>
        <v>#VALUE!:noResult:No valid cells found for operation.</v>
      </c>
      <c r="BX55" s="15" t="str">
        <f>#REF!</f>
        <v>#VALUE!:noResult:No valid cells found for operation.</v>
      </c>
      <c r="BY55" s="15" t="str">
        <f>AND(Trans!H810,"AAAAAHqzr0w=")</f>
        <v>#VALUE!:noResult:No valid cells found for operation.</v>
      </c>
      <c r="BZ55" s="15" t="str">
        <f>#REF!</f>
        <v>#VALUE!:noResult:No valid cells found for operation.</v>
      </c>
      <c r="CA55" s="15" t="str">
        <f>#REF!</f>
        <v>#VALUE!:noResult:No valid cells found for operation.</v>
      </c>
      <c r="CB55" s="15" t="str">
        <f>#REF!</f>
        <v>#VALUE!:noResult:No valid cells found for operation.</v>
      </c>
      <c r="CC55" s="15" t="str">
        <f>#REF!</f>
        <v>#VALUE!:noResult:No valid cells found for operation.</v>
      </c>
      <c r="CD55" s="15" t="str">
        <f>#REF!</f>
        <v>#VALUE!:noResult:No valid cells found for operation.</v>
      </c>
      <c r="CE55" s="15" t="str">
        <f>#REF!</f>
        <v>#VALUE!:noResult:No valid cells found for operation.</v>
      </c>
      <c r="CF55" s="15">
        <f>IF(Trans!R[756],"AAAAAHqzr1M=",0)</f>
        <v>0</v>
      </c>
      <c r="CG55" s="15" t="b">
        <f>AND(Trans!A811,"AAAAAHqzr1Q=")</f>
        <v>1</v>
      </c>
      <c r="CH55" s="15" t="str">
        <f>AND(Trans!B811,"AAAAAHqzr1U=")</f>
        <v>#VALUE!:noResult:No valid cells found for operation.</v>
      </c>
      <c r="CI55" s="15" t="b">
        <f>AND(Trans!C811,"AAAAAHqzr1Y=")</f>
        <v>1</v>
      </c>
      <c r="CJ55" s="15" t="b">
        <f>AND(Trans!D811,"AAAAAHqzr1c=")</f>
        <v>1</v>
      </c>
      <c r="CK55" s="15" t="str">
        <f>AND(Trans!E811,"AAAAAHqzr1g=")</f>
        <v>#VALUE!:noResult:No valid cells found for operation.</v>
      </c>
      <c r="CL55" s="15" t="str">
        <f>AND(Trans!F811,"AAAAAHqzr1k=")</f>
        <v>#VALUE!:noResult:No valid cells found for operation.</v>
      </c>
      <c r="CM55" s="15" t="str">
        <f>AND(Trans!G811,"AAAAAHqzr1o=")</f>
        <v>#VALUE!:noResult:No valid cells found for operation.</v>
      </c>
      <c r="CN55" s="15" t="str">
        <f>#REF!</f>
        <v>#VALUE!:noResult:No valid cells found for operation.</v>
      </c>
      <c r="CO55" s="15" t="str">
        <f>AND(Trans!H811,"AAAAAHqzr1w=")</f>
        <v>#VALUE!:noResult:No valid cells found for operation.</v>
      </c>
      <c r="CP55" s="15" t="str">
        <f>#REF!</f>
        <v>#VALUE!:noResult:No valid cells found for operation.</v>
      </c>
      <c r="CQ55" s="15" t="str">
        <f>#REF!</f>
        <v>#VALUE!:noResult:No valid cells found for operation.</v>
      </c>
      <c r="CR55" s="15" t="str">
        <f>#REF!</f>
        <v>#VALUE!:noResult:No valid cells found for operation.</v>
      </c>
      <c r="CS55" s="15" t="str">
        <f>#REF!</f>
        <v>#VALUE!:noResult:No valid cells found for operation.</v>
      </c>
      <c r="CT55" s="15" t="str">
        <f>#REF!</f>
        <v>#VALUE!:noResult:No valid cells found for operation.</v>
      </c>
      <c r="CU55" s="15" t="str">
        <f>#REF!</f>
        <v>#VALUE!:noResult:No valid cells found for operation.</v>
      </c>
      <c r="CV55" s="15">
        <f>IF(Trans!R[757],"AAAAAHqzr2M=",0)</f>
        <v>0</v>
      </c>
      <c r="CW55" s="15" t="b">
        <f>AND(Trans!A812,"AAAAAHqzr2Q=")</f>
        <v>1</v>
      </c>
      <c r="CX55" s="15" t="str">
        <f>AND(Trans!B812,"AAAAAHqzr2U=")</f>
        <v>#VALUE!:noResult:No valid cells found for operation.</v>
      </c>
      <c r="CY55" s="15" t="b">
        <f>AND(Trans!C812,"AAAAAHqzr2Y=")</f>
        <v>1</v>
      </c>
      <c r="CZ55" s="15" t="b">
        <f>AND(Trans!D812,"AAAAAHqzr2c=")</f>
        <v>1</v>
      </c>
      <c r="DA55" s="15" t="str">
        <f>AND(Trans!E812,"AAAAAHqzr2g=")</f>
        <v>#VALUE!:noResult:No valid cells found for operation.</v>
      </c>
      <c r="DB55" s="15" t="str">
        <f>AND(Trans!F812,"AAAAAHqzr2k=")</f>
        <v>#VALUE!:noResult:No valid cells found for operation.</v>
      </c>
      <c r="DC55" s="15" t="str">
        <f>AND(Trans!G812,"AAAAAHqzr2o=")</f>
        <v>#VALUE!:noResult:No valid cells found for operation.</v>
      </c>
      <c r="DD55" s="15" t="str">
        <f>#REF!</f>
        <v>#VALUE!:noResult:No valid cells found for operation.</v>
      </c>
      <c r="DE55" s="15" t="str">
        <f>AND(Trans!H812,"AAAAAHqzr2w=")</f>
        <v>#VALUE!:noResult:No valid cells found for operation.</v>
      </c>
      <c r="DF55" s="15" t="str">
        <f>#REF!</f>
        <v>#VALUE!:noResult:No valid cells found for operation.</v>
      </c>
      <c r="DG55" s="15" t="str">
        <f>#REF!</f>
        <v>#VALUE!:noResult:No valid cells found for operation.</v>
      </c>
      <c r="DH55" s="15" t="str">
        <f>#REF!</f>
        <v>#VALUE!:noResult:No valid cells found for operation.</v>
      </c>
      <c r="DI55" s="15" t="str">
        <f>#REF!</f>
        <v>#VALUE!:noResult:No valid cells found for operation.</v>
      </c>
      <c r="DJ55" s="15" t="str">
        <f>#REF!</f>
        <v>#VALUE!:noResult:No valid cells found for operation.</v>
      </c>
      <c r="DK55" s="15" t="str">
        <f>#REF!</f>
        <v>#VALUE!:noResult:No valid cells found for operation.</v>
      </c>
      <c r="DL55" s="15">
        <f>IF(Trans!R[758],"AAAAAHqzr3M=",0)</f>
        <v>0</v>
      </c>
      <c r="DM55" s="15" t="b">
        <f>AND(Trans!A813,"AAAAAHqzr3Q=")</f>
        <v>1</v>
      </c>
      <c r="DN55" s="15" t="str">
        <f>AND(Trans!B813,"AAAAAHqzr3U=")</f>
        <v>#VALUE!:noResult:No valid cells found for operation.</v>
      </c>
      <c r="DO55" s="15" t="b">
        <f>AND(Trans!C813,"AAAAAHqzr3Y=")</f>
        <v>1</v>
      </c>
      <c r="DP55" s="15" t="b">
        <f>AND(Trans!D813,"AAAAAHqzr3c=")</f>
        <v>1</v>
      </c>
      <c r="DQ55" s="15" t="str">
        <f>AND(Trans!E813,"AAAAAHqzr3g=")</f>
        <v>#VALUE!:noResult:No valid cells found for operation.</v>
      </c>
      <c r="DR55" s="15" t="str">
        <f>AND(Trans!F813,"AAAAAHqzr3k=")</f>
        <v>#VALUE!:noResult:No valid cells found for operation.</v>
      </c>
      <c r="DS55" s="15" t="str">
        <f>AND(Trans!G813,"AAAAAHqzr3o=")</f>
        <v>#VALUE!:noResult:No valid cells found for operation.</v>
      </c>
      <c r="DT55" s="15" t="str">
        <f>#REF!</f>
        <v>#VALUE!:noResult:No valid cells found for operation.</v>
      </c>
      <c r="DU55" s="15" t="str">
        <f>AND(Trans!H813,"AAAAAHqzr3w=")</f>
        <v>#VALUE!:noResult:No valid cells found for operation.</v>
      </c>
      <c r="DV55" s="15" t="str">
        <f>#REF!</f>
        <v>#VALUE!:noResult:No valid cells found for operation.</v>
      </c>
      <c r="DW55" s="15" t="str">
        <f>#REF!</f>
        <v>#VALUE!:noResult:No valid cells found for operation.</v>
      </c>
      <c r="DX55" s="15" t="str">
        <f>#REF!</f>
        <v>#VALUE!:noResult:No valid cells found for operation.</v>
      </c>
      <c r="DY55" s="15" t="str">
        <f>#REF!</f>
        <v>#VALUE!:noResult:No valid cells found for operation.</v>
      </c>
      <c r="DZ55" s="15" t="str">
        <f>#REF!</f>
        <v>#VALUE!:noResult:No valid cells found for operation.</v>
      </c>
      <c r="EA55" s="15" t="str">
        <f>#REF!</f>
        <v>#VALUE!:noResult:No valid cells found for operation.</v>
      </c>
      <c r="EB55" s="15">
        <f>IF(Trans!R[759],"AAAAAHqzr4M=",0)</f>
        <v>0</v>
      </c>
      <c r="EC55" s="15" t="b">
        <f>AND(Trans!A814,"AAAAAHqzr4Q=")</f>
        <v>1</v>
      </c>
      <c r="ED55" s="15" t="str">
        <f>AND(Trans!B814,"AAAAAHqzr4U=")</f>
        <v>#VALUE!:noResult:No valid cells found for operation.</v>
      </c>
      <c r="EE55" s="15" t="b">
        <f>AND(Trans!C814,"AAAAAHqzr4Y=")</f>
        <v>1</v>
      </c>
      <c r="EF55" s="15" t="b">
        <f>AND(Trans!D814,"AAAAAHqzr4c=")</f>
        <v>1</v>
      </c>
      <c r="EG55" s="15" t="str">
        <f>AND(Trans!E814,"AAAAAHqzr4g=")</f>
        <v>#VALUE!:noResult:No valid cells found for operation.</v>
      </c>
      <c r="EH55" s="15" t="str">
        <f>AND(Trans!F814,"AAAAAHqzr4k=")</f>
        <v>#VALUE!:noResult:No valid cells found for operation.</v>
      </c>
      <c r="EI55" s="15" t="str">
        <f>AND(Trans!G814,"AAAAAHqzr4o=")</f>
        <v>#VALUE!:noResult:No valid cells found for operation.</v>
      </c>
      <c r="EJ55" s="15" t="str">
        <f>#REF!</f>
        <v>#VALUE!:noResult:No valid cells found for operation.</v>
      </c>
      <c r="EK55" s="15" t="str">
        <f>AND(Trans!H814,"AAAAAHqzr4w=")</f>
        <v>#VALUE!:noResult:No valid cells found for operation.</v>
      </c>
      <c r="EL55" s="15" t="str">
        <f>#REF!</f>
        <v>#VALUE!:noResult:No valid cells found for operation.</v>
      </c>
      <c r="EM55" s="15" t="str">
        <f>#REF!</f>
        <v>#VALUE!:noResult:No valid cells found for operation.</v>
      </c>
      <c r="EN55" s="15" t="str">
        <f>#REF!</f>
        <v>#VALUE!:noResult:No valid cells found for operation.</v>
      </c>
      <c r="EO55" s="15" t="str">
        <f>#REF!</f>
        <v>#VALUE!:noResult:No valid cells found for operation.</v>
      </c>
      <c r="EP55" s="15" t="str">
        <f>#REF!</f>
        <v>#VALUE!:noResult:No valid cells found for operation.</v>
      </c>
      <c r="EQ55" s="15" t="str">
        <f>#REF!</f>
        <v>#VALUE!:noResult:No valid cells found for operation.</v>
      </c>
      <c r="ER55" s="15">
        <f>IF(Trans!R[760],"AAAAAHqzr5M=",0)</f>
        <v>0</v>
      </c>
      <c r="ES55" s="15" t="b">
        <f>AND(Trans!A815,"AAAAAHqzr5Q=")</f>
        <v>1</v>
      </c>
      <c r="ET55" s="15" t="str">
        <f>AND(Trans!B815,"AAAAAHqzr5U=")</f>
        <v>#VALUE!:noResult:No valid cells found for operation.</v>
      </c>
      <c r="EU55" s="15" t="b">
        <f>AND(Trans!C815,"AAAAAHqzr5Y=")</f>
        <v>1</v>
      </c>
      <c r="EV55" s="15" t="b">
        <f>AND(Trans!D815,"AAAAAHqzr5c=")</f>
        <v>1</v>
      </c>
      <c r="EW55" s="15" t="str">
        <f>AND(Trans!E815,"AAAAAHqzr5g=")</f>
        <v>#VALUE!:noResult:No valid cells found for operation.</v>
      </c>
      <c r="EX55" s="15" t="str">
        <f>AND(Trans!F815,"AAAAAHqzr5k=")</f>
        <v>#VALUE!:noResult:No valid cells found for operation.</v>
      </c>
      <c r="EY55" s="15" t="str">
        <f>AND(Trans!G815,"AAAAAHqzr5o=")</f>
        <v>#VALUE!:noResult:No valid cells found for operation.</v>
      </c>
      <c r="EZ55" s="15" t="str">
        <f>#REF!</f>
        <v>#VALUE!:noResult:No valid cells found for operation.</v>
      </c>
      <c r="FA55" s="15" t="str">
        <f>AND(Trans!H815,"AAAAAHqzr5w=")</f>
        <v>#VALUE!:noResult:No valid cells found for operation.</v>
      </c>
      <c r="FB55" s="15" t="str">
        <f>#REF!</f>
        <v>#VALUE!:noResult:No valid cells found for operation.</v>
      </c>
      <c r="FC55" s="15" t="str">
        <f>#REF!</f>
        <v>#VALUE!:noResult:No valid cells found for operation.</v>
      </c>
      <c r="FD55" s="15" t="str">
        <f>#REF!</f>
        <v>#VALUE!:noResult:No valid cells found for operation.</v>
      </c>
      <c r="FE55" s="15" t="str">
        <f>#REF!</f>
        <v>#VALUE!:noResult:No valid cells found for operation.</v>
      </c>
      <c r="FF55" s="15" t="str">
        <f>#REF!</f>
        <v>#VALUE!:noResult:No valid cells found for operation.</v>
      </c>
      <c r="FG55" s="15" t="str">
        <f>#REF!</f>
        <v>#VALUE!:noResult:No valid cells found for operation.</v>
      </c>
      <c r="FH55" s="15">
        <f>IF(Trans!R[761],"AAAAAHqzr6M=",0)</f>
        <v>0</v>
      </c>
      <c r="FI55" s="15" t="b">
        <f>AND(Trans!A816,"AAAAAHqzr6Q=")</f>
        <v>1</v>
      </c>
      <c r="FJ55" s="15" t="str">
        <f>AND(Trans!B816,"AAAAAHqzr6U=")</f>
        <v>#VALUE!:noResult:No valid cells found for operation.</v>
      </c>
      <c r="FK55" s="15" t="b">
        <f>AND(Trans!C816,"AAAAAHqzr6Y=")</f>
        <v>1</v>
      </c>
      <c r="FL55" s="15" t="b">
        <f>AND(Trans!D816,"AAAAAHqzr6c=")</f>
        <v>1</v>
      </c>
      <c r="FM55" s="15" t="str">
        <f>AND(Trans!E816,"AAAAAHqzr6g=")</f>
        <v>#VALUE!:noResult:No valid cells found for operation.</v>
      </c>
      <c r="FN55" s="15" t="str">
        <f>AND(Trans!F816,"AAAAAHqzr6k=")</f>
        <v>#VALUE!:noResult:No valid cells found for operation.</v>
      </c>
      <c r="FO55" s="15" t="str">
        <f>AND(Trans!G816,"AAAAAHqzr6o=")</f>
        <v>#VALUE!:noResult:No valid cells found for operation.</v>
      </c>
      <c r="FP55" s="15" t="str">
        <f>#REF!</f>
        <v>#VALUE!:noResult:No valid cells found for operation.</v>
      </c>
      <c r="FQ55" s="15" t="str">
        <f>AND(Trans!H816,"AAAAAHqzr6w=")</f>
        <v>#VALUE!:noResult:No valid cells found for operation.</v>
      </c>
      <c r="FR55" s="15" t="str">
        <f>#REF!</f>
        <v>#VALUE!:noResult:No valid cells found for operation.</v>
      </c>
      <c r="FS55" s="15" t="str">
        <f>#REF!</f>
        <v>#VALUE!:noResult:No valid cells found for operation.</v>
      </c>
      <c r="FT55" s="15" t="str">
        <f>#REF!</f>
        <v>#VALUE!:noResult:No valid cells found for operation.</v>
      </c>
      <c r="FU55" s="15" t="str">
        <f>#REF!</f>
        <v>#VALUE!:noResult:No valid cells found for operation.</v>
      </c>
      <c r="FV55" s="15" t="str">
        <f>#REF!</f>
        <v>#VALUE!:noResult:No valid cells found for operation.</v>
      </c>
      <c r="FW55" s="15" t="str">
        <f>#REF!</f>
        <v>#VALUE!:noResult:No valid cells found for operation.</v>
      </c>
      <c r="FX55" s="15">
        <f>IF(Trans!R[762],"AAAAAHqzr7M=",0)</f>
        <v>0</v>
      </c>
      <c r="FY55" s="15" t="b">
        <f>AND(Trans!A817,"AAAAAHqzr7Q=")</f>
        <v>1</v>
      </c>
      <c r="FZ55" s="15" t="str">
        <f>AND(Trans!B817,"AAAAAHqzr7U=")</f>
        <v>#VALUE!:noResult:No valid cells found for operation.</v>
      </c>
      <c r="GA55" s="15" t="b">
        <f>AND(Trans!C817,"AAAAAHqzr7Y=")</f>
        <v>1</v>
      </c>
      <c r="GB55" s="15" t="b">
        <f>AND(Trans!D817,"AAAAAHqzr7c=")</f>
        <v>1</v>
      </c>
      <c r="GC55" s="15" t="str">
        <f>AND(Trans!E817,"AAAAAHqzr7g=")</f>
        <v>#VALUE!:noResult:No valid cells found for operation.</v>
      </c>
      <c r="GD55" s="15" t="str">
        <f>AND(Trans!F817,"AAAAAHqzr7k=")</f>
        <v>#VALUE!:noResult:No valid cells found for operation.</v>
      </c>
      <c r="GE55" s="15" t="str">
        <f>AND(Trans!G817,"AAAAAHqzr7o=")</f>
        <v>#VALUE!:noResult:No valid cells found for operation.</v>
      </c>
      <c r="GF55" s="15" t="str">
        <f>#REF!</f>
        <v>#VALUE!:noResult:No valid cells found for operation.</v>
      </c>
      <c r="GG55" s="15" t="str">
        <f>AND(Trans!H817,"AAAAAHqzr7w=")</f>
        <v>#VALUE!:noResult:No valid cells found for operation.</v>
      </c>
      <c r="GH55" s="15" t="str">
        <f>#REF!</f>
        <v>#VALUE!:noResult:No valid cells found for operation.</v>
      </c>
      <c r="GI55" s="15" t="str">
        <f>#REF!</f>
        <v>#VALUE!:noResult:No valid cells found for operation.</v>
      </c>
      <c r="GJ55" s="15" t="str">
        <f>#REF!</f>
        <v>#VALUE!:noResult:No valid cells found for operation.</v>
      </c>
      <c r="GK55" s="15" t="str">
        <f>#REF!</f>
        <v>#VALUE!:noResult:No valid cells found for operation.</v>
      </c>
      <c r="GL55" s="15" t="str">
        <f>#REF!</f>
        <v>#VALUE!:noResult:No valid cells found for operation.</v>
      </c>
      <c r="GM55" s="15" t="str">
        <f>#REF!</f>
        <v>#VALUE!:noResult:No valid cells found for operation.</v>
      </c>
      <c r="GN55" s="15">
        <f>IF(Trans!R[763],"AAAAAHqzr8M=",0)</f>
        <v>0</v>
      </c>
      <c r="GO55" s="15" t="b">
        <f>AND(Trans!A818,"AAAAAHqzr8Q=")</f>
        <v>1</v>
      </c>
      <c r="GP55" s="15" t="str">
        <f>AND(Trans!B818,"AAAAAHqzr8U=")</f>
        <v>#VALUE!:noResult:No valid cells found for operation.</v>
      </c>
      <c r="GQ55" s="15" t="b">
        <f>AND(Trans!C818,"AAAAAHqzr8Y=")</f>
        <v>1</v>
      </c>
      <c r="GR55" s="15" t="b">
        <f>AND(Trans!D818,"AAAAAHqzr8c=")</f>
        <v>1</v>
      </c>
      <c r="GS55" s="15" t="str">
        <f>AND(Trans!E818,"AAAAAHqzr8g=")</f>
        <v>#VALUE!:noResult:No valid cells found for operation.</v>
      </c>
      <c r="GT55" s="15" t="str">
        <f>AND(Trans!F818,"AAAAAHqzr8k=")</f>
        <v>#VALUE!:noResult:No valid cells found for operation.</v>
      </c>
      <c r="GU55" s="15" t="str">
        <f>AND(Trans!G818,"AAAAAHqzr8o=")</f>
        <v>#VALUE!:noResult:No valid cells found for operation.</v>
      </c>
      <c r="GV55" s="15" t="str">
        <f>#REF!</f>
        <v>#VALUE!:noResult:No valid cells found for operation.</v>
      </c>
      <c r="GW55" s="15" t="str">
        <f>AND(Trans!H818,"AAAAAHqzr8w=")</f>
        <v>#VALUE!:noResult:No valid cells found for operation.</v>
      </c>
      <c r="GX55" s="15" t="str">
        <f>#REF!</f>
        <v>#VALUE!:noResult:No valid cells found for operation.</v>
      </c>
      <c r="GY55" s="15" t="str">
        <f>#REF!</f>
        <v>#VALUE!:noResult:No valid cells found for operation.</v>
      </c>
      <c r="GZ55" s="15" t="str">
        <f>#REF!</f>
        <v>#VALUE!:noResult:No valid cells found for operation.</v>
      </c>
      <c r="HA55" s="15" t="str">
        <f>#REF!</f>
        <v>#VALUE!:noResult:No valid cells found for operation.</v>
      </c>
      <c r="HB55" s="15" t="str">
        <f>#REF!</f>
        <v>#VALUE!:noResult:No valid cells found for operation.</v>
      </c>
      <c r="HC55" s="15" t="str">
        <f>#REF!</f>
        <v>#VALUE!:noResult:No valid cells found for operation.</v>
      </c>
      <c r="HD55" s="15">
        <f>IF(Trans!R[764],"AAAAAHqzr9M=",0)</f>
        <v>0</v>
      </c>
      <c r="HE55" s="15" t="b">
        <f>AND(Trans!A819,"AAAAAHqzr9Q=")</f>
        <v>1</v>
      </c>
      <c r="HF55" s="15" t="str">
        <f>AND(Trans!B819,"AAAAAHqzr9U=")</f>
        <v>#VALUE!:noResult:No valid cells found for operation.</v>
      </c>
      <c r="HG55" s="15" t="b">
        <f>AND(Trans!C819,"AAAAAHqzr9Y=")</f>
        <v>1</v>
      </c>
      <c r="HH55" s="15" t="b">
        <f>AND(Trans!D819,"AAAAAHqzr9c=")</f>
        <v>1</v>
      </c>
      <c r="HI55" s="15" t="str">
        <f>AND(Trans!E819,"AAAAAHqzr9g=")</f>
        <v>#VALUE!:noResult:No valid cells found for operation.</v>
      </c>
      <c r="HJ55" s="15" t="str">
        <f>AND(Trans!F819,"AAAAAHqzr9k=")</f>
        <v>#VALUE!:noResult:No valid cells found for operation.</v>
      </c>
      <c r="HK55" s="15" t="str">
        <f>AND(Trans!G819,"AAAAAHqzr9o=")</f>
        <v>#VALUE!:noResult:No valid cells found for operation.</v>
      </c>
      <c r="HL55" s="15" t="str">
        <f>#REF!</f>
        <v>#VALUE!:noResult:No valid cells found for operation.</v>
      </c>
      <c r="HM55" s="15" t="str">
        <f>AND(Trans!H819,"AAAAAHqzr9w=")</f>
        <v>#VALUE!:noResult:No valid cells found for operation.</v>
      </c>
      <c r="HN55" s="15" t="str">
        <f>#REF!</f>
        <v>#VALUE!:noResult:No valid cells found for operation.</v>
      </c>
      <c r="HO55" s="15" t="str">
        <f>#REF!</f>
        <v>#VALUE!:noResult:No valid cells found for operation.</v>
      </c>
      <c r="HP55" s="15" t="str">
        <f>#REF!</f>
        <v>#VALUE!:noResult:No valid cells found for operation.</v>
      </c>
      <c r="HQ55" s="15" t="str">
        <f>#REF!</f>
        <v>#VALUE!:noResult:No valid cells found for operation.</v>
      </c>
      <c r="HR55" s="15" t="str">
        <f>#REF!</f>
        <v>#VALUE!:noResult:No valid cells found for operation.</v>
      </c>
      <c r="HS55" s="15" t="str">
        <f>#REF!</f>
        <v>#VALUE!:noResult:No valid cells found for operation.</v>
      </c>
      <c r="HT55" s="15">
        <f>IF(Trans!R[765],"AAAAAHqzr+M=",0)</f>
        <v>0</v>
      </c>
      <c r="HU55" s="15" t="b">
        <f>AND(Trans!A820,"AAAAAHqzr+Q=")</f>
        <v>1</v>
      </c>
      <c r="HV55" s="15" t="str">
        <f>AND(Trans!B820,"AAAAAHqzr+U=")</f>
        <v>#VALUE!:noResult:No valid cells found for operation.</v>
      </c>
      <c r="HW55" s="15" t="b">
        <f>AND(Trans!C820,"AAAAAHqzr+Y=")</f>
        <v>1</v>
      </c>
      <c r="HX55" s="15" t="b">
        <f>AND(Trans!D820,"AAAAAHqzr+c=")</f>
        <v>1</v>
      </c>
      <c r="HY55" s="15" t="str">
        <f>AND(Trans!E820,"AAAAAHqzr+g=")</f>
        <v>#VALUE!:noResult:No valid cells found for operation.</v>
      </c>
      <c r="HZ55" s="15" t="str">
        <f>AND(Trans!F820,"AAAAAHqzr+k=")</f>
        <v>#VALUE!:noResult:No valid cells found for operation.</v>
      </c>
      <c r="IA55" s="15" t="str">
        <f>AND(Trans!G820,"AAAAAHqzr+o=")</f>
        <v>#VALUE!:noResult:No valid cells found for operation.</v>
      </c>
      <c r="IB55" s="15" t="str">
        <f>#REF!</f>
        <v>#VALUE!:noResult:No valid cells found for operation.</v>
      </c>
      <c r="IC55" s="15" t="str">
        <f>AND(Trans!H820,"AAAAAHqzr+w=")</f>
        <v>#VALUE!:noResult:No valid cells found for operation.</v>
      </c>
      <c r="ID55" s="15" t="str">
        <f>#REF!</f>
        <v>#VALUE!:noResult:No valid cells found for operation.</v>
      </c>
      <c r="IE55" s="15" t="str">
        <f>#REF!</f>
        <v>#VALUE!:noResult:No valid cells found for operation.</v>
      </c>
      <c r="IF55" s="15" t="str">
        <f>#REF!</f>
        <v>#VALUE!:noResult:No valid cells found for operation.</v>
      </c>
      <c r="IG55" s="15" t="str">
        <f>#REF!</f>
        <v>#VALUE!:noResult:No valid cells found for operation.</v>
      </c>
      <c r="IH55" s="15" t="str">
        <f>#REF!</f>
        <v>#VALUE!:noResult:No valid cells found for operation.</v>
      </c>
      <c r="II55" s="15" t="str">
        <f>#REF!</f>
        <v>#VALUE!:noResult:No valid cells found for operation.</v>
      </c>
      <c r="IJ55" s="15">
        <f>IF(Trans!R[766],"AAAAAHqzr/M=",0)</f>
        <v>0</v>
      </c>
      <c r="IK55" s="15" t="b">
        <f>AND(Trans!A821,"AAAAAHqzr/Q=")</f>
        <v>1</v>
      </c>
      <c r="IL55" s="15" t="str">
        <f>AND(Trans!B821,"AAAAAHqzr/U=")</f>
        <v>#VALUE!:noResult:No valid cells found for operation.</v>
      </c>
      <c r="IM55" s="15" t="b">
        <f>AND(Trans!C821,"AAAAAHqzr/Y=")</f>
        <v>1</v>
      </c>
      <c r="IN55" s="15" t="b">
        <f>AND(Trans!D821,"AAAAAHqzr/c=")</f>
        <v>1</v>
      </c>
      <c r="IO55" s="15" t="str">
        <f>AND(Trans!E821,"AAAAAHqzr/g=")</f>
        <v>#VALUE!:noResult:No valid cells found for operation.</v>
      </c>
      <c r="IP55" s="15" t="str">
        <f>AND(Trans!F821,"AAAAAHqzr/k=")</f>
        <v>#VALUE!:noResult:No valid cells found for operation.</v>
      </c>
      <c r="IQ55" s="15" t="str">
        <f>AND(Trans!G821,"AAAAAHqzr/o=")</f>
        <v>#VALUE!:noResult:No valid cells found for operation.</v>
      </c>
      <c r="IR55" s="15" t="str">
        <f>#REF!</f>
        <v>#VALUE!:noResult:No valid cells found for operation.</v>
      </c>
      <c r="IS55" s="15" t="str">
        <f>AND(Trans!H821,"AAAAAHqzr/w=")</f>
        <v>#VALUE!:noResult:No valid cells found for operation.</v>
      </c>
      <c r="IT55" s="15" t="str">
        <f>#REF!</f>
        <v>#VALUE!:noResult:No valid cells found for operation.</v>
      </c>
      <c r="IU55" s="15" t="str">
        <f>#REF!</f>
        <v>#VALUE!:noResult:No valid cells found for operation.</v>
      </c>
      <c r="IV55" s="15" t="str">
        <f>#REF!</f>
        <v>#VALUE!:noResult:No valid cells found for operation.</v>
      </c>
    </row>
    <row r="56">
      <c r="A56" s="15" t="str">
        <f>#REF!</f>
        <v>#VALUE!:noResult:No valid cells found for operation.</v>
      </c>
      <c r="B56" s="15" t="str">
        <f>#REF!</f>
        <v>#VALUE!:noResult:No valid cells found for operation.</v>
      </c>
      <c r="C56" s="15" t="str">
        <f>#REF!</f>
        <v>#VALUE!:noResult:No valid cells found for operation.</v>
      </c>
      <c r="D56" s="15" t="str">
        <f>IF(Trans!R[766],"AAAAADr9igM=",0)</f>
        <v>AAAAADr9igM=</v>
      </c>
      <c r="E56" s="15" t="b">
        <f>AND(Trans!A822,"AAAAADr9igQ=")</f>
        <v>1</v>
      </c>
      <c r="F56" s="15" t="str">
        <f>AND(Trans!B822,"AAAAADr9igU=")</f>
        <v>#VALUE!:noResult:No valid cells found for operation.</v>
      </c>
      <c r="G56" s="15" t="b">
        <f>AND(Trans!C822,"AAAAADr9igY=")</f>
        <v>1</v>
      </c>
      <c r="H56" s="15" t="b">
        <f>AND(Trans!D822,"AAAAADr9igc=")</f>
        <v>1</v>
      </c>
      <c r="I56" s="15" t="str">
        <f>AND(Trans!E822,"AAAAADr9igg=")</f>
        <v>#VALUE!:noResult:No valid cells found for operation.</v>
      </c>
      <c r="J56" s="15" t="str">
        <f>AND(Trans!F822,"AAAAADr9igk=")</f>
        <v>#VALUE!:noResult:No valid cells found for operation.</v>
      </c>
      <c r="K56" s="15" t="str">
        <f>AND(Trans!G822,"AAAAADr9igo=")</f>
        <v>#VALUE!:noResult:No valid cells found for operation.</v>
      </c>
      <c r="L56" s="15" t="str">
        <f>#REF!</f>
        <v>#VALUE!:noResult:No valid cells found for operation.</v>
      </c>
      <c r="M56" s="15" t="str">
        <f>AND(Trans!H822,"AAAAADr9igw=")</f>
        <v>#VALUE!:noResult:No valid cells found for operation.</v>
      </c>
      <c r="N56" s="15" t="str">
        <f>#REF!</f>
        <v>#VALUE!:noResult:No valid cells found for operation.</v>
      </c>
      <c r="O56" s="15" t="str">
        <f>#REF!</f>
        <v>#VALUE!:noResult:No valid cells found for operation.</v>
      </c>
      <c r="P56" s="15" t="str">
        <f>#REF!</f>
        <v>#VALUE!:noResult:No valid cells found for operation.</v>
      </c>
      <c r="Q56" s="15" t="str">
        <f>#REF!</f>
        <v>#VALUE!:noResult:No valid cells found for operation.</v>
      </c>
      <c r="R56" s="15" t="str">
        <f>#REF!</f>
        <v>#VALUE!:noResult:No valid cells found for operation.</v>
      </c>
      <c r="S56" s="15" t="str">
        <f>#REF!</f>
        <v>#VALUE!:noResult:No valid cells found for operation.</v>
      </c>
      <c r="T56" s="15">
        <f>IF(Trans!R[767],"AAAAADr9ihM=",0)</f>
        <v>0</v>
      </c>
      <c r="U56" s="15" t="b">
        <f>AND(Trans!A823,"AAAAADr9ihQ=")</f>
        <v>1</v>
      </c>
      <c r="V56" s="15" t="str">
        <f>AND(Trans!B823,"AAAAADr9ihU=")</f>
        <v>#VALUE!:noResult:No valid cells found for operation.</v>
      </c>
      <c r="W56" s="15" t="b">
        <f>AND(Trans!C823,"AAAAADr9ihY=")</f>
        <v>1</v>
      </c>
      <c r="X56" s="15" t="b">
        <f>AND(Trans!D823,"AAAAADr9ihc=")</f>
        <v>1</v>
      </c>
      <c r="Y56" s="15" t="str">
        <f>AND(Trans!E823,"AAAAADr9ihg=")</f>
        <v>#VALUE!:noResult:No valid cells found for operation.</v>
      </c>
      <c r="Z56" s="15" t="str">
        <f>AND(Trans!F823,"AAAAADr9ihk=")</f>
        <v>#VALUE!:noResult:No valid cells found for operation.</v>
      </c>
      <c r="AA56" s="15" t="str">
        <f>AND(Trans!G823,"AAAAADr9iho=")</f>
        <v>#VALUE!:noResult:No valid cells found for operation.</v>
      </c>
      <c r="AB56" s="15" t="str">
        <f>#REF!</f>
        <v>#VALUE!:noResult:No valid cells found for operation.</v>
      </c>
      <c r="AC56" s="15" t="str">
        <f>AND(Trans!H823,"AAAAADr9ihw=")</f>
        <v>#VALUE!:noResult:No valid cells found for operation.</v>
      </c>
      <c r="AD56" s="15" t="str">
        <f>#REF!</f>
        <v>#VALUE!:noResult:No valid cells found for operation.</v>
      </c>
      <c r="AE56" s="15" t="str">
        <f>#REF!</f>
        <v>#VALUE!:noResult:No valid cells found for operation.</v>
      </c>
      <c r="AF56" s="15" t="str">
        <f>#REF!</f>
        <v>#VALUE!:noResult:No valid cells found for operation.</v>
      </c>
      <c r="AG56" s="15" t="str">
        <f>#REF!</f>
        <v>#VALUE!:noResult:No valid cells found for operation.</v>
      </c>
      <c r="AH56" s="15" t="str">
        <f>#REF!</f>
        <v>#VALUE!:noResult:No valid cells found for operation.</v>
      </c>
      <c r="AI56" s="15" t="str">
        <f>#REF!</f>
        <v>#VALUE!:noResult:No valid cells found for operation.</v>
      </c>
      <c r="AJ56" s="15">
        <f>IF(Trans!R[768],"AAAAADr9iiM=",0)</f>
        <v>0</v>
      </c>
      <c r="AK56" s="15" t="b">
        <f>AND(Trans!A824,"AAAAADr9iiQ=")</f>
        <v>1</v>
      </c>
      <c r="AL56" s="15" t="str">
        <f>AND(Trans!B824,"AAAAADr9iiU=")</f>
        <v>#VALUE!:noResult:No valid cells found for operation.</v>
      </c>
      <c r="AM56" s="15" t="b">
        <f>AND(Trans!C824,"AAAAADr9iiY=")</f>
        <v>1</v>
      </c>
      <c r="AN56" s="15" t="b">
        <f>AND(Trans!D824,"AAAAADr9iic=")</f>
        <v>1</v>
      </c>
      <c r="AO56" s="15" t="str">
        <f>AND(Trans!E824,"AAAAADr9iig=")</f>
        <v>#VALUE!:noResult:No valid cells found for operation.</v>
      </c>
      <c r="AP56" s="15" t="str">
        <f>AND(Trans!F824,"AAAAADr9iik=")</f>
        <v>#VALUE!:noResult:No valid cells found for operation.</v>
      </c>
      <c r="AQ56" s="15" t="str">
        <f>AND(Trans!G824,"AAAAADr9iio=")</f>
        <v>#VALUE!:noResult:No valid cells found for operation.</v>
      </c>
      <c r="AR56" s="15" t="str">
        <f>#REF!</f>
        <v>#VALUE!:noResult:No valid cells found for operation.</v>
      </c>
      <c r="AS56" s="15" t="str">
        <f>AND(Trans!H824,"AAAAADr9iiw=")</f>
        <v>#VALUE!:noResult:No valid cells found for operation.</v>
      </c>
      <c r="AT56" s="15" t="str">
        <f>#REF!</f>
        <v>#VALUE!:noResult:No valid cells found for operation.</v>
      </c>
      <c r="AU56" s="15" t="str">
        <f>#REF!</f>
        <v>#VALUE!:noResult:No valid cells found for operation.</v>
      </c>
      <c r="AV56" s="15" t="str">
        <f>#REF!</f>
        <v>#VALUE!:noResult:No valid cells found for operation.</v>
      </c>
      <c r="AW56" s="15" t="str">
        <f>#REF!</f>
        <v>#VALUE!:noResult:No valid cells found for operation.</v>
      </c>
      <c r="AX56" s="15" t="str">
        <f>#REF!</f>
        <v>#VALUE!:noResult:No valid cells found for operation.</v>
      </c>
      <c r="AY56" s="15" t="str">
        <f>#REF!</f>
        <v>#VALUE!:noResult:No valid cells found for operation.</v>
      </c>
      <c r="AZ56" s="15">
        <f>IF(Trans!R[769],"AAAAADr9ijM=",0)</f>
        <v>0</v>
      </c>
      <c r="BA56" s="15" t="b">
        <f>AND(Trans!A825,"AAAAADr9ijQ=")</f>
        <v>1</v>
      </c>
      <c r="BB56" s="15" t="str">
        <f>AND(Trans!B825,"AAAAADr9ijU=")</f>
        <v>#VALUE!:noResult:No valid cells found for operation.</v>
      </c>
      <c r="BC56" s="15" t="b">
        <f>AND(Trans!C825,"AAAAADr9ijY=")</f>
        <v>1</v>
      </c>
      <c r="BD56" s="15" t="b">
        <f>AND(Trans!D825,"AAAAADr9ijc=")</f>
        <v>1</v>
      </c>
      <c r="BE56" s="15" t="str">
        <f>AND(Trans!E825,"AAAAADr9ijg=")</f>
        <v>#VALUE!:noResult:No valid cells found for operation.</v>
      </c>
      <c r="BF56" s="15" t="str">
        <f>AND(Trans!F825,"AAAAADr9ijk=")</f>
        <v>#VALUE!:noResult:No valid cells found for operation.</v>
      </c>
      <c r="BG56" s="15" t="str">
        <f>AND(Trans!G825,"AAAAADr9ijo=")</f>
        <v>#VALUE!:noResult:No valid cells found for operation.</v>
      </c>
      <c r="BH56" s="15" t="str">
        <f>#REF!</f>
        <v>#VALUE!:noResult:No valid cells found for operation.</v>
      </c>
      <c r="BI56" s="15" t="str">
        <f>AND(Trans!H825,"AAAAADr9ijw=")</f>
        <v>#VALUE!:noResult:No valid cells found for operation.</v>
      </c>
      <c r="BJ56" s="15" t="str">
        <f>#REF!</f>
        <v>#VALUE!:noResult:No valid cells found for operation.</v>
      </c>
      <c r="BK56" s="15" t="str">
        <f>#REF!</f>
        <v>#VALUE!:noResult:No valid cells found for operation.</v>
      </c>
      <c r="BL56" s="15" t="str">
        <f>#REF!</f>
        <v>#VALUE!:noResult:No valid cells found for operation.</v>
      </c>
      <c r="BM56" s="15" t="str">
        <f>#REF!</f>
        <v>#VALUE!:noResult:No valid cells found for operation.</v>
      </c>
      <c r="BN56" s="15" t="str">
        <f>#REF!</f>
        <v>#VALUE!:noResult:No valid cells found for operation.</v>
      </c>
      <c r="BO56" s="15" t="str">
        <f>#REF!</f>
        <v>#VALUE!:noResult:No valid cells found for operation.</v>
      </c>
      <c r="BP56" s="15">
        <f>IF(Trans!R[770],"AAAAADr9ikM=",0)</f>
        <v>0</v>
      </c>
      <c r="BQ56" s="15" t="b">
        <f>AND(Trans!A826,"AAAAADr9ikQ=")</f>
        <v>1</v>
      </c>
      <c r="BR56" s="15" t="str">
        <f>AND(Trans!B826,"AAAAADr9ikU=")</f>
        <v>#VALUE!:noResult:No valid cells found for operation.</v>
      </c>
      <c r="BS56" s="15" t="b">
        <f>AND(Trans!C826,"AAAAADr9ikY=")</f>
        <v>1</v>
      </c>
      <c r="BT56" s="15" t="b">
        <f>AND(Trans!D826,"AAAAADr9ikc=")</f>
        <v>1</v>
      </c>
      <c r="BU56" s="15" t="str">
        <f>AND(Trans!E826,"AAAAADr9ikg=")</f>
        <v>#VALUE!:noResult:No valid cells found for operation.</v>
      </c>
      <c r="BV56" s="15" t="str">
        <f>AND(Trans!F826,"AAAAADr9ikk=")</f>
        <v>#VALUE!:noResult:No valid cells found for operation.</v>
      </c>
      <c r="BW56" s="15" t="str">
        <f>AND(Trans!G826,"AAAAADr9iko=")</f>
        <v>#VALUE!:noResult:No valid cells found for operation.</v>
      </c>
      <c r="BX56" s="15" t="str">
        <f>#REF!</f>
        <v>#VALUE!:noResult:No valid cells found for operation.</v>
      </c>
      <c r="BY56" s="15" t="str">
        <f>AND(Trans!H826,"AAAAADr9ikw=")</f>
        <v>#VALUE!:noResult:No valid cells found for operation.</v>
      </c>
      <c r="BZ56" s="15" t="str">
        <f>#REF!</f>
        <v>#VALUE!:noResult:No valid cells found for operation.</v>
      </c>
      <c r="CA56" s="15" t="str">
        <f>#REF!</f>
        <v>#VALUE!:noResult:No valid cells found for operation.</v>
      </c>
      <c r="CB56" s="15" t="str">
        <f>#REF!</f>
        <v>#VALUE!:noResult:No valid cells found for operation.</v>
      </c>
      <c r="CC56" s="15" t="str">
        <f>#REF!</f>
        <v>#VALUE!:noResult:No valid cells found for operation.</v>
      </c>
      <c r="CD56" s="15" t="str">
        <f>#REF!</f>
        <v>#VALUE!:noResult:No valid cells found for operation.</v>
      </c>
      <c r="CE56" s="15" t="str">
        <f>#REF!</f>
        <v>#VALUE!:noResult:No valid cells found for operation.</v>
      </c>
      <c r="CF56" s="15">
        <f>IF(Trans!R[771],"AAAAADr9ilM=",0)</f>
        <v>0</v>
      </c>
      <c r="CG56" s="15" t="b">
        <f>AND(Trans!A827,"AAAAADr9ilQ=")</f>
        <v>1</v>
      </c>
      <c r="CH56" s="15" t="str">
        <f>AND(Trans!B827,"AAAAADr9ilU=")</f>
        <v>#VALUE!:noResult:No valid cells found for operation.</v>
      </c>
      <c r="CI56" s="15" t="b">
        <f>AND(Trans!C827,"AAAAADr9ilY=")</f>
        <v>1</v>
      </c>
      <c r="CJ56" s="15" t="b">
        <f>AND(Trans!D827,"AAAAADr9ilc=")</f>
        <v>1</v>
      </c>
      <c r="CK56" s="15" t="str">
        <f>AND(Trans!E827,"AAAAADr9ilg=")</f>
        <v>#VALUE!:noResult:No valid cells found for operation.</v>
      </c>
      <c r="CL56" s="15" t="str">
        <f>AND(Trans!F827,"AAAAADr9ilk=")</f>
        <v>#VALUE!:noResult:No valid cells found for operation.</v>
      </c>
      <c r="CM56" s="15" t="str">
        <f>AND(Trans!G827,"AAAAADr9ilo=")</f>
        <v>#VALUE!:noResult:No valid cells found for operation.</v>
      </c>
      <c r="CN56" s="15" t="str">
        <f>#REF!</f>
        <v>#VALUE!:noResult:No valid cells found for operation.</v>
      </c>
      <c r="CO56" s="15" t="str">
        <f>AND(Trans!H827,"AAAAADr9ilw=")</f>
        <v>#VALUE!:noResult:No valid cells found for operation.</v>
      </c>
      <c r="CP56" s="15" t="str">
        <f>#REF!</f>
        <v>#VALUE!:noResult:No valid cells found for operation.</v>
      </c>
      <c r="CQ56" s="15" t="str">
        <f>#REF!</f>
        <v>#VALUE!:noResult:No valid cells found for operation.</v>
      </c>
      <c r="CR56" s="15" t="str">
        <f>#REF!</f>
        <v>#VALUE!:noResult:No valid cells found for operation.</v>
      </c>
      <c r="CS56" s="15" t="str">
        <f>#REF!</f>
        <v>#VALUE!:noResult:No valid cells found for operation.</v>
      </c>
      <c r="CT56" s="15" t="str">
        <f>#REF!</f>
        <v>#VALUE!:noResult:No valid cells found for operation.</v>
      </c>
      <c r="CU56" s="15" t="str">
        <f>#REF!</f>
        <v>#VALUE!:noResult:No valid cells found for operation.</v>
      </c>
      <c r="CV56" s="15">
        <f>IF(Trans!R[772],"AAAAADr9imM=",0)</f>
        <v>0</v>
      </c>
      <c r="CW56" s="15" t="b">
        <f>AND(Trans!A828,"AAAAADr9imQ=")</f>
        <v>1</v>
      </c>
      <c r="CX56" s="15" t="str">
        <f>AND(Trans!B828,"AAAAADr9imU=")</f>
        <v>#VALUE!:noResult:No valid cells found for operation.</v>
      </c>
      <c r="CY56" s="15" t="b">
        <f>AND(Trans!C828,"AAAAADr9imY=")</f>
        <v>1</v>
      </c>
      <c r="CZ56" s="15" t="b">
        <f>AND(Trans!D828,"AAAAADr9imc=")</f>
        <v>1</v>
      </c>
      <c r="DA56" s="15" t="str">
        <f>AND(Trans!E828,"AAAAADr9img=")</f>
        <v>#VALUE!:noResult:No valid cells found for operation.</v>
      </c>
      <c r="DB56" s="15" t="str">
        <f>AND(Trans!F828,"AAAAADr9imk=")</f>
        <v>#VALUE!:noResult:No valid cells found for operation.</v>
      </c>
      <c r="DC56" s="15" t="str">
        <f>AND(Trans!G828,"AAAAADr9imo=")</f>
        <v>#VALUE!:noResult:No valid cells found for operation.</v>
      </c>
      <c r="DD56" s="15" t="str">
        <f>#REF!</f>
        <v>#VALUE!:noResult:No valid cells found for operation.</v>
      </c>
      <c r="DE56" s="15" t="str">
        <f>AND(Trans!H828,"AAAAADr9imw=")</f>
        <v>#VALUE!:noResult:No valid cells found for operation.</v>
      </c>
      <c r="DF56" s="15" t="str">
        <f>#REF!</f>
        <v>#VALUE!:noResult:No valid cells found for operation.</v>
      </c>
      <c r="DG56" s="15" t="str">
        <f>#REF!</f>
        <v>#VALUE!:noResult:No valid cells found for operation.</v>
      </c>
      <c r="DH56" s="15" t="str">
        <f>#REF!</f>
        <v>#VALUE!:noResult:No valid cells found for operation.</v>
      </c>
      <c r="DI56" s="15" t="str">
        <f>#REF!</f>
        <v>#VALUE!:noResult:No valid cells found for operation.</v>
      </c>
      <c r="DJ56" s="15" t="str">
        <f>#REF!</f>
        <v>#VALUE!:noResult:No valid cells found for operation.</v>
      </c>
      <c r="DK56" s="15" t="str">
        <f>#REF!</f>
        <v>#VALUE!:noResult:No valid cells found for operation.</v>
      </c>
      <c r="DL56" s="15">
        <f>IF(Trans!R[773],"AAAAADr9inM=",0)</f>
        <v>0</v>
      </c>
      <c r="DM56" s="15" t="b">
        <f>AND(Trans!A829,"AAAAADr9inQ=")</f>
        <v>1</v>
      </c>
      <c r="DN56" s="15" t="str">
        <f>AND(Trans!B829,"AAAAADr9inU=")</f>
        <v>#VALUE!:noResult:No valid cells found for operation.</v>
      </c>
      <c r="DO56" s="15" t="b">
        <f>AND(Trans!C829,"AAAAADr9inY=")</f>
        <v>1</v>
      </c>
      <c r="DP56" s="15" t="b">
        <f>AND(Trans!D829,"AAAAADr9inc=")</f>
        <v>1</v>
      </c>
      <c r="DQ56" s="15" t="str">
        <f>AND(Trans!E829,"AAAAADr9ing=")</f>
        <v>#VALUE!:noResult:No valid cells found for operation.</v>
      </c>
      <c r="DR56" s="15" t="str">
        <f>AND(Trans!F829,"AAAAADr9ink=")</f>
        <v>#VALUE!:noResult:No valid cells found for operation.</v>
      </c>
      <c r="DS56" s="15" t="str">
        <f>AND(Trans!G829,"AAAAADr9ino=")</f>
        <v>#VALUE!:noResult:No valid cells found for operation.</v>
      </c>
      <c r="DT56" s="15" t="str">
        <f>#REF!</f>
        <v>#VALUE!:noResult:No valid cells found for operation.</v>
      </c>
      <c r="DU56" s="15" t="str">
        <f>AND(Trans!H829,"AAAAADr9inw=")</f>
        <v>#VALUE!:noResult:No valid cells found for operation.</v>
      </c>
      <c r="DV56" s="15" t="str">
        <f>#REF!</f>
        <v>#VALUE!:noResult:No valid cells found for operation.</v>
      </c>
      <c r="DW56" s="15" t="str">
        <f>#REF!</f>
        <v>#VALUE!:noResult:No valid cells found for operation.</v>
      </c>
      <c r="DX56" s="15" t="str">
        <f>#REF!</f>
        <v>#VALUE!:noResult:No valid cells found for operation.</v>
      </c>
      <c r="DY56" s="15" t="str">
        <f>#REF!</f>
        <v>#VALUE!:noResult:No valid cells found for operation.</v>
      </c>
      <c r="DZ56" s="15" t="str">
        <f>#REF!</f>
        <v>#VALUE!:noResult:No valid cells found for operation.</v>
      </c>
      <c r="EA56" s="15" t="str">
        <f>#REF!</f>
        <v>#VALUE!:noResult:No valid cells found for operation.</v>
      </c>
      <c r="EB56" s="15">
        <f>IF(Trans!R[774],"AAAAADr9ioM=",0)</f>
        <v>0</v>
      </c>
      <c r="EC56" s="15" t="b">
        <f>AND(Trans!A830,"AAAAADr9ioQ=")</f>
        <v>1</v>
      </c>
      <c r="ED56" s="15" t="str">
        <f>AND(Trans!B830,"AAAAADr9ioU=")</f>
        <v>#VALUE!:noResult:No valid cells found for operation.</v>
      </c>
      <c r="EE56" s="15" t="b">
        <f>AND(Trans!C830,"AAAAADr9ioY=")</f>
        <v>1</v>
      </c>
      <c r="EF56" s="15" t="b">
        <f>AND(Trans!D830,"AAAAADr9ioc=")</f>
        <v>1</v>
      </c>
      <c r="EG56" s="15" t="str">
        <f>AND(Trans!E830,"AAAAADr9iog=")</f>
        <v>#VALUE!:noResult:No valid cells found for operation.</v>
      </c>
      <c r="EH56" s="15" t="str">
        <f>AND(Trans!F830,"AAAAADr9iok=")</f>
        <v>#VALUE!:noResult:No valid cells found for operation.</v>
      </c>
      <c r="EI56" s="15" t="str">
        <f>AND(Trans!G830,"AAAAADr9ioo=")</f>
        <v>#VALUE!:noResult:No valid cells found for operation.</v>
      </c>
      <c r="EJ56" s="15" t="str">
        <f>#REF!</f>
        <v>#VALUE!:noResult:No valid cells found for operation.</v>
      </c>
      <c r="EK56" s="15" t="str">
        <f>AND(Trans!H830,"AAAAADr9iow=")</f>
        <v>#VALUE!:noResult:No valid cells found for operation.</v>
      </c>
      <c r="EL56" s="15" t="str">
        <f>#REF!</f>
        <v>#VALUE!:noResult:No valid cells found for operation.</v>
      </c>
      <c r="EM56" s="15" t="str">
        <f>#REF!</f>
        <v>#VALUE!:noResult:No valid cells found for operation.</v>
      </c>
      <c r="EN56" s="15" t="str">
        <f>#REF!</f>
        <v>#VALUE!:noResult:No valid cells found for operation.</v>
      </c>
      <c r="EO56" s="15" t="str">
        <f>#REF!</f>
        <v>#VALUE!:noResult:No valid cells found for operation.</v>
      </c>
      <c r="EP56" s="15" t="str">
        <f>#REF!</f>
        <v>#VALUE!:noResult:No valid cells found for operation.</v>
      </c>
      <c r="EQ56" s="15" t="str">
        <f>#REF!</f>
        <v>#VALUE!:noResult:No valid cells found for operation.</v>
      </c>
      <c r="ER56" s="15">
        <f>IF(Trans!R[775],"AAAAADr9ipM=",0)</f>
        <v>0</v>
      </c>
      <c r="ES56" s="15" t="b">
        <f>AND(Trans!A831,"AAAAADr9ipQ=")</f>
        <v>1</v>
      </c>
      <c r="ET56" s="15" t="str">
        <f>AND(Trans!B831,"AAAAADr9ipU=")</f>
        <v>#VALUE!:noResult:No valid cells found for operation.</v>
      </c>
      <c r="EU56" s="15" t="b">
        <f>AND(Trans!C831,"AAAAADr9ipY=")</f>
        <v>1</v>
      </c>
      <c r="EV56" s="15" t="b">
        <f>AND(Trans!D831,"AAAAADr9ipc=")</f>
        <v>1</v>
      </c>
      <c r="EW56" s="15" t="str">
        <f>AND(Trans!E831,"AAAAADr9ipg=")</f>
        <v>#VALUE!:noResult:No valid cells found for operation.</v>
      </c>
      <c r="EX56" s="15" t="str">
        <f>AND(Trans!F831,"AAAAADr9ipk=")</f>
        <v>#VALUE!:noResult:No valid cells found for operation.</v>
      </c>
      <c r="EY56" s="15" t="str">
        <f>AND(Trans!G831,"AAAAADr9ipo=")</f>
        <v>#VALUE!:noResult:No valid cells found for operation.</v>
      </c>
      <c r="EZ56" s="15" t="str">
        <f>#REF!</f>
        <v>#VALUE!:noResult:No valid cells found for operation.</v>
      </c>
      <c r="FA56" s="15" t="str">
        <f>AND(Trans!H831,"AAAAADr9ipw=")</f>
        <v>#VALUE!:noResult:No valid cells found for operation.</v>
      </c>
      <c r="FB56" s="15" t="str">
        <f>#REF!</f>
        <v>#VALUE!:noResult:No valid cells found for operation.</v>
      </c>
      <c r="FC56" s="15" t="str">
        <f>#REF!</f>
        <v>#VALUE!:noResult:No valid cells found for operation.</v>
      </c>
      <c r="FD56" s="15" t="str">
        <f>#REF!</f>
        <v>#VALUE!:noResult:No valid cells found for operation.</v>
      </c>
      <c r="FE56" s="15" t="str">
        <f>#REF!</f>
        <v>#VALUE!:noResult:No valid cells found for operation.</v>
      </c>
      <c r="FF56" s="15" t="str">
        <f>#REF!</f>
        <v>#VALUE!:noResult:No valid cells found for operation.</v>
      </c>
      <c r="FG56" s="15" t="str">
        <f>#REF!</f>
        <v>#VALUE!:noResult:No valid cells found for operation.</v>
      </c>
      <c r="FH56" s="15">
        <f>IF(Trans!R[776],"AAAAADr9iqM=",0)</f>
        <v>0</v>
      </c>
      <c r="FI56" s="15" t="b">
        <f>AND(Trans!A832,"AAAAADr9iqQ=")</f>
        <v>1</v>
      </c>
      <c r="FJ56" s="15" t="str">
        <f>AND(Trans!B832,"AAAAADr9iqU=")</f>
        <v>#VALUE!:noResult:No valid cells found for operation.</v>
      </c>
      <c r="FK56" s="15" t="b">
        <f>AND(Trans!C832,"AAAAADr9iqY=")</f>
        <v>1</v>
      </c>
      <c r="FL56" s="15" t="b">
        <f>AND(Trans!D832,"AAAAADr9iqc=")</f>
        <v>1</v>
      </c>
      <c r="FM56" s="15" t="str">
        <f>AND(Trans!E832,"AAAAADr9iqg=")</f>
        <v>#VALUE!:noResult:No valid cells found for operation.</v>
      </c>
      <c r="FN56" s="15" t="str">
        <f>AND(Trans!F832,"AAAAADr9iqk=")</f>
        <v>#VALUE!:noResult:No valid cells found for operation.</v>
      </c>
      <c r="FO56" s="15" t="str">
        <f>AND(Trans!G832,"AAAAADr9iqo=")</f>
        <v>#VALUE!:noResult:No valid cells found for operation.</v>
      </c>
      <c r="FP56" s="15" t="str">
        <f>#REF!</f>
        <v>#VALUE!:noResult:No valid cells found for operation.</v>
      </c>
      <c r="FQ56" s="15" t="str">
        <f>AND(Trans!H832,"AAAAADr9iqw=")</f>
        <v>#VALUE!:noResult:No valid cells found for operation.</v>
      </c>
      <c r="FR56" s="15" t="str">
        <f>#REF!</f>
        <v>#VALUE!:noResult:No valid cells found for operation.</v>
      </c>
      <c r="FS56" s="15" t="str">
        <f>#REF!</f>
        <v>#VALUE!:noResult:No valid cells found for operation.</v>
      </c>
      <c r="FT56" s="15" t="str">
        <f>#REF!</f>
        <v>#VALUE!:noResult:No valid cells found for operation.</v>
      </c>
      <c r="FU56" s="15" t="str">
        <f>#REF!</f>
        <v>#VALUE!:noResult:No valid cells found for operation.</v>
      </c>
      <c r="FV56" s="15" t="str">
        <f>#REF!</f>
        <v>#VALUE!:noResult:No valid cells found for operation.</v>
      </c>
      <c r="FW56" s="15" t="str">
        <f>#REF!</f>
        <v>#VALUE!:noResult:No valid cells found for operation.</v>
      </c>
      <c r="FX56" s="15">
        <f>IF(Trans!R[777],"AAAAADr9irM=",0)</f>
        <v>0</v>
      </c>
      <c r="FY56" s="15" t="b">
        <f>AND(Trans!A833,"AAAAADr9irQ=")</f>
        <v>1</v>
      </c>
      <c r="FZ56" s="15" t="str">
        <f>AND(Trans!B833,"AAAAADr9irU=")</f>
        <v>#VALUE!:noResult:No valid cells found for operation.</v>
      </c>
      <c r="GA56" s="15" t="b">
        <f>AND(Trans!C833,"AAAAADr9irY=")</f>
        <v>1</v>
      </c>
      <c r="GB56" s="15" t="b">
        <f>AND(Trans!D833,"AAAAADr9irc=")</f>
        <v>1</v>
      </c>
      <c r="GC56" s="15" t="str">
        <f>AND(Trans!E833,"AAAAADr9irg=")</f>
        <v>#VALUE!:noResult:No valid cells found for operation.</v>
      </c>
      <c r="GD56" s="15" t="str">
        <f>AND(Trans!F833,"AAAAADr9irk=")</f>
        <v>#VALUE!:noResult:No valid cells found for operation.</v>
      </c>
      <c r="GE56" s="15" t="str">
        <f>AND(Trans!G833,"AAAAADr9iro=")</f>
        <v>#VALUE!:noResult:No valid cells found for operation.</v>
      </c>
      <c r="GF56" s="15" t="str">
        <f>#REF!</f>
        <v>#VALUE!:noResult:No valid cells found for operation.</v>
      </c>
      <c r="GG56" s="15" t="str">
        <f>AND(Trans!H833,"AAAAADr9irw=")</f>
        <v>#VALUE!:noResult:No valid cells found for operation.</v>
      </c>
      <c r="GH56" s="15" t="str">
        <f>#REF!</f>
        <v>#VALUE!:noResult:No valid cells found for operation.</v>
      </c>
      <c r="GI56" s="15" t="str">
        <f>#REF!</f>
        <v>#VALUE!:noResult:No valid cells found for operation.</v>
      </c>
      <c r="GJ56" s="15" t="str">
        <f>#REF!</f>
        <v>#VALUE!:noResult:No valid cells found for operation.</v>
      </c>
      <c r="GK56" s="15" t="str">
        <f>#REF!</f>
        <v>#VALUE!:noResult:No valid cells found for operation.</v>
      </c>
      <c r="GL56" s="15" t="str">
        <f>#REF!</f>
        <v>#VALUE!:noResult:No valid cells found for operation.</v>
      </c>
      <c r="GM56" s="15" t="str">
        <f>#REF!</f>
        <v>#VALUE!:noResult:No valid cells found for operation.</v>
      </c>
      <c r="GN56" s="15">
        <f>IF(Trans!R[778],"AAAAADr9isM=",0)</f>
        <v>0</v>
      </c>
      <c r="GO56" s="15" t="b">
        <f>AND(Trans!A834,"AAAAADr9isQ=")</f>
        <v>1</v>
      </c>
      <c r="GP56" s="15" t="str">
        <f>AND(Trans!B834,"AAAAADr9isU=")</f>
        <v>#VALUE!:noResult:No valid cells found for operation.</v>
      </c>
      <c r="GQ56" s="15" t="b">
        <f>AND(Trans!C834,"AAAAADr9isY=")</f>
        <v>1</v>
      </c>
      <c r="GR56" s="15" t="b">
        <f>AND(Trans!D834,"AAAAADr9isc=")</f>
        <v>1</v>
      </c>
      <c r="GS56" s="15" t="str">
        <f>AND(Trans!E834,"AAAAADr9isg=")</f>
        <v>#VALUE!:noResult:No valid cells found for operation.</v>
      </c>
      <c r="GT56" s="15" t="str">
        <f>AND(Trans!F834,"AAAAADr9isk=")</f>
        <v>#VALUE!:noResult:No valid cells found for operation.</v>
      </c>
      <c r="GU56" s="15" t="str">
        <f>AND(Trans!G834,"AAAAADr9iso=")</f>
        <v>#VALUE!:noResult:No valid cells found for operation.</v>
      </c>
      <c r="GV56" s="15" t="str">
        <f>#REF!</f>
        <v>#VALUE!:noResult:No valid cells found for operation.</v>
      </c>
      <c r="GW56" s="15" t="str">
        <f>AND(Trans!H834,"AAAAADr9isw=")</f>
        <v>#VALUE!:noResult:No valid cells found for operation.</v>
      </c>
      <c r="GX56" s="15" t="str">
        <f>#REF!</f>
        <v>#VALUE!:noResult:No valid cells found for operation.</v>
      </c>
      <c r="GY56" s="15" t="str">
        <f>#REF!</f>
        <v>#VALUE!:noResult:No valid cells found for operation.</v>
      </c>
      <c r="GZ56" s="15" t="str">
        <f>#REF!</f>
        <v>#VALUE!:noResult:No valid cells found for operation.</v>
      </c>
      <c r="HA56" s="15" t="str">
        <f>#REF!</f>
        <v>#VALUE!:noResult:No valid cells found for operation.</v>
      </c>
      <c r="HB56" s="15" t="str">
        <f>#REF!</f>
        <v>#VALUE!:noResult:No valid cells found for operation.</v>
      </c>
      <c r="HC56" s="15" t="str">
        <f>#REF!</f>
        <v>#VALUE!:noResult:No valid cells found for operation.</v>
      </c>
      <c r="HD56" s="15">
        <f>IF(Trans!R[779],"AAAAADr9itM=",0)</f>
        <v>0</v>
      </c>
      <c r="HE56" s="15" t="b">
        <f>AND(Trans!A835,"AAAAADr9itQ=")</f>
        <v>1</v>
      </c>
      <c r="HF56" s="15" t="str">
        <f>AND(Trans!B835,"AAAAADr9itU=")</f>
        <v>#VALUE!:noResult:No valid cells found for operation.</v>
      </c>
      <c r="HG56" s="15" t="b">
        <f>AND(Trans!C835,"AAAAADr9itY=")</f>
        <v>1</v>
      </c>
      <c r="HH56" s="15" t="b">
        <f>AND(Trans!D835,"AAAAADr9itc=")</f>
        <v>1</v>
      </c>
      <c r="HI56" s="15" t="str">
        <f>AND(Trans!E835,"AAAAADr9itg=")</f>
        <v>#VALUE!:noResult:No valid cells found for operation.</v>
      </c>
      <c r="HJ56" s="15" t="str">
        <f>AND(Trans!F835,"AAAAADr9itk=")</f>
        <v>#VALUE!:noResult:No valid cells found for operation.</v>
      </c>
      <c r="HK56" s="15" t="str">
        <f>AND(Trans!G835,"AAAAADr9ito=")</f>
        <v>#VALUE!:noResult:No valid cells found for operation.</v>
      </c>
      <c r="HL56" s="15" t="str">
        <f>#REF!</f>
        <v>#VALUE!:noResult:No valid cells found for operation.</v>
      </c>
      <c r="HM56" s="15" t="str">
        <f>AND(Trans!H835,"AAAAADr9itw=")</f>
        <v>#VALUE!:noResult:No valid cells found for operation.</v>
      </c>
      <c r="HN56" s="15" t="str">
        <f>#REF!</f>
        <v>#VALUE!:noResult:No valid cells found for operation.</v>
      </c>
      <c r="HO56" s="15" t="str">
        <f>#REF!</f>
        <v>#VALUE!:noResult:No valid cells found for operation.</v>
      </c>
      <c r="HP56" s="15" t="str">
        <f>#REF!</f>
        <v>#VALUE!:noResult:No valid cells found for operation.</v>
      </c>
      <c r="HQ56" s="15" t="str">
        <f>#REF!</f>
        <v>#VALUE!:noResult:No valid cells found for operation.</v>
      </c>
      <c r="HR56" s="15" t="str">
        <f>#REF!</f>
        <v>#VALUE!:noResult:No valid cells found for operation.</v>
      </c>
      <c r="HS56" s="15" t="str">
        <f>#REF!</f>
        <v>#VALUE!:noResult:No valid cells found for operation.</v>
      </c>
      <c r="HT56" s="15">
        <f>IF(Trans!R[780],"AAAAADr9iuM=",0)</f>
        <v>0</v>
      </c>
      <c r="HU56" s="15" t="b">
        <f>AND(Trans!A836,"AAAAADr9iuQ=")</f>
        <v>1</v>
      </c>
      <c r="HV56" s="15" t="str">
        <f>AND(Trans!B836,"AAAAADr9iuU=")</f>
        <v>#VALUE!:noResult:No valid cells found for operation.</v>
      </c>
      <c r="HW56" s="15" t="b">
        <f>AND(Trans!C836,"AAAAADr9iuY=")</f>
        <v>1</v>
      </c>
      <c r="HX56" s="15" t="b">
        <f>AND(Trans!D836,"AAAAADr9iuc=")</f>
        <v>1</v>
      </c>
      <c r="HY56" s="15" t="str">
        <f>AND(Trans!E836,"AAAAADr9iug=")</f>
        <v>#VALUE!:noResult:No valid cells found for operation.</v>
      </c>
      <c r="HZ56" s="15" t="str">
        <f>AND(Trans!F836,"AAAAADr9iuk=")</f>
        <v>#VALUE!:noResult:No valid cells found for operation.</v>
      </c>
      <c r="IA56" s="15" t="str">
        <f>AND(Trans!G836,"AAAAADr9iuo=")</f>
        <v>#VALUE!:noResult:No valid cells found for operation.</v>
      </c>
      <c r="IB56" s="15" t="str">
        <f>#REF!</f>
        <v>#VALUE!:noResult:No valid cells found for operation.</v>
      </c>
      <c r="IC56" s="15" t="str">
        <f>AND(Trans!H836,"AAAAADr9iuw=")</f>
        <v>#VALUE!:noResult:No valid cells found for operation.</v>
      </c>
      <c r="ID56" s="15" t="str">
        <f>#REF!</f>
        <v>#VALUE!:noResult:No valid cells found for operation.</v>
      </c>
      <c r="IE56" s="15" t="str">
        <f>#REF!</f>
        <v>#VALUE!:noResult:No valid cells found for operation.</v>
      </c>
      <c r="IF56" s="15" t="str">
        <f>#REF!</f>
        <v>#VALUE!:noResult:No valid cells found for operation.</v>
      </c>
      <c r="IG56" s="15" t="str">
        <f>#REF!</f>
        <v>#VALUE!:noResult:No valid cells found for operation.</v>
      </c>
      <c r="IH56" s="15" t="str">
        <f>#REF!</f>
        <v>#VALUE!:noResult:No valid cells found for operation.</v>
      </c>
      <c r="II56" s="15" t="str">
        <f>#REF!</f>
        <v>#VALUE!:noResult:No valid cells found for operation.</v>
      </c>
      <c r="IJ56" s="15">
        <f>IF(Trans!R[781],"AAAAADr9ivM=",0)</f>
        <v>0</v>
      </c>
      <c r="IK56" s="15" t="b">
        <f>AND(Trans!A837,"AAAAADr9ivQ=")</f>
        <v>1</v>
      </c>
      <c r="IL56" s="15" t="str">
        <f>AND(Trans!B837,"AAAAADr9ivU=")</f>
        <v>#VALUE!:noResult:No valid cells found for operation.</v>
      </c>
      <c r="IM56" s="15" t="b">
        <f>AND(Trans!C837,"AAAAADr9ivY=")</f>
        <v>1</v>
      </c>
      <c r="IN56" s="15" t="b">
        <f>AND(Trans!D837,"AAAAADr9ivc=")</f>
        <v>1</v>
      </c>
      <c r="IO56" s="15" t="str">
        <f>AND(Trans!E837,"AAAAADr9ivg=")</f>
        <v>#VALUE!:noResult:No valid cells found for operation.</v>
      </c>
      <c r="IP56" s="15" t="str">
        <f>AND(Trans!F837,"AAAAADr9ivk=")</f>
        <v>#VALUE!:noResult:No valid cells found for operation.</v>
      </c>
      <c r="IQ56" s="15" t="str">
        <f>AND(Trans!G837,"AAAAADr9ivo=")</f>
        <v>#VALUE!:noResult:No valid cells found for operation.</v>
      </c>
      <c r="IR56" s="15" t="str">
        <f>#REF!</f>
        <v>#VALUE!:noResult:No valid cells found for operation.</v>
      </c>
      <c r="IS56" s="15" t="str">
        <f>AND(Trans!H837,"AAAAADr9ivw=")</f>
        <v>#VALUE!:noResult:No valid cells found for operation.</v>
      </c>
      <c r="IT56" s="15" t="str">
        <f>#REF!</f>
        <v>#VALUE!:noResult:No valid cells found for operation.</v>
      </c>
      <c r="IU56" s="15" t="str">
        <f>#REF!</f>
        <v>#VALUE!:noResult:No valid cells found for operation.</v>
      </c>
      <c r="IV56" s="15" t="str">
        <f>#REF!</f>
        <v>#VALUE!:noResult:No valid cells found for operation.</v>
      </c>
    </row>
    <row r="57">
      <c r="A57" s="15" t="str">
        <f>#REF!</f>
        <v>#VALUE!:noResult:No valid cells found for operation.</v>
      </c>
      <c r="B57" s="15" t="str">
        <f>#REF!</f>
        <v>#VALUE!:noResult:No valid cells found for operation.</v>
      </c>
      <c r="C57" s="15" t="str">
        <f>#REF!</f>
        <v>#VALUE!:noResult:No valid cells found for operation.</v>
      </c>
      <c r="D57" s="15" t="str">
        <f>IF(Trans!R[781],"AAAAAF+u/wM=",0)</f>
        <v>AAAAAF+u/wM=</v>
      </c>
      <c r="E57" s="15" t="b">
        <f>AND(Trans!A838,"AAAAAF+u/wQ=")</f>
        <v>1</v>
      </c>
      <c r="F57" s="15" t="str">
        <f>AND(Trans!B838,"AAAAAF+u/wU=")</f>
        <v>#VALUE!:noResult:No valid cells found for operation.</v>
      </c>
      <c r="G57" s="15" t="b">
        <f>AND(Trans!C838,"AAAAAF+u/wY=")</f>
        <v>1</v>
      </c>
      <c r="H57" s="15" t="b">
        <f>AND(Trans!D838,"AAAAAF+u/wc=")</f>
        <v>1</v>
      </c>
      <c r="I57" s="15" t="str">
        <f>AND(Trans!E838,"AAAAAF+u/wg=")</f>
        <v>#VALUE!:noResult:No valid cells found for operation.</v>
      </c>
      <c r="J57" s="15" t="str">
        <f>AND(Trans!F838,"AAAAAF+u/wk=")</f>
        <v>#VALUE!:noResult:No valid cells found for operation.</v>
      </c>
      <c r="K57" s="15" t="str">
        <f>AND(Trans!G838,"AAAAAF+u/wo=")</f>
        <v>#VALUE!:noResult:No valid cells found for operation.</v>
      </c>
      <c r="L57" s="15" t="str">
        <f>#REF!</f>
        <v>#VALUE!:noResult:No valid cells found for operation.</v>
      </c>
      <c r="M57" s="15" t="str">
        <f>AND(Trans!H838,"AAAAAF+u/ww=")</f>
        <v>#VALUE!:noResult:No valid cells found for operation.</v>
      </c>
      <c r="N57" s="15" t="str">
        <f>#REF!</f>
        <v>#VALUE!:noResult:No valid cells found for operation.</v>
      </c>
      <c r="O57" s="15" t="str">
        <f>#REF!</f>
        <v>#VALUE!:noResult:No valid cells found for operation.</v>
      </c>
      <c r="P57" s="15" t="str">
        <f>#REF!</f>
        <v>#VALUE!:noResult:No valid cells found for operation.</v>
      </c>
      <c r="Q57" s="15" t="str">
        <f>#REF!</f>
        <v>#VALUE!:noResult:No valid cells found for operation.</v>
      </c>
      <c r="R57" s="15" t="str">
        <f>#REF!</f>
        <v>#VALUE!:noResult:No valid cells found for operation.</v>
      </c>
      <c r="S57" s="15" t="str">
        <f>#REF!</f>
        <v>#VALUE!:noResult:No valid cells found for operation.</v>
      </c>
      <c r="T57" s="15">
        <f>IF(Trans!R[782],"AAAAAF+u/xM=",0)</f>
        <v>0</v>
      </c>
      <c r="U57" s="15" t="b">
        <f>AND(Trans!A839,"AAAAAF+u/xQ=")</f>
        <v>1</v>
      </c>
      <c r="V57" s="15" t="str">
        <f>AND(Trans!B839,"AAAAAF+u/xU=")</f>
        <v>#VALUE!:noResult:No valid cells found for operation.</v>
      </c>
      <c r="W57" s="15" t="b">
        <f>AND(Trans!C839,"AAAAAF+u/xY=")</f>
        <v>1</v>
      </c>
      <c r="X57" s="15" t="b">
        <f>AND(Trans!D839,"AAAAAF+u/xc=")</f>
        <v>1</v>
      </c>
      <c r="Y57" s="15" t="str">
        <f>AND(Trans!E839,"AAAAAF+u/xg=")</f>
        <v>#VALUE!:noResult:No valid cells found for operation.</v>
      </c>
      <c r="Z57" s="15" t="str">
        <f>AND(Trans!F839,"AAAAAF+u/xk=")</f>
        <v>#VALUE!:noResult:No valid cells found for operation.</v>
      </c>
      <c r="AA57" s="15" t="str">
        <f>AND(Trans!G839,"AAAAAF+u/xo=")</f>
        <v>#VALUE!:noResult:No valid cells found for operation.</v>
      </c>
      <c r="AB57" s="15" t="str">
        <f>#REF!</f>
        <v>#VALUE!:noResult:No valid cells found for operation.</v>
      </c>
      <c r="AC57" s="15" t="str">
        <f>AND(Trans!H839,"AAAAAF+u/xw=")</f>
        <v>#VALUE!:noResult:No valid cells found for operation.</v>
      </c>
      <c r="AD57" s="15" t="str">
        <f>#REF!</f>
        <v>#VALUE!:noResult:No valid cells found for operation.</v>
      </c>
      <c r="AE57" s="15" t="str">
        <f>#REF!</f>
        <v>#VALUE!:noResult:No valid cells found for operation.</v>
      </c>
      <c r="AF57" s="15" t="str">
        <f>#REF!</f>
        <v>#VALUE!:noResult:No valid cells found for operation.</v>
      </c>
      <c r="AG57" s="15" t="str">
        <f>#REF!</f>
        <v>#VALUE!:noResult:No valid cells found for operation.</v>
      </c>
      <c r="AH57" s="15" t="str">
        <f>#REF!</f>
        <v>#VALUE!:noResult:No valid cells found for operation.</v>
      </c>
      <c r="AI57" s="15" t="str">
        <f>#REF!</f>
        <v>#VALUE!:noResult:No valid cells found for operation.</v>
      </c>
      <c r="AJ57" s="15">
        <f>IF(Trans!R[783],"AAAAAF+u/yM=",0)</f>
        <v>0</v>
      </c>
      <c r="AK57" s="15" t="b">
        <f>AND(Trans!A840,"AAAAAF+u/yQ=")</f>
        <v>1</v>
      </c>
      <c r="AL57" s="15" t="str">
        <f>AND(Trans!B840,"AAAAAF+u/yU=")</f>
        <v>#VALUE!:noResult:No valid cells found for operation.</v>
      </c>
      <c r="AM57" s="15" t="b">
        <f>AND(Trans!C840,"AAAAAF+u/yY=")</f>
        <v>1</v>
      </c>
      <c r="AN57" s="15" t="b">
        <f>AND(Trans!D840,"AAAAAF+u/yc=")</f>
        <v>1</v>
      </c>
      <c r="AO57" s="15" t="str">
        <f>AND(Trans!E840,"AAAAAF+u/yg=")</f>
        <v>#VALUE!:noResult:No valid cells found for operation.</v>
      </c>
      <c r="AP57" s="15" t="str">
        <f>AND(Trans!F840,"AAAAAF+u/yk=")</f>
        <v>#VALUE!:noResult:No valid cells found for operation.</v>
      </c>
      <c r="AQ57" s="15" t="str">
        <f>AND(Trans!G840,"AAAAAF+u/yo=")</f>
        <v>#VALUE!:noResult:No valid cells found for operation.</v>
      </c>
      <c r="AR57" s="15" t="str">
        <f>#REF!</f>
        <v>#VALUE!:noResult:No valid cells found for operation.</v>
      </c>
      <c r="AS57" s="15" t="str">
        <f>AND(Trans!H840,"AAAAAF+u/yw=")</f>
        <v>#VALUE!:noResult:No valid cells found for operation.</v>
      </c>
      <c r="AT57" s="15" t="str">
        <f>#REF!</f>
        <v>#VALUE!:noResult:No valid cells found for operation.</v>
      </c>
      <c r="AU57" s="15" t="str">
        <f>#REF!</f>
        <v>#VALUE!:noResult:No valid cells found for operation.</v>
      </c>
      <c r="AV57" s="15" t="str">
        <f>#REF!</f>
        <v>#VALUE!:noResult:No valid cells found for operation.</v>
      </c>
      <c r="AW57" s="15" t="str">
        <f>#REF!</f>
        <v>#VALUE!:noResult:No valid cells found for operation.</v>
      </c>
      <c r="AX57" s="15" t="str">
        <f>#REF!</f>
        <v>#VALUE!:noResult:No valid cells found for operation.</v>
      </c>
      <c r="AY57" s="15" t="str">
        <f>#REF!</f>
        <v>#VALUE!:noResult:No valid cells found for operation.</v>
      </c>
      <c r="AZ57" s="15">
        <f>IF(Trans!R[784],"AAAAAF+u/zM=",0)</f>
        <v>0</v>
      </c>
      <c r="BA57" s="15" t="b">
        <f>AND(Trans!A841,"AAAAAF+u/zQ=")</f>
        <v>1</v>
      </c>
      <c r="BB57" s="15" t="str">
        <f>AND(Trans!B841,"AAAAAF+u/zU=")</f>
        <v>#VALUE!:noResult:No valid cells found for operation.</v>
      </c>
      <c r="BC57" s="15" t="b">
        <f>AND(Trans!C841,"AAAAAF+u/zY=")</f>
        <v>1</v>
      </c>
      <c r="BD57" s="15" t="b">
        <f>AND(Trans!D841,"AAAAAF+u/zc=")</f>
        <v>1</v>
      </c>
      <c r="BE57" s="15" t="str">
        <f>AND(Trans!E841,"AAAAAF+u/zg=")</f>
        <v>#VALUE!:noResult:No valid cells found for operation.</v>
      </c>
      <c r="BF57" s="15" t="str">
        <f>AND(Trans!F841,"AAAAAF+u/zk=")</f>
        <v>#VALUE!:noResult:No valid cells found for operation.</v>
      </c>
      <c r="BG57" s="15" t="str">
        <f>AND(Trans!G841,"AAAAAF+u/zo=")</f>
        <v>#VALUE!:noResult:No valid cells found for operation.</v>
      </c>
      <c r="BH57" s="15" t="str">
        <f>#REF!</f>
        <v>#VALUE!:noResult:No valid cells found for operation.</v>
      </c>
      <c r="BI57" s="15" t="str">
        <f>AND(Trans!H841,"AAAAAF+u/zw=")</f>
        <v>#VALUE!:noResult:No valid cells found for operation.</v>
      </c>
      <c r="BJ57" s="15" t="str">
        <f>#REF!</f>
        <v>#VALUE!:noResult:No valid cells found for operation.</v>
      </c>
      <c r="BK57" s="15" t="str">
        <f>#REF!</f>
        <v>#VALUE!:noResult:No valid cells found for operation.</v>
      </c>
      <c r="BL57" s="15" t="str">
        <f>#REF!</f>
        <v>#VALUE!:noResult:No valid cells found for operation.</v>
      </c>
      <c r="BM57" s="15" t="str">
        <f>#REF!</f>
        <v>#VALUE!:noResult:No valid cells found for operation.</v>
      </c>
      <c r="BN57" s="15" t="str">
        <f>#REF!</f>
        <v>#VALUE!:noResult:No valid cells found for operation.</v>
      </c>
      <c r="BO57" s="15" t="str">
        <f>#REF!</f>
        <v>#VALUE!:noResult:No valid cells found for operation.</v>
      </c>
      <c r="BP57" s="15">
        <f>IF(Trans!R[785],"AAAAAF+u/0M=",0)</f>
        <v>0</v>
      </c>
      <c r="BQ57" s="15" t="b">
        <f>AND(Trans!A842,"AAAAAF+u/0Q=")</f>
        <v>1</v>
      </c>
      <c r="BR57" s="15" t="str">
        <f>AND(Trans!B842,"AAAAAF+u/0U=")</f>
        <v>#VALUE!:noResult:No valid cells found for operation.</v>
      </c>
      <c r="BS57" s="15" t="b">
        <f>AND(Trans!C842,"AAAAAF+u/0Y=")</f>
        <v>1</v>
      </c>
      <c r="BT57" s="15" t="b">
        <f>AND(Trans!D842,"AAAAAF+u/0c=")</f>
        <v>1</v>
      </c>
      <c r="BU57" s="15" t="str">
        <f>AND(Trans!E842,"AAAAAF+u/0g=")</f>
        <v>#VALUE!:noResult:No valid cells found for operation.</v>
      </c>
      <c r="BV57" s="15" t="str">
        <f>AND(Trans!F842,"AAAAAF+u/0k=")</f>
        <v>#VALUE!:noResult:No valid cells found for operation.</v>
      </c>
      <c r="BW57" s="15" t="str">
        <f>AND(Trans!G842,"AAAAAF+u/0o=")</f>
        <v>#VALUE!:noResult:No valid cells found for operation.</v>
      </c>
      <c r="BX57" s="15" t="str">
        <f>#REF!</f>
        <v>#VALUE!:noResult:No valid cells found for operation.</v>
      </c>
      <c r="BY57" s="15" t="str">
        <f>AND(Trans!H842,"AAAAAF+u/0w=")</f>
        <v>#VALUE!:noResult:No valid cells found for operation.</v>
      </c>
      <c r="BZ57" s="15" t="str">
        <f>#REF!</f>
        <v>#VALUE!:noResult:No valid cells found for operation.</v>
      </c>
      <c r="CA57" s="15" t="str">
        <f>#REF!</f>
        <v>#VALUE!:noResult:No valid cells found for operation.</v>
      </c>
      <c r="CB57" s="15" t="str">
        <f>#REF!</f>
        <v>#VALUE!:noResult:No valid cells found for operation.</v>
      </c>
      <c r="CC57" s="15" t="str">
        <f>#REF!</f>
        <v>#VALUE!:noResult:No valid cells found for operation.</v>
      </c>
      <c r="CD57" s="15" t="str">
        <f>#REF!</f>
        <v>#VALUE!:noResult:No valid cells found for operation.</v>
      </c>
      <c r="CE57" s="15" t="str">
        <f>#REF!</f>
        <v>#VALUE!:noResult:No valid cells found for operation.</v>
      </c>
      <c r="CF57" s="15">
        <f>IF(Trans!R[786],"AAAAAF+u/1M=",0)</f>
        <v>0</v>
      </c>
      <c r="CG57" s="15" t="b">
        <f>AND(Trans!A843,"AAAAAF+u/1Q=")</f>
        <v>1</v>
      </c>
      <c r="CH57" s="15" t="str">
        <f>AND(Trans!B843,"AAAAAF+u/1U=")</f>
        <v>#VALUE!:noResult:No valid cells found for operation.</v>
      </c>
      <c r="CI57" s="15" t="b">
        <f>AND(Trans!C843,"AAAAAF+u/1Y=")</f>
        <v>1</v>
      </c>
      <c r="CJ57" s="15" t="b">
        <f>AND(Trans!D843,"AAAAAF+u/1c=")</f>
        <v>1</v>
      </c>
      <c r="CK57" s="15" t="str">
        <f>AND(Trans!E843,"AAAAAF+u/1g=")</f>
        <v>#VALUE!:noResult:No valid cells found for operation.</v>
      </c>
      <c r="CL57" s="15" t="str">
        <f>AND(Trans!F843,"AAAAAF+u/1k=")</f>
        <v>#VALUE!:noResult:No valid cells found for operation.</v>
      </c>
      <c r="CM57" s="15" t="str">
        <f>AND(Trans!G843,"AAAAAF+u/1o=")</f>
        <v>#VALUE!:noResult:No valid cells found for operation.</v>
      </c>
      <c r="CN57" s="15" t="str">
        <f>#REF!</f>
        <v>#VALUE!:noResult:No valid cells found for operation.</v>
      </c>
      <c r="CO57" s="15" t="str">
        <f>AND(Trans!H843,"AAAAAF+u/1w=")</f>
        <v>#VALUE!:noResult:No valid cells found for operation.</v>
      </c>
      <c r="CP57" s="15" t="str">
        <f>#REF!</f>
        <v>#VALUE!:noResult:No valid cells found for operation.</v>
      </c>
      <c r="CQ57" s="15" t="str">
        <f>#REF!</f>
        <v>#VALUE!:noResult:No valid cells found for operation.</v>
      </c>
      <c r="CR57" s="15" t="str">
        <f>#REF!</f>
        <v>#VALUE!:noResult:No valid cells found for operation.</v>
      </c>
      <c r="CS57" s="15" t="str">
        <f>#REF!</f>
        <v>#VALUE!:noResult:No valid cells found for operation.</v>
      </c>
      <c r="CT57" s="15" t="str">
        <f>#REF!</f>
        <v>#VALUE!:noResult:No valid cells found for operation.</v>
      </c>
      <c r="CU57" s="15" t="str">
        <f>#REF!</f>
        <v>#VALUE!:noResult:No valid cells found for operation.</v>
      </c>
      <c r="CV57" s="15">
        <f>IF(Trans!R[787],"AAAAAF+u/2M=",0)</f>
        <v>0</v>
      </c>
      <c r="CW57" s="15" t="b">
        <f>AND(Trans!A844,"AAAAAF+u/2Q=")</f>
        <v>1</v>
      </c>
      <c r="CX57" s="15" t="str">
        <f>AND(Trans!B844,"AAAAAF+u/2U=")</f>
        <v>#VALUE!:noResult:No valid cells found for operation.</v>
      </c>
      <c r="CY57" s="15" t="b">
        <f>AND(Trans!C844,"AAAAAF+u/2Y=")</f>
        <v>1</v>
      </c>
      <c r="CZ57" s="15" t="b">
        <f>AND(Trans!D844,"AAAAAF+u/2c=")</f>
        <v>1</v>
      </c>
      <c r="DA57" s="15" t="str">
        <f>AND(Trans!E844,"AAAAAF+u/2g=")</f>
        <v>#VALUE!:noResult:No valid cells found for operation.</v>
      </c>
      <c r="DB57" s="15" t="str">
        <f>AND(Trans!F844,"AAAAAF+u/2k=")</f>
        <v>#VALUE!:noResult:No valid cells found for operation.</v>
      </c>
      <c r="DC57" s="15" t="str">
        <f>AND(Trans!G844,"AAAAAF+u/2o=")</f>
        <v>#VALUE!:noResult:No valid cells found for operation.</v>
      </c>
      <c r="DD57" s="15" t="str">
        <f>#REF!</f>
        <v>#VALUE!:noResult:No valid cells found for operation.</v>
      </c>
      <c r="DE57" s="15" t="str">
        <f>AND(Trans!H844,"AAAAAF+u/2w=")</f>
        <v>#VALUE!:noResult:No valid cells found for operation.</v>
      </c>
      <c r="DF57" s="15" t="str">
        <f>#REF!</f>
        <v>#VALUE!:noResult:No valid cells found for operation.</v>
      </c>
      <c r="DG57" s="15" t="str">
        <f>#REF!</f>
        <v>#VALUE!:noResult:No valid cells found for operation.</v>
      </c>
      <c r="DH57" s="15" t="str">
        <f>#REF!</f>
        <v>#VALUE!:noResult:No valid cells found for operation.</v>
      </c>
      <c r="DI57" s="15" t="str">
        <f>#REF!</f>
        <v>#VALUE!:noResult:No valid cells found for operation.</v>
      </c>
      <c r="DJ57" s="15" t="str">
        <f>#REF!</f>
        <v>#VALUE!:noResult:No valid cells found for operation.</v>
      </c>
      <c r="DK57" s="15" t="str">
        <f>#REF!</f>
        <v>#VALUE!:noResult:No valid cells found for operation.</v>
      </c>
      <c r="DL57" s="15">
        <f>IF(Trans!R[788],"AAAAAF+u/3M=",0)</f>
        <v>0</v>
      </c>
      <c r="DM57" s="15" t="b">
        <f>AND(Trans!A845,"AAAAAF+u/3Q=")</f>
        <v>1</v>
      </c>
      <c r="DN57" s="15" t="str">
        <f>AND(Trans!B845,"AAAAAF+u/3U=")</f>
        <v>#VALUE!:noResult:No valid cells found for operation.</v>
      </c>
      <c r="DO57" s="15" t="b">
        <f>AND(Trans!C845,"AAAAAF+u/3Y=")</f>
        <v>1</v>
      </c>
      <c r="DP57" s="15" t="b">
        <f>AND(Trans!D845,"AAAAAF+u/3c=")</f>
        <v>1</v>
      </c>
      <c r="DQ57" s="15" t="str">
        <f>AND(Trans!E845,"AAAAAF+u/3g=")</f>
        <v>#VALUE!:noResult:No valid cells found for operation.</v>
      </c>
      <c r="DR57" s="15" t="str">
        <f>AND(Trans!F845,"AAAAAF+u/3k=")</f>
        <v>#VALUE!:noResult:No valid cells found for operation.</v>
      </c>
      <c r="DS57" s="15" t="str">
        <f>AND(Trans!G845,"AAAAAF+u/3o=")</f>
        <v>#VALUE!:noResult:No valid cells found for operation.</v>
      </c>
      <c r="DT57" s="15" t="str">
        <f>#REF!</f>
        <v>#VALUE!:noResult:No valid cells found for operation.</v>
      </c>
      <c r="DU57" s="15" t="str">
        <f>AND(Trans!H845,"AAAAAF+u/3w=")</f>
        <v>#VALUE!:noResult:No valid cells found for operation.</v>
      </c>
      <c r="DV57" s="15" t="str">
        <f>#REF!</f>
        <v>#VALUE!:noResult:No valid cells found for operation.</v>
      </c>
      <c r="DW57" s="15" t="str">
        <f>#REF!</f>
        <v>#VALUE!:noResult:No valid cells found for operation.</v>
      </c>
      <c r="DX57" s="15" t="str">
        <f>#REF!</f>
        <v>#VALUE!:noResult:No valid cells found for operation.</v>
      </c>
      <c r="DY57" s="15" t="str">
        <f>#REF!</f>
        <v>#VALUE!:noResult:No valid cells found for operation.</v>
      </c>
      <c r="DZ57" s="15" t="str">
        <f>#REF!</f>
        <v>#VALUE!:noResult:No valid cells found for operation.</v>
      </c>
      <c r="EA57" s="15" t="str">
        <f>#REF!</f>
        <v>#VALUE!:noResult:No valid cells found for operation.</v>
      </c>
      <c r="EB57" s="15">
        <f>IF(Trans!R[789],"AAAAAF+u/4M=",0)</f>
        <v>0</v>
      </c>
      <c r="EC57" s="15" t="b">
        <f>AND(Trans!A846,"AAAAAF+u/4Q=")</f>
        <v>1</v>
      </c>
      <c r="ED57" s="15" t="str">
        <f>AND(Trans!B846,"AAAAAF+u/4U=")</f>
        <v>#VALUE!:noResult:No valid cells found for operation.</v>
      </c>
      <c r="EE57" s="15" t="b">
        <f>AND(Trans!C846,"AAAAAF+u/4Y=")</f>
        <v>1</v>
      </c>
      <c r="EF57" s="15" t="b">
        <f>AND(Trans!D846,"AAAAAF+u/4c=")</f>
        <v>1</v>
      </c>
      <c r="EG57" s="15" t="str">
        <f>AND(Trans!E846,"AAAAAF+u/4g=")</f>
        <v>#VALUE!:noResult:No valid cells found for operation.</v>
      </c>
      <c r="EH57" s="15" t="str">
        <f>AND(Trans!F846,"AAAAAF+u/4k=")</f>
        <v>#VALUE!:noResult:No valid cells found for operation.</v>
      </c>
      <c r="EI57" s="15" t="str">
        <f>AND(Trans!G846,"AAAAAF+u/4o=")</f>
        <v>#VALUE!:noResult:No valid cells found for operation.</v>
      </c>
      <c r="EJ57" s="15" t="str">
        <f>#REF!</f>
        <v>#VALUE!:noResult:No valid cells found for operation.</v>
      </c>
      <c r="EK57" s="15" t="str">
        <f>AND(Trans!H846,"AAAAAF+u/4w=")</f>
        <v>#VALUE!:noResult:No valid cells found for operation.</v>
      </c>
      <c r="EL57" s="15" t="str">
        <f>#REF!</f>
        <v>#VALUE!:noResult:No valid cells found for operation.</v>
      </c>
      <c r="EM57" s="15" t="str">
        <f>#REF!</f>
        <v>#VALUE!:noResult:No valid cells found for operation.</v>
      </c>
      <c r="EN57" s="15" t="str">
        <f>#REF!</f>
        <v>#VALUE!:noResult:No valid cells found for operation.</v>
      </c>
      <c r="EO57" s="15" t="str">
        <f>#REF!</f>
        <v>#VALUE!:noResult:No valid cells found for operation.</v>
      </c>
      <c r="EP57" s="15" t="str">
        <f>#REF!</f>
        <v>#VALUE!:noResult:No valid cells found for operation.</v>
      </c>
      <c r="EQ57" s="15" t="str">
        <f>#REF!</f>
        <v>#VALUE!:noResult:No valid cells found for operation.</v>
      </c>
      <c r="ER57" s="15">
        <f>IF(Trans!R[790],"AAAAAF+u/5M=",0)</f>
        <v>0</v>
      </c>
      <c r="ES57" s="15" t="b">
        <f>AND(Trans!A847,"AAAAAF+u/5Q=")</f>
        <v>1</v>
      </c>
      <c r="ET57" s="15" t="str">
        <f>AND(Trans!B847,"AAAAAF+u/5U=")</f>
        <v>#VALUE!:noResult:No valid cells found for operation.</v>
      </c>
      <c r="EU57" s="15" t="b">
        <f>AND(Trans!C847,"AAAAAF+u/5Y=")</f>
        <v>1</v>
      </c>
      <c r="EV57" s="15" t="b">
        <f>AND(Trans!D847,"AAAAAF+u/5c=")</f>
        <v>1</v>
      </c>
      <c r="EW57" s="15" t="str">
        <f>AND(Trans!E847,"AAAAAF+u/5g=")</f>
        <v>#VALUE!:noResult:No valid cells found for operation.</v>
      </c>
      <c r="EX57" s="15" t="str">
        <f>AND(Trans!F847,"AAAAAF+u/5k=")</f>
        <v>#VALUE!:noResult:No valid cells found for operation.</v>
      </c>
      <c r="EY57" s="15" t="str">
        <f>AND(Trans!G847,"AAAAAF+u/5o=")</f>
        <v>#VALUE!:noResult:No valid cells found for operation.</v>
      </c>
      <c r="EZ57" s="15" t="str">
        <f>#REF!</f>
        <v>#VALUE!:noResult:No valid cells found for operation.</v>
      </c>
      <c r="FA57" s="15" t="str">
        <f>AND(Trans!H847,"AAAAAF+u/5w=")</f>
        <v>#VALUE!:noResult:No valid cells found for operation.</v>
      </c>
      <c r="FB57" s="15" t="str">
        <f>#REF!</f>
        <v>#VALUE!:noResult:No valid cells found for operation.</v>
      </c>
      <c r="FC57" s="15" t="str">
        <f>#REF!</f>
        <v>#VALUE!:noResult:No valid cells found for operation.</v>
      </c>
      <c r="FD57" s="15" t="str">
        <f>#REF!</f>
        <v>#VALUE!:noResult:No valid cells found for operation.</v>
      </c>
      <c r="FE57" s="15" t="str">
        <f>#REF!</f>
        <v>#VALUE!:noResult:No valid cells found for operation.</v>
      </c>
      <c r="FF57" s="15" t="str">
        <f>#REF!</f>
        <v>#VALUE!:noResult:No valid cells found for operation.</v>
      </c>
      <c r="FG57" s="15" t="str">
        <f>#REF!</f>
        <v>#VALUE!:noResult:No valid cells found for operation.</v>
      </c>
      <c r="FH57" s="15">
        <f>IF(Trans!R[791],"AAAAAF+u/6M=",0)</f>
        <v>0</v>
      </c>
      <c r="FI57" s="15" t="b">
        <f>AND(Trans!A848,"AAAAAF+u/6Q=")</f>
        <v>1</v>
      </c>
      <c r="FJ57" s="15" t="str">
        <f>AND(Trans!B848,"AAAAAF+u/6U=")</f>
        <v>#VALUE!:noResult:No valid cells found for operation.</v>
      </c>
      <c r="FK57" s="15" t="b">
        <f>AND(Trans!C848,"AAAAAF+u/6Y=")</f>
        <v>1</v>
      </c>
      <c r="FL57" s="15" t="b">
        <f>AND(Trans!D848,"AAAAAF+u/6c=")</f>
        <v>1</v>
      </c>
      <c r="FM57" s="15" t="str">
        <f>AND(Trans!E848,"AAAAAF+u/6g=")</f>
        <v>#VALUE!:noResult:No valid cells found for operation.</v>
      </c>
      <c r="FN57" s="15" t="str">
        <f>AND(Trans!F848,"AAAAAF+u/6k=")</f>
        <v>#VALUE!:noResult:No valid cells found for operation.</v>
      </c>
      <c r="FO57" s="15" t="str">
        <f>AND(Trans!G848,"AAAAAF+u/6o=")</f>
        <v>#VALUE!:noResult:No valid cells found for operation.</v>
      </c>
      <c r="FP57" s="15" t="str">
        <f>#REF!</f>
        <v>#VALUE!:noResult:No valid cells found for operation.</v>
      </c>
      <c r="FQ57" s="15" t="str">
        <f>AND(Trans!H848,"AAAAAF+u/6w=")</f>
        <v>#VALUE!:noResult:No valid cells found for operation.</v>
      </c>
      <c r="FR57" s="15" t="str">
        <f>#REF!</f>
        <v>#VALUE!:noResult:No valid cells found for operation.</v>
      </c>
      <c r="FS57" s="15" t="str">
        <f>#REF!</f>
        <v>#VALUE!:noResult:No valid cells found for operation.</v>
      </c>
      <c r="FT57" s="15" t="str">
        <f>#REF!</f>
        <v>#VALUE!:noResult:No valid cells found for operation.</v>
      </c>
      <c r="FU57" s="15" t="str">
        <f>#REF!</f>
        <v>#VALUE!:noResult:No valid cells found for operation.</v>
      </c>
      <c r="FV57" s="15" t="str">
        <f>#REF!</f>
        <v>#VALUE!:noResult:No valid cells found for operation.</v>
      </c>
      <c r="FW57" s="15" t="str">
        <f>#REF!</f>
        <v>#VALUE!:noResult:No valid cells found for operation.</v>
      </c>
      <c r="FX57" s="15">
        <f>IF(Trans!R[792],"AAAAAF+u/7M=",0)</f>
        <v>0</v>
      </c>
      <c r="FY57" s="15" t="b">
        <f>AND(Trans!A849,"AAAAAF+u/7Q=")</f>
        <v>1</v>
      </c>
      <c r="FZ57" s="15" t="str">
        <f>AND(Trans!B849,"AAAAAF+u/7U=")</f>
        <v>#VALUE!:noResult:No valid cells found for operation.</v>
      </c>
      <c r="GA57" s="15" t="b">
        <f>AND(Trans!C849,"AAAAAF+u/7Y=")</f>
        <v>1</v>
      </c>
      <c r="GB57" s="15" t="b">
        <f>AND(Trans!D849,"AAAAAF+u/7c=")</f>
        <v>1</v>
      </c>
      <c r="GC57" s="15" t="str">
        <f>AND(Trans!E849,"AAAAAF+u/7g=")</f>
        <v>#VALUE!:noResult:No valid cells found for operation.</v>
      </c>
      <c r="GD57" s="15" t="str">
        <f>AND(Trans!F849,"AAAAAF+u/7k=")</f>
        <v>#VALUE!:noResult:No valid cells found for operation.</v>
      </c>
      <c r="GE57" s="15" t="str">
        <f>AND(Trans!G849,"AAAAAF+u/7o=")</f>
        <v>#VALUE!:noResult:No valid cells found for operation.</v>
      </c>
      <c r="GF57" s="15" t="str">
        <f>#REF!</f>
        <v>#VALUE!:noResult:No valid cells found for operation.</v>
      </c>
      <c r="GG57" s="15" t="str">
        <f>AND(Trans!H849,"AAAAAF+u/7w=")</f>
        <v>#VALUE!:noResult:No valid cells found for operation.</v>
      </c>
      <c r="GH57" s="15" t="str">
        <f>#REF!</f>
        <v>#VALUE!:noResult:No valid cells found for operation.</v>
      </c>
      <c r="GI57" s="15" t="str">
        <f>#REF!</f>
        <v>#VALUE!:noResult:No valid cells found for operation.</v>
      </c>
      <c r="GJ57" s="15" t="str">
        <f>#REF!</f>
        <v>#VALUE!:noResult:No valid cells found for operation.</v>
      </c>
      <c r="GK57" s="15" t="str">
        <f>#REF!</f>
        <v>#VALUE!:noResult:No valid cells found for operation.</v>
      </c>
      <c r="GL57" s="15" t="str">
        <f>#REF!</f>
        <v>#VALUE!:noResult:No valid cells found for operation.</v>
      </c>
      <c r="GM57" s="15" t="str">
        <f>#REF!</f>
        <v>#VALUE!:noResult:No valid cells found for operation.</v>
      </c>
      <c r="GN57" s="15">
        <f>IF(Trans!R[793],"AAAAAF+u/8M=",0)</f>
        <v>0</v>
      </c>
      <c r="GO57" s="15" t="b">
        <f>AND(Trans!A850,"AAAAAF+u/8Q=")</f>
        <v>1</v>
      </c>
      <c r="GP57" s="15" t="str">
        <f>AND(Trans!B850,"AAAAAF+u/8U=")</f>
        <v>#VALUE!:noResult:No valid cells found for operation.</v>
      </c>
      <c r="GQ57" s="15" t="b">
        <f>AND(Trans!C850,"AAAAAF+u/8Y=")</f>
        <v>1</v>
      </c>
      <c r="GR57" s="15" t="b">
        <f>AND(Trans!D850,"AAAAAF+u/8c=")</f>
        <v>1</v>
      </c>
      <c r="GS57" s="15" t="str">
        <f>AND(Trans!E850,"AAAAAF+u/8g=")</f>
        <v>#VALUE!:noResult:No valid cells found for operation.</v>
      </c>
      <c r="GT57" s="15" t="str">
        <f>AND(Trans!F850,"AAAAAF+u/8k=")</f>
        <v>#VALUE!:noResult:No valid cells found for operation.</v>
      </c>
      <c r="GU57" s="15" t="str">
        <f>AND(Trans!G850,"AAAAAF+u/8o=")</f>
        <v>#VALUE!:noResult:No valid cells found for operation.</v>
      </c>
      <c r="GV57" s="15" t="str">
        <f>#REF!</f>
        <v>#VALUE!:noResult:No valid cells found for operation.</v>
      </c>
      <c r="GW57" s="15" t="str">
        <f>AND(Trans!H850,"AAAAAF+u/8w=")</f>
        <v>#VALUE!:noResult:No valid cells found for operation.</v>
      </c>
      <c r="GX57" s="15" t="str">
        <f>#REF!</f>
        <v>#VALUE!:noResult:No valid cells found for operation.</v>
      </c>
      <c r="GY57" s="15" t="str">
        <f>#REF!</f>
        <v>#VALUE!:noResult:No valid cells found for operation.</v>
      </c>
      <c r="GZ57" s="15" t="str">
        <f>#REF!</f>
        <v>#VALUE!:noResult:No valid cells found for operation.</v>
      </c>
      <c r="HA57" s="15" t="str">
        <f>#REF!</f>
        <v>#VALUE!:noResult:No valid cells found for operation.</v>
      </c>
      <c r="HB57" s="15" t="str">
        <f>#REF!</f>
        <v>#VALUE!:noResult:No valid cells found for operation.</v>
      </c>
      <c r="HC57" s="15" t="str">
        <f>#REF!</f>
        <v>#VALUE!:noResult:No valid cells found for operation.</v>
      </c>
      <c r="HD57" s="15">
        <f>IF(Trans!R[794],"AAAAAF+u/9M=",0)</f>
        <v>0</v>
      </c>
      <c r="HE57" s="15" t="b">
        <f>AND(Trans!A851,"AAAAAF+u/9Q=")</f>
        <v>1</v>
      </c>
      <c r="HF57" s="15" t="str">
        <f>AND(Trans!B851,"AAAAAF+u/9U=")</f>
        <v>#VALUE!:noResult:No valid cells found for operation.</v>
      </c>
      <c r="HG57" s="15" t="b">
        <f>AND(Trans!C851,"AAAAAF+u/9Y=")</f>
        <v>1</v>
      </c>
      <c r="HH57" s="15" t="b">
        <f>AND(Trans!D851,"AAAAAF+u/9c=")</f>
        <v>1</v>
      </c>
      <c r="HI57" s="15" t="str">
        <f>AND(Trans!E851,"AAAAAF+u/9g=")</f>
        <v>#VALUE!:noResult:No valid cells found for operation.</v>
      </c>
      <c r="HJ57" s="15" t="str">
        <f>AND(Trans!F851,"AAAAAF+u/9k=")</f>
        <v>#VALUE!:noResult:No valid cells found for operation.</v>
      </c>
      <c r="HK57" s="15" t="str">
        <f>AND(Trans!G851,"AAAAAF+u/9o=")</f>
        <v>#VALUE!:noResult:No valid cells found for operation.</v>
      </c>
      <c r="HL57" s="15" t="str">
        <f>#REF!</f>
        <v>#VALUE!:noResult:No valid cells found for operation.</v>
      </c>
      <c r="HM57" s="15" t="str">
        <f>AND(Trans!H851,"AAAAAF+u/9w=")</f>
        <v>#VALUE!:noResult:No valid cells found for operation.</v>
      </c>
      <c r="HN57" s="15" t="str">
        <f>#REF!</f>
        <v>#VALUE!:noResult:No valid cells found for operation.</v>
      </c>
      <c r="HO57" s="15" t="str">
        <f>#REF!</f>
        <v>#VALUE!:noResult:No valid cells found for operation.</v>
      </c>
      <c r="HP57" s="15" t="str">
        <f>#REF!</f>
        <v>#VALUE!:noResult:No valid cells found for operation.</v>
      </c>
      <c r="HQ57" s="15" t="str">
        <f>#REF!</f>
        <v>#VALUE!:noResult:No valid cells found for operation.</v>
      </c>
      <c r="HR57" s="15" t="str">
        <f>#REF!</f>
        <v>#VALUE!:noResult:No valid cells found for operation.</v>
      </c>
      <c r="HS57" s="15" t="str">
        <f>#REF!</f>
        <v>#VALUE!:noResult:No valid cells found for operation.</v>
      </c>
      <c r="HT57" s="15">
        <f>IF(Trans!R[795],"AAAAAF+u/+M=",0)</f>
        <v>0</v>
      </c>
      <c r="HU57" s="15" t="b">
        <f>AND(Trans!A852,"AAAAAF+u/+Q=")</f>
        <v>1</v>
      </c>
      <c r="HV57" s="15" t="str">
        <f>AND(Trans!B852,"AAAAAF+u/+U=")</f>
        <v>#VALUE!:noResult:No valid cells found for operation.</v>
      </c>
      <c r="HW57" s="15" t="b">
        <f>AND(Trans!C852,"AAAAAF+u/+Y=")</f>
        <v>1</v>
      </c>
      <c r="HX57" s="15" t="b">
        <f>AND(Trans!D852,"AAAAAF+u/+c=")</f>
        <v>1</v>
      </c>
      <c r="HY57" s="15" t="str">
        <f>AND(Trans!E852,"AAAAAF+u/+g=")</f>
        <v>#VALUE!:noResult:No valid cells found for operation.</v>
      </c>
      <c r="HZ57" s="15" t="str">
        <f>AND(Trans!F852,"AAAAAF+u/+k=")</f>
        <v>#VALUE!:noResult:No valid cells found for operation.</v>
      </c>
      <c r="IA57" s="15" t="str">
        <f>AND(Trans!G852,"AAAAAF+u/+o=")</f>
        <v>#VALUE!:noResult:No valid cells found for operation.</v>
      </c>
      <c r="IB57" s="15" t="str">
        <f>#REF!</f>
        <v>#VALUE!:noResult:No valid cells found for operation.</v>
      </c>
      <c r="IC57" s="15" t="str">
        <f>AND(Trans!H852,"AAAAAF+u/+w=")</f>
        <v>#VALUE!:noResult:No valid cells found for operation.</v>
      </c>
      <c r="ID57" s="15" t="str">
        <f>#REF!</f>
        <v>#VALUE!:noResult:No valid cells found for operation.</v>
      </c>
      <c r="IE57" s="15" t="str">
        <f>#REF!</f>
        <v>#VALUE!:noResult:No valid cells found for operation.</v>
      </c>
      <c r="IF57" s="15" t="str">
        <f>#REF!</f>
        <v>#VALUE!:noResult:No valid cells found for operation.</v>
      </c>
      <c r="IG57" s="15" t="str">
        <f>#REF!</f>
        <v>#VALUE!:noResult:No valid cells found for operation.</v>
      </c>
      <c r="IH57" s="15" t="str">
        <f>#REF!</f>
        <v>#VALUE!:noResult:No valid cells found for operation.</v>
      </c>
      <c r="II57" s="15" t="str">
        <f>#REF!</f>
        <v>#VALUE!:noResult:No valid cells found for operation.</v>
      </c>
      <c r="IJ57" s="15">
        <f>IF(Trans!R[796],"AAAAAF+u//M=",0)</f>
        <v>0</v>
      </c>
      <c r="IK57" s="15" t="b">
        <f>AND(Trans!A853,"AAAAAF+u//Q=")</f>
        <v>1</v>
      </c>
      <c r="IL57" s="15" t="str">
        <f>AND(Trans!B853,"AAAAAF+u//U=")</f>
        <v>#VALUE!:noResult:No valid cells found for operation.</v>
      </c>
      <c r="IM57" s="15" t="b">
        <f>AND(Trans!C853,"AAAAAF+u//Y=")</f>
        <v>1</v>
      </c>
      <c r="IN57" s="15" t="b">
        <f>AND(Trans!D853,"AAAAAF+u//c=")</f>
        <v>1</v>
      </c>
      <c r="IO57" s="15" t="str">
        <f>AND(Trans!E853,"AAAAAF+u//g=")</f>
        <v>#VALUE!:noResult:No valid cells found for operation.</v>
      </c>
      <c r="IP57" s="15" t="str">
        <f>AND(Trans!F853,"AAAAAF+u//k=")</f>
        <v>#VALUE!:noResult:No valid cells found for operation.</v>
      </c>
      <c r="IQ57" s="15" t="str">
        <f>AND(Trans!G853,"AAAAAF+u//o=")</f>
        <v>#VALUE!:noResult:No valid cells found for operation.</v>
      </c>
      <c r="IR57" s="15" t="str">
        <f>#REF!</f>
        <v>#VALUE!:noResult:No valid cells found for operation.</v>
      </c>
      <c r="IS57" s="15" t="str">
        <f>AND(Trans!H853,"AAAAAF+u//w=")</f>
        <v>#VALUE!:noResult:No valid cells found for operation.</v>
      </c>
      <c r="IT57" s="15" t="str">
        <f>#REF!</f>
        <v>#VALUE!:noResult:No valid cells found for operation.</v>
      </c>
      <c r="IU57" s="15" t="str">
        <f>#REF!</f>
        <v>#VALUE!:noResult:No valid cells found for operation.</v>
      </c>
      <c r="IV57" s="15" t="str">
        <f>#REF!</f>
        <v>#VALUE!:noResult:No valid cells found for operation.</v>
      </c>
    </row>
    <row r="58">
      <c r="A58" s="15" t="str">
        <f>#REF!</f>
        <v>#VALUE!:noResult:No valid cells found for operation.</v>
      </c>
      <c r="B58" s="15" t="str">
        <f>#REF!</f>
        <v>#VALUE!:noResult:No valid cells found for operation.</v>
      </c>
      <c r="C58" s="15" t="str">
        <f>#REF!</f>
        <v>#VALUE!:noResult:No valid cells found for operation.</v>
      </c>
      <c r="D58" s="15" t="str">
        <f>IF(Trans!R[796],"AAAAABN72wM=",0)</f>
        <v>AAAAABN72wM=</v>
      </c>
      <c r="E58" s="15" t="b">
        <f>AND(Trans!A854,"AAAAABN72wQ=")</f>
        <v>1</v>
      </c>
      <c r="F58" s="15" t="str">
        <f>AND(Trans!B854,"AAAAABN72wU=")</f>
        <v>#VALUE!:noResult:No valid cells found for operation.</v>
      </c>
      <c r="G58" s="15" t="b">
        <f>AND(Trans!C854,"AAAAABN72wY=")</f>
        <v>1</v>
      </c>
      <c r="H58" s="15" t="b">
        <f>AND(Trans!D854,"AAAAABN72wc=")</f>
        <v>1</v>
      </c>
      <c r="I58" s="15" t="str">
        <f>AND(Trans!E854,"AAAAABN72wg=")</f>
        <v>#VALUE!:noResult:No valid cells found for operation.</v>
      </c>
      <c r="J58" s="15" t="str">
        <f>AND(Trans!F854,"AAAAABN72wk=")</f>
        <v>#VALUE!:noResult:No valid cells found for operation.</v>
      </c>
      <c r="K58" s="15" t="str">
        <f>AND(Trans!G854,"AAAAABN72wo=")</f>
        <v>#VALUE!:noResult:No valid cells found for operation.</v>
      </c>
      <c r="L58" s="15" t="str">
        <f>#REF!</f>
        <v>#VALUE!:noResult:No valid cells found for operation.</v>
      </c>
      <c r="M58" s="15" t="str">
        <f>AND(Trans!H854,"AAAAABN72ww=")</f>
        <v>#VALUE!:noResult:No valid cells found for operation.</v>
      </c>
      <c r="N58" s="15" t="str">
        <f>#REF!</f>
        <v>#VALUE!:noResult:No valid cells found for operation.</v>
      </c>
      <c r="O58" s="15" t="str">
        <f>#REF!</f>
        <v>#VALUE!:noResult:No valid cells found for operation.</v>
      </c>
      <c r="P58" s="15" t="str">
        <f>#REF!</f>
        <v>#VALUE!:noResult:No valid cells found for operation.</v>
      </c>
      <c r="Q58" s="15" t="str">
        <f>#REF!</f>
        <v>#VALUE!:noResult:No valid cells found for operation.</v>
      </c>
      <c r="R58" s="15" t="str">
        <f>#REF!</f>
        <v>#VALUE!:noResult:No valid cells found for operation.</v>
      </c>
      <c r="S58" s="15" t="str">
        <f>#REF!</f>
        <v>#VALUE!:noResult:No valid cells found for operation.</v>
      </c>
      <c r="T58" s="15">
        <f>IF(Trans!R[797],"AAAAABN72xM=",0)</f>
        <v>0</v>
      </c>
      <c r="U58" s="15" t="b">
        <f>AND(Trans!A855,"AAAAABN72xQ=")</f>
        <v>1</v>
      </c>
      <c r="V58" s="15" t="str">
        <f>AND(Trans!B855,"AAAAABN72xU=")</f>
        <v>#VALUE!:noResult:No valid cells found for operation.</v>
      </c>
      <c r="W58" s="15" t="b">
        <f>AND(Trans!C855,"AAAAABN72xY=")</f>
        <v>1</v>
      </c>
      <c r="X58" s="15" t="b">
        <f>AND(Trans!D855,"AAAAABN72xc=")</f>
        <v>1</v>
      </c>
      <c r="Y58" s="15" t="str">
        <f>AND(Trans!E855,"AAAAABN72xg=")</f>
        <v>#VALUE!:noResult:No valid cells found for operation.</v>
      </c>
      <c r="Z58" s="15" t="str">
        <f>AND(Trans!F855,"AAAAABN72xk=")</f>
        <v>#VALUE!:noResult:No valid cells found for operation.</v>
      </c>
      <c r="AA58" s="15" t="str">
        <f>AND(Trans!G855,"AAAAABN72xo=")</f>
        <v>#VALUE!:noResult:No valid cells found for operation.</v>
      </c>
      <c r="AB58" s="15" t="str">
        <f>#REF!</f>
        <v>#VALUE!:noResult:No valid cells found for operation.</v>
      </c>
      <c r="AC58" s="15" t="str">
        <f>AND(Trans!H855,"AAAAABN72xw=")</f>
        <v>#VALUE!:noResult:No valid cells found for operation.</v>
      </c>
      <c r="AD58" s="15" t="str">
        <f>#REF!</f>
        <v>#VALUE!:noResult:No valid cells found for operation.</v>
      </c>
      <c r="AE58" s="15" t="str">
        <f>#REF!</f>
        <v>#VALUE!:noResult:No valid cells found for operation.</v>
      </c>
      <c r="AF58" s="15" t="str">
        <f>#REF!</f>
        <v>#VALUE!:noResult:No valid cells found for operation.</v>
      </c>
      <c r="AG58" s="15" t="str">
        <f>#REF!</f>
        <v>#VALUE!:noResult:No valid cells found for operation.</v>
      </c>
      <c r="AH58" s="15" t="str">
        <f>#REF!</f>
        <v>#VALUE!:noResult:No valid cells found for operation.</v>
      </c>
      <c r="AI58" s="15" t="str">
        <f>#REF!</f>
        <v>#VALUE!:noResult:No valid cells found for operation.</v>
      </c>
      <c r="AJ58" s="15">
        <f>IF(Trans!R[798],"AAAAABN72yM=",0)</f>
        <v>0</v>
      </c>
      <c r="AK58" s="15" t="b">
        <f>AND(Trans!A856,"AAAAABN72yQ=")</f>
        <v>1</v>
      </c>
      <c r="AL58" s="15" t="str">
        <f>AND(Trans!B856,"AAAAABN72yU=")</f>
        <v>#VALUE!:noResult:No valid cells found for operation.</v>
      </c>
      <c r="AM58" s="15" t="b">
        <f>AND(Trans!C856,"AAAAABN72yY=")</f>
        <v>1</v>
      </c>
      <c r="AN58" s="15" t="b">
        <f>AND(Trans!D856,"AAAAABN72yc=")</f>
        <v>1</v>
      </c>
      <c r="AO58" s="15" t="str">
        <f>AND(Trans!E856,"AAAAABN72yg=")</f>
        <v>#VALUE!:noResult:No valid cells found for operation.</v>
      </c>
      <c r="AP58" s="15" t="str">
        <f>AND(Trans!F856,"AAAAABN72yk=")</f>
        <v>#VALUE!:noResult:No valid cells found for operation.</v>
      </c>
      <c r="AQ58" s="15" t="str">
        <f>AND(Trans!G856,"AAAAABN72yo=")</f>
        <v>#VALUE!:noResult:No valid cells found for operation.</v>
      </c>
      <c r="AR58" s="15" t="str">
        <f>#REF!</f>
        <v>#VALUE!:noResult:No valid cells found for operation.</v>
      </c>
      <c r="AS58" s="15" t="str">
        <f>AND(Trans!H856,"AAAAABN72yw=")</f>
        <v>#VALUE!:noResult:No valid cells found for operation.</v>
      </c>
      <c r="AT58" s="15" t="str">
        <f>#REF!</f>
        <v>#VALUE!:noResult:No valid cells found for operation.</v>
      </c>
      <c r="AU58" s="15" t="str">
        <f>#REF!</f>
        <v>#VALUE!:noResult:No valid cells found for operation.</v>
      </c>
      <c r="AV58" s="15" t="str">
        <f>#REF!</f>
        <v>#VALUE!:noResult:No valid cells found for operation.</v>
      </c>
      <c r="AW58" s="15" t="str">
        <f>#REF!</f>
        <v>#VALUE!:noResult:No valid cells found for operation.</v>
      </c>
      <c r="AX58" s="15" t="str">
        <f>#REF!</f>
        <v>#VALUE!:noResult:No valid cells found for operation.</v>
      </c>
      <c r="AY58" s="15" t="str">
        <f>#REF!</f>
        <v>#VALUE!:noResult:No valid cells found for operation.</v>
      </c>
      <c r="AZ58" s="15">
        <f>IF(Trans!R[799],"AAAAABN72zM=",0)</f>
        <v>0</v>
      </c>
      <c r="BA58" s="15" t="b">
        <f>AND(Trans!A857,"AAAAABN72zQ=")</f>
        <v>1</v>
      </c>
      <c r="BB58" s="15" t="str">
        <f>AND(Trans!B857,"AAAAABN72zU=")</f>
        <v>#VALUE!:noResult:No valid cells found for operation.</v>
      </c>
      <c r="BC58" s="15" t="b">
        <f>AND(Trans!C857,"AAAAABN72zY=")</f>
        <v>1</v>
      </c>
      <c r="BD58" s="15" t="b">
        <f>AND(Trans!D857,"AAAAABN72zc=")</f>
        <v>1</v>
      </c>
      <c r="BE58" s="15" t="str">
        <f>AND(Trans!E857,"AAAAABN72zg=")</f>
        <v>#VALUE!:noResult:No valid cells found for operation.</v>
      </c>
      <c r="BF58" s="15" t="str">
        <f>AND(Trans!F857,"AAAAABN72zk=")</f>
        <v>#VALUE!:noResult:No valid cells found for operation.</v>
      </c>
      <c r="BG58" s="15" t="str">
        <f>AND(Trans!G857,"AAAAABN72zo=")</f>
        <v>#VALUE!:noResult:No valid cells found for operation.</v>
      </c>
      <c r="BH58" s="15" t="str">
        <f>#REF!</f>
        <v>#VALUE!:noResult:No valid cells found for operation.</v>
      </c>
      <c r="BI58" s="15" t="str">
        <f>AND(Trans!H857,"AAAAABN72zw=")</f>
        <v>#VALUE!:noResult:No valid cells found for operation.</v>
      </c>
      <c r="BJ58" s="15" t="str">
        <f>#REF!</f>
        <v>#VALUE!:noResult:No valid cells found for operation.</v>
      </c>
      <c r="BK58" s="15" t="str">
        <f>#REF!</f>
        <v>#VALUE!:noResult:No valid cells found for operation.</v>
      </c>
      <c r="BL58" s="15" t="str">
        <f>#REF!</f>
        <v>#VALUE!:noResult:No valid cells found for operation.</v>
      </c>
      <c r="BM58" s="15" t="str">
        <f>#REF!</f>
        <v>#VALUE!:noResult:No valid cells found for operation.</v>
      </c>
      <c r="BN58" s="15" t="str">
        <f>#REF!</f>
        <v>#VALUE!:noResult:No valid cells found for operation.</v>
      </c>
      <c r="BO58" s="15" t="str">
        <f>#REF!</f>
        <v>#VALUE!:noResult:No valid cells found for operation.</v>
      </c>
      <c r="BP58" s="15">
        <f>IF(Trans!R[800],"AAAAABN720M=",0)</f>
        <v>0</v>
      </c>
      <c r="BQ58" s="15" t="b">
        <f>AND(Trans!A858,"AAAAABN720Q=")</f>
        <v>1</v>
      </c>
      <c r="BR58" s="15" t="str">
        <f>AND(Trans!B858,"AAAAABN720U=")</f>
        <v>#VALUE!:noResult:No valid cells found for operation.</v>
      </c>
      <c r="BS58" s="15" t="b">
        <f>AND(Trans!C858,"AAAAABN720Y=")</f>
        <v>1</v>
      </c>
      <c r="BT58" s="15" t="b">
        <f>AND(Trans!D858,"AAAAABN720c=")</f>
        <v>1</v>
      </c>
      <c r="BU58" s="15" t="str">
        <f>AND(Trans!E858,"AAAAABN720g=")</f>
        <v>#VALUE!:noResult:No valid cells found for operation.</v>
      </c>
      <c r="BV58" s="15" t="str">
        <f>AND(Trans!F858,"AAAAABN720k=")</f>
        <v>#VALUE!:noResult:No valid cells found for operation.</v>
      </c>
      <c r="BW58" s="15" t="str">
        <f>AND(Trans!G858,"AAAAABN720o=")</f>
        <v>#VALUE!:noResult:No valid cells found for operation.</v>
      </c>
      <c r="BX58" s="15" t="str">
        <f>#REF!</f>
        <v>#VALUE!:noResult:No valid cells found for operation.</v>
      </c>
      <c r="BY58" s="15" t="str">
        <f>AND(Trans!H858,"AAAAABN720w=")</f>
        <v>#VALUE!:noResult:No valid cells found for operation.</v>
      </c>
      <c r="BZ58" s="15" t="str">
        <f>#REF!</f>
        <v>#VALUE!:noResult:No valid cells found for operation.</v>
      </c>
      <c r="CA58" s="15" t="str">
        <f>#REF!</f>
        <v>#VALUE!:noResult:No valid cells found for operation.</v>
      </c>
      <c r="CB58" s="15" t="str">
        <f>#REF!</f>
        <v>#VALUE!:noResult:No valid cells found for operation.</v>
      </c>
      <c r="CC58" s="15" t="str">
        <f>#REF!</f>
        <v>#VALUE!:noResult:No valid cells found for operation.</v>
      </c>
      <c r="CD58" s="15" t="str">
        <f>#REF!</f>
        <v>#VALUE!:noResult:No valid cells found for operation.</v>
      </c>
      <c r="CE58" s="15" t="str">
        <f>#REF!</f>
        <v>#VALUE!:noResult:No valid cells found for operation.</v>
      </c>
      <c r="CF58" s="15">
        <f>IF(Trans!R[801],"AAAAABN721M=",0)</f>
        <v>0</v>
      </c>
      <c r="CG58" s="15" t="b">
        <f>AND(Trans!A859,"AAAAABN721Q=")</f>
        <v>1</v>
      </c>
      <c r="CH58" s="15" t="str">
        <f>AND(Trans!B859,"AAAAABN721U=")</f>
        <v>#VALUE!:noResult:No valid cells found for operation.</v>
      </c>
      <c r="CI58" s="15" t="b">
        <f>AND(Trans!C859,"AAAAABN721Y=")</f>
        <v>1</v>
      </c>
      <c r="CJ58" s="15" t="b">
        <f>AND(Trans!D859,"AAAAABN721c=")</f>
        <v>1</v>
      </c>
      <c r="CK58" s="15" t="str">
        <f>AND(Trans!E859,"AAAAABN721g=")</f>
        <v>#VALUE!:noResult:No valid cells found for operation.</v>
      </c>
      <c r="CL58" s="15" t="str">
        <f>AND(Trans!F859,"AAAAABN721k=")</f>
        <v>#VALUE!:noResult:No valid cells found for operation.</v>
      </c>
      <c r="CM58" s="15" t="str">
        <f>AND(Trans!G859,"AAAAABN721o=")</f>
        <v>#VALUE!:noResult:No valid cells found for operation.</v>
      </c>
      <c r="CN58" s="15" t="str">
        <f>#REF!</f>
        <v>#VALUE!:noResult:No valid cells found for operation.</v>
      </c>
      <c r="CO58" s="15" t="str">
        <f>AND(Trans!H859,"AAAAABN721w=")</f>
        <v>#VALUE!:noResult:No valid cells found for operation.</v>
      </c>
      <c r="CP58" s="15" t="str">
        <f>#REF!</f>
        <v>#VALUE!:noResult:No valid cells found for operation.</v>
      </c>
      <c r="CQ58" s="15" t="str">
        <f>#REF!</f>
        <v>#VALUE!:noResult:No valid cells found for operation.</v>
      </c>
      <c r="CR58" s="15" t="str">
        <f>#REF!</f>
        <v>#VALUE!:noResult:No valid cells found for operation.</v>
      </c>
      <c r="CS58" s="15" t="str">
        <f>#REF!</f>
        <v>#VALUE!:noResult:No valid cells found for operation.</v>
      </c>
      <c r="CT58" s="15" t="str">
        <f>#REF!</f>
        <v>#VALUE!:noResult:No valid cells found for operation.</v>
      </c>
      <c r="CU58" s="15" t="str">
        <f>#REF!</f>
        <v>#VALUE!:noResult:No valid cells found for operation.</v>
      </c>
      <c r="CV58" s="15">
        <f>IF(Trans!R[802],"AAAAABN722M=",0)</f>
        <v>0</v>
      </c>
      <c r="CW58" s="15" t="b">
        <f>AND(Trans!A860,"AAAAABN722Q=")</f>
        <v>1</v>
      </c>
      <c r="CX58" s="15" t="str">
        <f>AND(Trans!B860,"AAAAABN722U=")</f>
        <v>#VALUE!:noResult:No valid cells found for operation.</v>
      </c>
      <c r="CY58" s="15" t="b">
        <f>AND(Trans!C860,"AAAAABN722Y=")</f>
        <v>1</v>
      </c>
      <c r="CZ58" s="15" t="b">
        <f>AND(Trans!D860,"AAAAABN722c=")</f>
        <v>1</v>
      </c>
      <c r="DA58" s="15" t="str">
        <f>AND(Trans!E860,"AAAAABN722g=")</f>
        <v>#VALUE!:noResult:No valid cells found for operation.</v>
      </c>
      <c r="DB58" s="15" t="str">
        <f>AND(Trans!F860,"AAAAABN722k=")</f>
        <v>#VALUE!:noResult:No valid cells found for operation.</v>
      </c>
      <c r="DC58" s="15" t="str">
        <f>AND(Trans!G860,"AAAAABN722o=")</f>
        <v>#VALUE!:noResult:No valid cells found for operation.</v>
      </c>
      <c r="DD58" s="15" t="str">
        <f>#REF!</f>
        <v>#VALUE!:noResult:No valid cells found for operation.</v>
      </c>
      <c r="DE58" s="15" t="str">
        <f>AND(Trans!H860,"AAAAABN722w=")</f>
        <v>#VALUE!:noResult:No valid cells found for operation.</v>
      </c>
      <c r="DF58" s="15" t="str">
        <f>#REF!</f>
        <v>#VALUE!:noResult:No valid cells found for operation.</v>
      </c>
      <c r="DG58" s="15" t="str">
        <f>#REF!</f>
        <v>#VALUE!:noResult:No valid cells found for operation.</v>
      </c>
      <c r="DH58" s="15" t="str">
        <f>#REF!</f>
        <v>#VALUE!:noResult:No valid cells found for operation.</v>
      </c>
      <c r="DI58" s="15" t="str">
        <f>#REF!</f>
        <v>#VALUE!:noResult:No valid cells found for operation.</v>
      </c>
      <c r="DJ58" s="15" t="str">
        <f>#REF!</f>
        <v>#VALUE!:noResult:No valid cells found for operation.</v>
      </c>
      <c r="DK58" s="15" t="str">
        <f>#REF!</f>
        <v>#VALUE!:noResult:No valid cells found for operation.</v>
      </c>
      <c r="DL58" s="15">
        <f>IF(Trans!R[803],"AAAAABN723M=",0)</f>
        <v>0</v>
      </c>
      <c r="DM58" s="15" t="b">
        <f>AND(Trans!A861,"AAAAABN723Q=")</f>
        <v>1</v>
      </c>
      <c r="DN58" s="15" t="str">
        <f>AND(Trans!B861,"AAAAABN723U=")</f>
        <v>#VALUE!:noResult:No valid cells found for operation.</v>
      </c>
      <c r="DO58" s="15" t="b">
        <f>AND(Trans!C861,"AAAAABN723Y=")</f>
        <v>1</v>
      </c>
      <c r="DP58" s="15" t="b">
        <f>AND(Trans!D861,"AAAAABN723c=")</f>
        <v>1</v>
      </c>
      <c r="DQ58" s="15" t="str">
        <f>AND(Trans!E861,"AAAAABN723g=")</f>
        <v>#VALUE!:noResult:No valid cells found for operation.</v>
      </c>
      <c r="DR58" s="15" t="str">
        <f>AND(Trans!F861,"AAAAABN723k=")</f>
        <v>#VALUE!:noResult:No valid cells found for operation.</v>
      </c>
      <c r="DS58" s="15" t="str">
        <f>AND(Trans!G861,"AAAAABN723o=")</f>
        <v>#VALUE!:noResult:No valid cells found for operation.</v>
      </c>
      <c r="DT58" s="15" t="str">
        <f>#REF!</f>
        <v>#VALUE!:noResult:No valid cells found for operation.</v>
      </c>
      <c r="DU58" s="15" t="str">
        <f>AND(Trans!H861,"AAAAABN723w=")</f>
        <v>#VALUE!:noResult:No valid cells found for operation.</v>
      </c>
      <c r="DV58" s="15" t="str">
        <f>#REF!</f>
        <v>#VALUE!:noResult:No valid cells found for operation.</v>
      </c>
      <c r="DW58" s="15" t="str">
        <f>#REF!</f>
        <v>#VALUE!:noResult:No valid cells found for operation.</v>
      </c>
      <c r="DX58" s="15" t="str">
        <f>#REF!</f>
        <v>#VALUE!:noResult:No valid cells found for operation.</v>
      </c>
      <c r="DY58" s="15" t="str">
        <f>#REF!</f>
        <v>#VALUE!:noResult:No valid cells found for operation.</v>
      </c>
      <c r="DZ58" s="15" t="str">
        <f>#REF!</f>
        <v>#VALUE!:noResult:No valid cells found for operation.</v>
      </c>
      <c r="EA58" s="15" t="str">
        <f>#REF!</f>
        <v>#VALUE!:noResult:No valid cells found for operation.</v>
      </c>
      <c r="EB58" s="15">
        <f>IF(Trans!R[804],"AAAAABN724M=",0)</f>
        <v>0</v>
      </c>
      <c r="EC58" s="15" t="b">
        <f>AND(Trans!A862,"AAAAABN724Q=")</f>
        <v>1</v>
      </c>
      <c r="ED58" s="15" t="str">
        <f>AND(Trans!B862,"AAAAABN724U=")</f>
        <v>#VALUE!:noResult:No valid cells found for operation.</v>
      </c>
      <c r="EE58" s="15" t="b">
        <f>AND(Trans!C862,"AAAAABN724Y=")</f>
        <v>1</v>
      </c>
      <c r="EF58" s="15" t="b">
        <f>AND(Trans!D862,"AAAAABN724c=")</f>
        <v>1</v>
      </c>
      <c r="EG58" s="15" t="str">
        <f>AND(Trans!E862,"AAAAABN724g=")</f>
        <v>#VALUE!:noResult:No valid cells found for operation.</v>
      </c>
      <c r="EH58" s="15" t="str">
        <f>AND(Trans!F862,"AAAAABN724k=")</f>
        <v>#VALUE!:noResult:No valid cells found for operation.</v>
      </c>
      <c r="EI58" s="15" t="str">
        <f>AND(Trans!G862,"AAAAABN724o=")</f>
        <v>#VALUE!:noResult:No valid cells found for operation.</v>
      </c>
      <c r="EJ58" s="15" t="str">
        <f>#REF!</f>
        <v>#VALUE!:noResult:No valid cells found for operation.</v>
      </c>
      <c r="EK58" s="15" t="str">
        <f>AND(Trans!H862,"AAAAABN724w=")</f>
        <v>#VALUE!:noResult:No valid cells found for operation.</v>
      </c>
      <c r="EL58" s="15" t="str">
        <f>#REF!</f>
        <v>#VALUE!:noResult:No valid cells found for operation.</v>
      </c>
      <c r="EM58" s="15" t="str">
        <f>#REF!</f>
        <v>#VALUE!:noResult:No valid cells found for operation.</v>
      </c>
      <c r="EN58" s="15" t="str">
        <f>#REF!</f>
        <v>#VALUE!:noResult:No valid cells found for operation.</v>
      </c>
      <c r="EO58" s="15" t="str">
        <f>#REF!</f>
        <v>#VALUE!:noResult:No valid cells found for operation.</v>
      </c>
      <c r="EP58" s="15" t="str">
        <f>#REF!</f>
        <v>#VALUE!:noResult:No valid cells found for operation.</v>
      </c>
      <c r="EQ58" s="15" t="str">
        <f>#REF!</f>
        <v>#VALUE!:noResult:No valid cells found for operation.</v>
      </c>
      <c r="ER58" s="15">
        <f>IF(Trans!R[805],"AAAAABN725M=",0)</f>
        <v>0</v>
      </c>
      <c r="ES58" s="15" t="b">
        <f>AND(Trans!A863,"AAAAABN725Q=")</f>
        <v>1</v>
      </c>
      <c r="ET58" s="15" t="str">
        <f>AND(Trans!B863,"AAAAABN725U=")</f>
        <v>#VALUE!:noResult:No valid cells found for operation.</v>
      </c>
      <c r="EU58" s="15" t="b">
        <f>AND(Trans!C863,"AAAAABN725Y=")</f>
        <v>1</v>
      </c>
      <c r="EV58" s="15" t="b">
        <f>AND(Trans!D863,"AAAAABN725c=")</f>
        <v>1</v>
      </c>
      <c r="EW58" s="15" t="str">
        <f>AND(Trans!E863,"AAAAABN725g=")</f>
        <v>#VALUE!:noResult:No valid cells found for operation.</v>
      </c>
      <c r="EX58" s="15" t="str">
        <f>AND(Trans!F863,"AAAAABN725k=")</f>
        <v>#VALUE!:noResult:No valid cells found for operation.</v>
      </c>
      <c r="EY58" s="15" t="str">
        <f>AND(Trans!G863,"AAAAABN725o=")</f>
        <v>#VALUE!:noResult:No valid cells found for operation.</v>
      </c>
      <c r="EZ58" s="15" t="str">
        <f>#REF!</f>
        <v>#VALUE!:noResult:No valid cells found for operation.</v>
      </c>
      <c r="FA58" s="15" t="str">
        <f>AND(Trans!H863,"AAAAABN725w=")</f>
        <v>#VALUE!:noResult:No valid cells found for operation.</v>
      </c>
      <c r="FB58" s="15" t="str">
        <f>#REF!</f>
        <v>#VALUE!:noResult:No valid cells found for operation.</v>
      </c>
      <c r="FC58" s="15" t="str">
        <f>#REF!</f>
        <v>#VALUE!:noResult:No valid cells found for operation.</v>
      </c>
      <c r="FD58" s="15" t="str">
        <f>#REF!</f>
        <v>#VALUE!:noResult:No valid cells found for operation.</v>
      </c>
      <c r="FE58" s="15" t="str">
        <f>#REF!</f>
        <v>#VALUE!:noResult:No valid cells found for operation.</v>
      </c>
      <c r="FF58" s="15" t="str">
        <f>#REF!</f>
        <v>#VALUE!:noResult:No valid cells found for operation.</v>
      </c>
      <c r="FG58" s="15" t="str">
        <f>#REF!</f>
        <v>#VALUE!:noResult:No valid cells found for operation.</v>
      </c>
      <c r="FH58" s="15">
        <f>IF(Trans!R[806],"AAAAABN726M=",0)</f>
        <v>0</v>
      </c>
      <c r="FI58" s="15" t="b">
        <f>AND(Trans!A864,"AAAAABN726Q=")</f>
        <v>1</v>
      </c>
      <c r="FJ58" s="15" t="str">
        <f>AND(Trans!B864,"AAAAABN726U=")</f>
        <v>#VALUE!:noResult:No valid cells found for operation.</v>
      </c>
      <c r="FK58" s="15" t="b">
        <f>AND(Trans!C864,"AAAAABN726Y=")</f>
        <v>1</v>
      </c>
      <c r="FL58" s="15" t="b">
        <f>AND(Trans!D864,"AAAAABN726c=")</f>
        <v>1</v>
      </c>
      <c r="FM58" s="15" t="str">
        <f>AND(Trans!E864,"AAAAABN726g=")</f>
        <v>#VALUE!:noResult:No valid cells found for operation.</v>
      </c>
      <c r="FN58" s="15" t="str">
        <f>AND(Trans!F864,"AAAAABN726k=")</f>
        <v>#VALUE!:noResult:No valid cells found for operation.</v>
      </c>
      <c r="FO58" s="15" t="str">
        <f>AND(Trans!G864,"AAAAABN726o=")</f>
        <v>#VALUE!:noResult:No valid cells found for operation.</v>
      </c>
      <c r="FP58" s="15" t="str">
        <f>#REF!</f>
        <v>#VALUE!:noResult:No valid cells found for operation.</v>
      </c>
      <c r="FQ58" s="15" t="str">
        <f>AND(Trans!H864,"AAAAABN726w=")</f>
        <v>#VALUE!:noResult:No valid cells found for operation.</v>
      </c>
      <c r="FR58" s="15" t="str">
        <f>#REF!</f>
        <v>#VALUE!:noResult:No valid cells found for operation.</v>
      </c>
      <c r="FS58" s="15" t="str">
        <f>#REF!</f>
        <v>#VALUE!:noResult:No valid cells found for operation.</v>
      </c>
      <c r="FT58" s="15" t="str">
        <f>#REF!</f>
        <v>#VALUE!:noResult:No valid cells found for operation.</v>
      </c>
      <c r="FU58" s="15" t="str">
        <f>#REF!</f>
        <v>#VALUE!:noResult:No valid cells found for operation.</v>
      </c>
      <c r="FV58" s="15" t="str">
        <f>#REF!</f>
        <v>#VALUE!:noResult:No valid cells found for operation.</v>
      </c>
      <c r="FW58" s="15" t="str">
        <f>#REF!</f>
        <v>#VALUE!:noResult:No valid cells found for operation.</v>
      </c>
      <c r="FX58" s="15">
        <f>IF(Trans!R[807],"AAAAABN727M=",0)</f>
        <v>0</v>
      </c>
      <c r="FY58" s="15" t="b">
        <f>AND(Trans!A865,"AAAAABN727Q=")</f>
        <v>1</v>
      </c>
      <c r="FZ58" s="15" t="str">
        <f>AND(Trans!B865,"AAAAABN727U=")</f>
        <v>#VALUE!:noResult:No valid cells found for operation.</v>
      </c>
      <c r="GA58" s="15" t="b">
        <f>AND(Trans!C865,"AAAAABN727Y=")</f>
        <v>1</v>
      </c>
      <c r="GB58" s="15" t="b">
        <f>AND(Trans!D865,"AAAAABN727c=")</f>
        <v>1</v>
      </c>
      <c r="GC58" s="15" t="str">
        <f>AND(Trans!E865,"AAAAABN727g=")</f>
        <v>#VALUE!:noResult:No valid cells found for operation.</v>
      </c>
      <c r="GD58" s="15" t="str">
        <f>AND(Trans!F865,"AAAAABN727k=")</f>
        <v>#VALUE!:noResult:No valid cells found for operation.</v>
      </c>
      <c r="GE58" s="15" t="str">
        <f>AND(Trans!G865,"AAAAABN727o=")</f>
        <v>#VALUE!:noResult:No valid cells found for operation.</v>
      </c>
      <c r="GF58" s="15" t="str">
        <f>#REF!</f>
        <v>#VALUE!:noResult:No valid cells found for operation.</v>
      </c>
      <c r="GG58" s="15" t="str">
        <f>AND(Trans!H865,"AAAAABN727w=")</f>
        <v>#VALUE!:noResult:No valid cells found for operation.</v>
      </c>
      <c r="GH58" s="15" t="str">
        <f>#REF!</f>
        <v>#VALUE!:noResult:No valid cells found for operation.</v>
      </c>
      <c r="GI58" s="15" t="str">
        <f>#REF!</f>
        <v>#VALUE!:noResult:No valid cells found for operation.</v>
      </c>
      <c r="GJ58" s="15" t="str">
        <f>#REF!</f>
        <v>#VALUE!:noResult:No valid cells found for operation.</v>
      </c>
      <c r="GK58" s="15" t="str">
        <f>#REF!</f>
        <v>#VALUE!:noResult:No valid cells found for operation.</v>
      </c>
      <c r="GL58" s="15" t="str">
        <f>#REF!</f>
        <v>#VALUE!:noResult:No valid cells found for operation.</v>
      </c>
      <c r="GM58" s="15" t="str">
        <f>#REF!</f>
        <v>#VALUE!:noResult:No valid cells found for operation.</v>
      </c>
      <c r="GN58" s="15">
        <f>IF(Trans!R[808],"AAAAABN728M=",0)</f>
        <v>0</v>
      </c>
      <c r="GO58" s="15" t="b">
        <f>AND(Trans!A866,"AAAAABN728Q=")</f>
        <v>1</v>
      </c>
      <c r="GP58" s="15" t="str">
        <f>AND(Trans!B866,"AAAAABN728U=")</f>
        <v>#VALUE!:noResult:No valid cells found for operation.</v>
      </c>
      <c r="GQ58" s="15" t="b">
        <f>AND(Trans!C866,"AAAAABN728Y=")</f>
        <v>1</v>
      </c>
      <c r="GR58" s="15" t="b">
        <f>AND(Trans!D866,"AAAAABN728c=")</f>
        <v>1</v>
      </c>
      <c r="GS58" s="15" t="str">
        <f>AND(Trans!E866,"AAAAABN728g=")</f>
        <v>#VALUE!:noResult:No valid cells found for operation.</v>
      </c>
      <c r="GT58" s="15" t="str">
        <f>AND(Trans!F866,"AAAAABN728k=")</f>
        <v>#VALUE!:noResult:No valid cells found for operation.</v>
      </c>
      <c r="GU58" s="15" t="str">
        <f>AND(Trans!G866,"AAAAABN728o=")</f>
        <v>#VALUE!:noResult:No valid cells found for operation.</v>
      </c>
      <c r="GV58" s="15" t="str">
        <f>#REF!</f>
        <v>#VALUE!:noResult:No valid cells found for operation.</v>
      </c>
      <c r="GW58" s="15" t="str">
        <f>AND(Trans!H866,"AAAAABN728w=")</f>
        <v>#VALUE!:noResult:No valid cells found for operation.</v>
      </c>
      <c r="GX58" s="15" t="str">
        <f>#REF!</f>
        <v>#VALUE!:noResult:No valid cells found for operation.</v>
      </c>
      <c r="GY58" s="15" t="str">
        <f>#REF!</f>
        <v>#VALUE!:noResult:No valid cells found for operation.</v>
      </c>
      <c r="GZ58" s="15" t="str">
        <f>#REF!</f>
        <v>#VALUE!:noResult:No valid cells found for operation.</v>
      </c>
      <c r="HA58" s="15" t="str">
        <f>#REF!</f>
        <v>#VALUE!:noResult:No valid cells found for operation.</v>
      </c>
      <c r="HB58" s="15" t="str">
        <f>#REF!</f>
        <v>#VALUE!:noResult:No valid cells found for operation.</v>
      </c>
      <c r="HC58" s="15" t="str">
        <f>#REF!</f>
        <v>#VALUE!:noResult:No valid cells found for operation.</v>
      </c>
      <c r="HD58" s="15">
        <f>IF(Trans!R[809],"AAAAABN729M=",0)</f>
        <v>0</v>
      </c>
      <c r="HE58" s="15" t="b">
        <f>AND(Trans!A867,"AAAAABN729Q=")</f>
        <v>1</v>
      </c>
      <c r="HF58" s="15" t="str">
        <f>AND(Trans!B867,"AAAAABN729U=")</f>
        <v>#VALUE!:noResult:No valid cells found for operation.</v>
      </c>
      <c r="HG58" s="15" t="b">
        <f>AND(Trans!C867,"AAAAABN729Y=")</f>
        <v>1</v>
      </c>
      <c r="HH58" s="15" t="b">
        <f>AND(Trans!D867,"AAAAABN729c=")</f>
        <v>1</v>
      </c>
      <c r="HI58" s="15" t="str">
        <f>AND(Trans!E867,"AAAAABN729g=")</f>
        <v>#VALUE!:noResult:No valid cells found for operation.</v>
      </c>
      <c r="HJ58" s="15" t="str">
        <f>AND(Trans!F867,"AAAAABN729k=")</f>
        <v>#VALUE!:noResult:No valid cells found for operation.</v>
      </c>
      <c r="HK58" s="15" t="str">
        <f>AND(Trans!G867,"AAAAABN729o=")</f>
        <v>#VALUE!:noResult:No valid cells found for operation.</v>
      </c>
      <c r="HL58" s="15" t="str">
        <f>#REF!</f>
        <v>#VALUE!:noResult:No valid cells found for operation.</v>
      </c>
      <c r="HM58" s="15" t="str">
        <f>AND(Trans!H867,"AAAAABN729w=")</f>
        <v>#VALUE!:noResult:No valid cells found for operation.</v>
      </c>
      <c r="HN58" s="15" t="str">
        <f>#REF!</f>
        <v>#VALUE!:noResult:No valid cells found for operation.</v>
      </c>
      <c r="HO58" s="15" t="str">
        <f>#REF!</f>
        <v>#VALUE!:noResult:No valid cells found for operation.</v>
      </c>
      <c r="HP58" s="15" t="str">
        <f>#REF!</f>
        <v>#VALUE!:noResult:No valid cells found for operation.</v>
      </c>
      <c r="HQ58" s="15" t="str">
        <f>#REF!</f>
        <v>#VALUE!:noResult:No valid cells found for operation.</v>
      </c>
      <c r="HR58" s="15" t="str">
        <f>#REF!</f>
        <v>#VALUE!:noResult:No valid cells found for operation.</v>
      </c>
      <c r="HS58" s="15" t="str">
        <f>#REF!</f>
        <v>#VALUE!:noResult:No valid cells found for operation.</v>
      </c>
      <c r="HT58" s="15">
        <f>IF(Trans!R[810],"AAAAABN72+M=",0)</f>
        <v>0</v>
      </c>
      <c r="HU58" s="15" t="b">
        <f>AND(Trans!A868,"AAAAABN72+Q=")</f>
        <v>1</v>
      </c>
      <c r="HV58" s="15" t="str">
        <f>AND(Trans!B868,"AAAAABN72+U=")</f>
        <v>#VALUE!:noResult:No valid cells found for operation.</v>
      </c>
      <c r="HW58" s="15" t="b">
        <f>AND(Trans!C868,"AAAAABN72+Y=")</f>
        <v>1</v>
      </c>
      <c r="HX58" s="15" t="b">
        <f>AND(Trans!D868,"AAAAABN72+c=")</f>
        <v>1</v>
      </c>
      <c r="HY58" s="15" t="str">
        <f>AND(Trans!E868,"AAAAABN72+g=")</f>
        <v>#VALUE!:noResult:No valid cells found for operation.</v>
      </c>
      <c r="HZ58" s="15" t="str">
        <f>AND(Trans!F868,"AAAAABN72+k=")</f>
        <v>#VALUE!:noResult:No valid cells found for operation.</v>
      </c>
      <c r="IA58" s="15" t="str">
        <f>AND(Trans!G868,"AAAAABN72+o=")</f>
        <v>#VALUE!:noResult:No valid cells found for operation.</v>
      </c>
      <c r="IB58" s="15" t="str">
        <f>#REF!</f>
        <v>#VALUE!:noResult:No valid cells found for operation.</v>
      </c>
      <c r="IC58" s="15" t="str">
        <f>AND(Trans!H868,"AAAAABN72+w=")</f>
        <v>#VALUE!:noResult:No valid cells found for operation.</v>
      </c>
      <c r="ID58" s="15" t="str">
        <f>#REF!</f>
        <v>#VALUE!:noResult:No valid cells found for operation.</v>
      </c>
      <c r="IE58" s="15" t="str">
        <f>#REF!</f>
        <v>#VALUE!:noResult:No valid cells found for operation.</v>
      </c>
      <c r="IF58" s="15" t="str">
        <f>#REF!</f>
        <v>#VALUE!:noResult:No valid cells found for operation.</v>
      </c>
      <c r="IG58" s="15" t="str">
        <f>#REF!</f>
        <v>#VALUE!:noResult:No valid cells found for operation.</v>
      </c>
      <c r="IH58" s="15" t="str">
        <f>#REF!</f>
        <v>#VALUE!:noResult:No valid cells found for operation.</v>
      </c>
      <c r="II58" s="15" t="str">
        <f>#REF!</f>
        <v>#VALUE!:noResult:No valid cells found for operation.</v>
      </c>
      <c r="IJ58" s="15">
        <f>IF(Trans!R[811],"AAAAABN72/M=",0)</f>
        <v>0</v>
      </c>
      <c r="IK58" s="15" t="b">
        <f>AND(Trans!A869,"AAAAABN72/Q=")</f>
        <v>1</v>
      </c>
      <c r="IL58" s="15" t="str">
        <f>AND(Trans!B869,"AAAAABN72/U=")</f>
        <v>#VALUE!:noResult:No valid cells found for operation.</v>
      </c>
      <c r="IM58" s="15" t="b">
        <f>AND(Trans!C869,"AAAAABN72/Y=")</f>
        <v>1</v>
      </c>
      <c r="IN58" s="15" t="b">
        <f>AND(Trans!D869,"AAAAABN72/c=")</f>
        <v>1</v>
      </c>
      <c r="IO58" s="15" t="str">
        <f>AND(Trans!E869,"AAAAABN72/g=")</f>
        <v>#VALUE!:noResult:No valid cells found for operation.</v>
      </c>
      <c r="IP58" s="15" t="str">
        <f>AND(Trans!F869,"AAAAABN72/k=")</f>
        <v>#VALUE!:noResult:No valid cells found for operation.</v>
      </c>
      <c r="IQ58" s="15" t="str">
        <f>AND(Trans!G869,"AAAAABN72/o=")</f>
        <v>#VALUE!:noResult:No valid cells found for operation.</v>
      </c>
      <c r="IR58" s="15" t="str">
        <f>#REF!</f>
        <v>#VALUE!:noResult:No valid cells found for operation.</v>
      </c>
      <c r="IS58" s="15" t="str">
        <f>AND(Trans!H869,"AAAAABN72/w=")</f>
        <v>#VALUE!:noResult:No valid cells found for operation.</v>
      </c>
      <c r="IT58" s="15" t="str">
        <f>#REF!</f>
        <v>#VALUE!:noResult:No valid cells found for operation.</v>
      </c>
      <c r="IU58" s="15" t="str">
        <f>#REF!</f>
        <v>#VALUE!:noResult:No valid cells found for operation.</v>
      </c>
      <c r="IV58" s="15" t="str">
        <f>#REF!</f>
        <v>#VALUE!:noResult:No valid cells found for operation.</v>
      </c>
    </row>
    <row r="59">
      <c r="A59" s="15" t="str">
        <f>#REF!</f>
        <v>#VALUE!:noResult:No valid cells found for operation.</v>
      </c>
      <c r="B59" s="15" t="str">
        <f>#REF!</f>
        <v>#VALUE!:noResult:No valid cells found for operation.</v>
      </c>
      <c r="C59" s="15" t="str">
        <f>#REF!</f>
        <v>#VALUE!:noResult:No valid cells found for operation.</v>
      </c>
      <c r="D59" s="15" t="str">
        <f>IF(Trans!R[811],"AAAAAG/m1wM=",0)</f>
        <v>AAAAAG/m1wM=</v>
      </c>
      <c r="E59" s="15" t="b">
        <f>AND(Trans!A870,"AAAAAG/m1wQ=")</f>
        <v>1</v>
      </c>
      <c r="F59" s="15" t="str">
        <f>AND(Trans!B870,"AAAAAG/m1wU=")</f>
        <v>#VALUE!:noResult:No valid cells found for operation.</v>
      </c>
      <c r="G59" s="15" t="b">
        <f>AND(Trans!C870,"AAAAAG/m1wY=")</f>
        <v>1</v>
      </c>
      <c r="H59" s="15" t="b">
        <f>AND(Trans!D870,"AAAAAG/m1wc=")</f>
        <v>1</v>
      </c>
      <c r="I59" s="15" t="str">
        <f>AND(Trans!E870,"AAAAAG/m1wg=")</f>
        <v>#VALUE!:noResult:No valid cells found for operation.</v>
      </c>
      <c r="J59" s="15" t="str">
        <f>AND(Trans!F870,"AAAAAG/m1wk=")</f>
        <v>#VALUE!:noResult:No valid cells found for operation.</v>
      </c>
      <c r="K59" s="15" t="str">
        <f>AND(Trans!G870,"AAAAAG/m1wo=")</f>
        <v>#VALUE!:noResult:No valid cells found for operation.</v>
      </c>
      <c r="L59" s="15" t="str">
        <f>#REF!</f>
        <v>#VALUE!:noResult:No valid cells found for operation.</v>
      </c>
      <c r="M59" s="15" t="str">
        <f>AND(Trans!H870,"AAAAAG/m1ww=")</f>
        <v>#VALUE!:noResult:No valid cells found for operation.</v>
      </c>
      <c r="N59" s="15" t="str">
        <f>#REF!</f>
        <v>#VALUE!:noResult:No valid cells found for operation.</v>
      </c>
      <c r="O59" s="15" t="str">
        <f>#REF!</f>
        <v>#VALUE!:noResult:No valid cells found for operation.</v>
      </c>
      <c r="P59" s="15" t="str">
        <f>#REF!</f>
        <v>#VALUE!:noResult:No valid cells found for operation.</v>
      </c>
      <c r="Q59" s="15" t="str">
        <f>#REF!</f>
        <v>#VALUE!:noResult:No valid cells found for operation.</v>
      </c>
      <c r="R59" s="15" t="str">
        <f>#REF!</f>
        <v>#VALUE!:noResult:No valid cells found for operation.</v>
      </c>
      <c r="S59" s="15" t="str">
        <f>#REF!</f>
        <v>#VALUE!:noResult:No valid cells found for operation.</v>
      </c>
      <c r="T59" s="15">
        <f>IF(Trans!R[812],"AAAAAG/m1xM=",0)</f>
        <v>0</v>
      </c>
      <c r="U59" s="15" t="b">
        <f>AND(Trans!A871,"AAAAAG/m1xQ=")</f>
        <v>1</v>
      </c>
      <c r="V59" s="15" t="str">
        <f>AND(Trans!B871,"AAAAAG/m1xU=")</f>
        <v>#VALUE!:noResult:No valid cells found for operation.</v>
      </c>
      <c r="W59" s="15" t="b">
        <f>AND(Trans!C871,"AAAAAG/m1xY=")</f>
        <v>1</v>
      </c>
      <c r="X59" s="15" t="b">
        <f>AND(Trans!D871,"AAAAAG/m1xc=")</f>
        <v>1</v>
      </c>
      <c r="Y59" s="15" t="str">
        <f>AND(Trans!E871,"AAAAAG/m1xg=")</f>
        <v>#VALUE!:noResult:No valid cells found for operation.</v>
      </c>
      <c r="Z59" s="15" t="str">
        <f>AND(Trans!F871,"AAAAAG/m1xk=")</f>
        <v>#VALUE!:noResult:No valid cells found for operation.</v>
      </c>
      <c r="AA59" s="15" t="str">
        <f>AND(Trans!G871,"AAAAAG/m1xo=")</f>
        <v>#VALUE!:noResult:No valid cells found for operation.</v>
      </c>
      <c r="AB59" s="15" t="str">
        <f>#REF!</f>
        <v>#VALUE!:noResult:No valid cells found for operation.</v>
      </c>
      <c r="AC59" s="15" t="str">
        <f>AND(Trans!H871,"AAAAAG/m1xw=")</f>
        <v>#VALUE!:noResult:No valid cells found for operation.</v>
      </c>
      <c r="AD59" s="15" t="str">
        <f>#REF!</f>
        <v>#VALUE!:noResult:No valid cells found for operation.</v>
      </c>
      <c r="AE59" s="15" t="str">
        <f>#REF!</f>
        <v>#VALUE!:noResult:No valid cells found for operation.</v>
      </c>
      <c r="AF59" s="15" t="str">
        <f>#REF!</f>
        <v>#VALUE!:noResult:No valid cells found for operation.</v>
      </c>
      <c r="AG59" s="15" t="str">
        <f>#REF!</f>
        <v>#VALUE!:noResult:No valid cells found for operation.</v>
      </c>
      <c r="AH59" s="15" t="str">
        <f>#REF!</f>
        <v>#VALUE!:noResult:No valid cells found for operation.</v>
      </c>
      <c r="AI59" s="15" t="str">
        <f>#REF!</f>
        <v>#VALUE!:noResult:No valid cells found for operation.</v>
      </c>
      <c r="AJ59" s="15">
        <f>IF(Trans!R[813],"AAAAAG/m1yM=",0)</f>
        <v>0</v>
      </c>
      <c r="AK59" s="15" t="b">
        <f>AND(Trans!A872,"AAAAAG/m1yQ=")</f>
        <v>1</v>
      </c>
      <c r="AL59" s="15" t="str">
        <f>AND(Trans!B872,"AAAAAG/m1yU=")</f>
        <v>#VALUE!:noResult:No valid cells found for operation.</v>
      </c>
      <c r="AM59" s="15" t="b">
        <f>AND(Trans!C872,"AAAAAG/m1yY=")</f>
        <v>1</v>
      </c>
      <c r="AN59" s="15" t="b">
        <f>AND(Trans!D872,"AAAAAG/m1yc=")</f>
        <v>1</v>
      </c>
      <c r="AO59" s="15" t="str">
        <f>AND(Trans!E872,"AAAAAG/m1yg=")</f>
        <v>#VALUE!:noResult:No valid cells found for operation.</v>
      </c>
      <c r="AP59" s="15" t="str">
        <f>AND(Trans!F872,"AAAAAG/m1yk=")</f>
        <v>#VALUE!:noResult:No valid cells found for operation.</v>
      </c>
      <c r="AQ59" s="15" t="str">
        <f>AND(Trans!G872,"AAAAAG/m1yo=")</f>
        <v>#VALUE!:noResult:No valid cells found for operation.</v>
      </c>
      <c r="AR59" s="15" t="str">
        <f>#REF!</f>
        <v>#VALUE!:noResult:No valid cells found for operation.</v>
      </c>
      <c r="AS59" s="15" t="str">
        <f>AND(Trans!H872,"AAAAAG/m1yw=")</f>
        <v>#VALUE!:noResult:No valid cells found for operation.</v>
      </c>
      <c r="AT59" s="15" t="str">
        <f>#REF!</f>
        <v>#VALUE!:noResult:No valid cells found for operation.</v>
      </c>
      <c r="AU59" s="15" t="str">
        <f>#REF!</f>
        <v>#VALUE!:noResult:No valid cells found for operation.</v>
      </c>
      <c r="AV59" s="15" t="str">
        <f>#REF!</f>
        <v>#VALUE!:noResult:No valid cells found for operation.</v>
      </c>
      <c r="AW59" s="15" t="str">
        <f>#REF!</f>
        <v>#VALUE!:noResult:No valid cells found for operation.</v>
      </c>
      <c r="AX59" s="15" t="str">
        <f>#REF!</f>
        <v>#VALUE!:noResult:No valid cells found for operation.</v>
      </c>
      <c r="AY59" s="15" t="str">
        <f>#REF!</f>
        <v>#VALUE!:noResult:No valid cells found for operation.</v>
      </c>
      <c r="AZ59" s="15">
        <f>IF(Trans!R[814],"AAAAAG/m1zM=",0)</f>
        <v>0</v>
      </c>
      <c r="BA59" s="15" t="b">
        <f>AND(Trans!A873,"AAAAAG/m1zQ=")</f>
        <v>1</v>
      </c>
      <c r="BB59" s="15" t="str">
        <f>AND(Trans!B873,"AAAAAG/m1zU=")</f>
        <v>#VALUE!:noResult:No valid cells found for operation.</v>
      </c>
      <c r="BC59" s="15" t="b">
        <f>AND(Trans!C873,"AAAAAG/m1zY=")</f>
        <v>1</v>
      </c>
      <c r="BD59" s="15" t="b">
        <f>AND(Trans!D873,"AAAAAG/m1zc=")</f>
        <v>1</v>
      </c>
      <c r="BE59" s="15" t="str">
        <f>AND(Trans!E873,"AAAAAG/m1zg=")</f>
        <v>#VALUE!:noResult:No valid cells found for operation.</v>
      </c>
      <c r="BF59" s="15" t="str">
        <f>AND(Trans!F873,"AAAAAG/m1zk=")</f>
        <v>#VALUE!:noResult:No valid cells found for operation.</v>
      </c>
      <c r="BG59" s="15" t="str">
        <f>AND(Trans!G873,"AAAAAG/m1zo=")</f>
        <v>#VALUE!:noResult:No valid cells found for operation.</v>
      </c>
      <c r="BH59" s="15" t="str">
        <f>#REF!</f>
        <v>#VALUE!:noResult:No valid cells found for operation.</v>
      </c>
      <c r="BI59" s="15" t="str">
        <f>AND(Trans!H873,"AAAAAG/m1zw=")</f>
        <v>#VALUE!:noResult:No valid cells found for operation.</v>
      </c>
      <c r="BJ59" s="15" t="str">
        <f>#REF!</f>
        <v>#VALUE!:noResult:No valid cells found for operation.</v>
      </c>
      <c r="BK59" s="15" t="str">
        <f>#REF!</f>
        <v>#VALUE!:noResult:No valid cells found for operation.</v>
      </c>
      <c r="BL59" s="15" t="str">
        <f>#REF!</f>
        <v>#VALUE!:noResult:No valid cells found for operation.</v>
      </c>
      <c r="BM59" s="15" t="str">
        <f>#REF!</f>
        <v>#VALUE!:noResult:No valid cells found for operation.</v>
      </c>
      <c r="BN59" s="15" t="str">
        <f>#REF!</f>
        <v>#VALUE!:noResult:No valid cells found for operation.</v>
      </c>
      <c r="BO59" s="15" t="str">
        <f>#REF!</f>
        <v>#VALUE!:noResult:No valid cells found for operation.</v>
      </c>
      <c r="BP59" s="15">
        <f>IF(Trans!R[815],"AAAAAG/m10M=",0)</f>
        <v>0</v>
      </c>
      <c r="BQ59" s="15" t="b">
        <f>AND(Trans!A874,"AAAAAG/m10Q=")</f>
        <v>1</v>
      </c>
      <c r="BR59" s="15" t="str">
        <f>AND(Trans!B874,"AAAAAG/m10U=")</f>
        <v>#VALUE!:noResult:No valid cells found for operation.</v>
      </c>
      <c r="BS59" s="15" t="b">
        <f>AND(Trans!C874,"AAAAAG/m10Y=")</f>
        <v>1</v>
      </c>
      <c r="BT59" s="15" t="b">
        <f>AND(Trans!D874,"AAAAAG/m10c=")</f>
        <v>1</v>
      </c>
      <c r="BU59" s="15" t="str">
        <f>AND(Trans!E874,"AAAAAG/m10g=")</f>
        <v>#VALUE!:noResult:No valid cells found for operation.</v>
      </c>
      <c r="BV59" s="15" t="str">
        <f>AND(Trans!F874,"AAAAAG/m10k=")</f>
        <v>#VALUE!:noResult:No valid cells found for operation.</v>
      </c>
      <c r="BW59" s="15" t="str">
        <f>AND(Trans!G874,"AAAAAG/m10o=")</f>
        <v>#VALUE!:noResult:No valid cells found for operation.</v>
      </c>
      <c r="BX59" s="15" t="str">
        <f>#REF!</f>
        <v>#VALUE!:noResult:No valid cells found for operation.</v>
      </c>
      <c r="BY59" s="15" t="str">
        <f>AND(Trans!H874,"AAAAAG/m10w=")</f>
        <v>#VALUE!:noResult:No valid cells found for operation.</v>
      </c>
      <c r="BZ59" s="15" t="str">
        <f>#REF!</f>
        <v>#VALUE!:noResult:No valid cells found for operation.</v>
      </c>
      <c r="CA59" s="15" t="str">
        <f>#REF!</f>
        <v>#VALUE!:noResult:No valid cells found for operation.</v>
      </c>
      <c r="CB59" s="15" t="str">
        <f>#REF!</f>
        <v>#VALUE!:noResult:No valid cells found for operation.</v>
      </c>
      <c r="CC59" s="15" t="str">
        <f>#REF!</f>
        <v>#VALUE!:noResult:No valid cells found for operation.</v>
      </c>
      <c r="CD59" s="15" t="str">
        <f>#REF!</f>
        <v>#VALUE!:noResult:No valid cells found for operation.</v>
      </c>
      <c r="CE59" s="15" t="str">
        <f>#REF!</f>
        <v>#VALUE!:noResult:No valid cells found for operation.</v>
      </c>
      <c r="CF59" s="15">
        <f>IF(Trans!R[816],"AAAAAG/m11M=",0)</f>
        <v>0</v>
      </c>
      <c r="CG59" s="15" t="b">
        <f>AND(Trans!A875,"AAAAAG/m11Q=")</f>
        <v>1</v>
      </c>
      <c r="CH59" s="15" t="str">
        <f>AND(Trans!B875,"AAAAAG/m11U=")</f>
        <v>#VALUE!:noResult:No valid cells found for operation.</v>
      </c>
      <c r="CI59" s="15" t="b">
        <f>AND(Trans!C875,"AAAAAG/m11Y=")</f>
        <v>1</v>
      </c>
      <c r="CJ59" s="15" t="b">
        <f>AND(Trans!D875,"AAAAAG/m11c=")</f>
        <v>1</v>
      </c>
      <c r="CK59" s="15" t="str">
        <f>AND(Trans!E875,"AAAAAG/m11g=")</f>
        <v>#VALUE!:noResult:No valid cells found for operation.</v>
      </c>
      <c r="CL59" s="15" t="str">
        <f>AND(Trans!F875,"AAAAAG/m11k=")</f>
        <v>#VALUE!:noResult:No valid cells found for operation.</v>
      </c>
      <c r="CM59" s="15" t="str">
        <f>AND(Trans!G875,"AAAAAG/m11o=")</f>
        <v>#VALUE!:noResult:No valid cells found for operation.</v>
      </c>
      <c r="CN59" s="15" t="str">
        <f>#REF!</f>
        <v>#VALUE!:noResult:No valid cells found for operation.</v>
      </c>
      <c r="CO59" s="15" t="str">
        <f>AND(Trans!H875,"AAAAAG/m11w=")</f>
        <v>#VALUE!:noResult:No valid cells found for operation.</v>
      </c>
      <c r="CP59" s="15" t="str">
        <f>#REF!</f>
        <v>#VALUE!:noResult:No valid cells found for operation.</v>
      </c>
      <c r="CQ59" s="15" t="str">
        <f>#REF!</f>
        <v>#VALUE!:noResult:No valid cells found for operation.</v>
      </c>
      <c r="CR59" s="15" t="str">
        <f>#REF!</f>
        <v>#VALUE!:noResult:No valid cells found for operation.</v>
      </c>
      <c r="CS59" s="15" t="str">
        <f>#REF!</f>
        <v>#VALUE!:noResult:No valid cells found for operation.</v>
      </c>
      <c r="CT59" s="15" t="str">
        <f>#REF!</f>
        <v>#VALUE!:noResult:No valid cells found for operation.</v>
      </c>
      <c r="CU59" s="15" t="str">
        <f>#REF!</f>
        <v>#VALUE!:noResult:No valid cells found for operation.</v>
      </c>
      <c r="CV59" s="15">
        <f>IF(Trans!R[817],"AAAAAG/m12M=",0)</f>
        <v>0</v>
      </c>
      <c r="CW59" s="15" t="b">
        <f>AND(Trans!A876,"AAAAAG/m12Q=")</f>
        <v>1</v>
      </c>
      <c r="CX59" s="15" t="str">
        <f>AND(Trans!B876,"AAAAAG/m12U=")</f>
        <v>#VALUE!:noResult:No valid cells found for operation.</v>
      </c>
      <c r="CY59" s="15" t="b">
        <f>AND(Trans!C876,"AAAAAG/m12Y=")</f>
        <v>1</v>
      </c>
      <c r="CZ59" s="15" t="b">
        <f>AND(Trans!D876,"AAAAAG/m12c=")</f>
        <v>1</v>
      </c>
      <c r="DA59" s="15" t="str">
        <f>AND(Trans!E876,"AAAAAG/m12g=")</f>
        <v>#VALUE!:noResult:No valid cells found for operation.</v>
      </c>
      <c r="DB59" s="15" t="str">
        <f>AND(Trans!F876,"AAAAAG/m12k=")</f>
        <v>#VALUE!:noResult:No valid cells found for operation.</v>
      </c>
      <c r="DC59" s="15" t="str">
        <f>AND(Trans!G876,"AAAAAG/m12o=")</f>
        <v>#VALUE!:noResult:No valid cells found for operation.</v>
      </c>
      <c r="DD59" s="15" t="str">
        <f>#REF!</f>
        <v>#VALUE!:noResult:No valid cells found for operation.</v>
      </c>
      <c r="DE59" s="15" t="str">
        <f>AND(Trans!H876,"AAAAAG/m12w=")</f>
        <v>#VALUE!:noResult:No valid cells found for operation.</v>
      </c>
      <c r="DF59" s="15" t="str">
        <f>#REF!</f>
        <v>#VALUE!:noResult:No valid cells found for operation.</v>
      </c>
      <c r="DG59" s="15" t="str">
        <f>#REF!</f>
        <v>#VALUE!:noResult:No valid cells found for operation.</v>
      </c>
      <c r="DH59" s="15" t="str">
        <f>#REF!</f>
        <v>#VALUE!:noResult:No valid cells found for operation.</v>
      </c>
      <c r="DI59" s="15" t="str">
        <f>#REF!</f>
        <v>#VALUE!:noResult:No valid cells found for operation.</v>
      </c>
      <c r="DJ59" s="15" t="str">
        <f>#REF!</f>
        <v>#VALUE!:noResult:No valid cells found for operation.</v>
      </c>
      <c r="DK59" s="15" t="str">
        <f>#REF!</f>
        <v>#VALUE!:noResult:No valid cells found for operation.</v>
      </c>
      <c r="DL59" s="15">
        <f>IF(Trans!R[818],"AAAAAG/m13M=",0)</f>
        <v>0</v>
      </c>
      <c r="DM59" s="15" t="b">
        <f>AND(Trans!A877,"AAAAAG/m13Q=")</f>
        <v>1</v>
      </c>
      <c r="DN59" s="15" t="str">
        <f>AND(Trans!B877,"AAAAAG/m13U=")</f>
        <v>#VALUE!:noResult:No valid cells found for operation.</v>
      </c>
      <c r="DO59" s="15" t="b">
        <f>AND(Trans!C877,"AAAAAG/m13Y=")</f>
        <v>1</v>
      </c>
      <c r="DP59" s="15" t="b">
        <f>AND(Trans!D877,"AAAAAG/m13c=")</f>
        <v>1</v>
      </c>
      <c r="DQ59" s="15" t="str">
        <f>AND(Trans!E877,"AAAAAG/m13g=")</f>
        <v>#VALUE!:noResult:No valid cells found for operation.</v>
      </c>
      <c r="DR59" s="15" t="str">
        <f>AND(Trans!F877,"AAAAAG/m13k=")</f>
        <v>#VALUE!:noResult:No valid cells found for operation.</v>
      </c>
      <c r="DS59" s="15" t="str">
        <f>AND(Trans!G877,"AAAAAG/m13o=")</f>
        <v>#VALUE!:noResult:No valid cells found for operation.</v>
      </c>
      <c r="DT59" s="15" t="str">
        <f>#REF!</f>
        <v>#VALUE!:noResult:No valid cells found for operation.</v>
      </c>
      <c r="DU59" s="15" t="str">
        <f>AND(Trans!H877,"AAAAAG/m13w=")</f>
        <v>#VALUE!:noResult:No valid cells found for operation.</v>
      </c>
      <c r="DV59" s="15" t="str">
        <f>#REF!</f>
        <v>#VALUE!:noResult:No valid cells found for operation.</v>
      </c>
      <c r="DW59" s="15" t="str">
        <f>#REF!</f>
        <v>#VALUE!:noResult:No valid cells found for operation.</v>
      </c>
      <c r="DX59" s="15" t="str">
        <f>#REF!</f>
        <v>#VALUE!:noResult:No valid cells found for operation.</v>
      </c>
      <c r="DY59" s="15" t="str">
        <f>#REF!</f>
        <v>#VALUE!:noResult:No valid cells found for operation.</v>
      </c>
      <c r="DZ59" s="15" t="str">
        <f>#REF!</f>
        <v>#VALUE!:noResult:No valid cells found for operation.</v>
      </c>
      <c r="EA59" s="15" t="str">
        <f>#REF!</f>
        <v>#VALUE!:noResult:No valid cells found for operation.</v>
      </c>
      <c r="EB59" s="15">
        <f>IF(Trans!R[819],"AAAAAG/m14M=",0)</f>
        <v>0</v>
      </c>
      <c r="EC59" s="15" t="b">
        <f>AND(Trans!A878,"AAAAAG/m14Q=")</f>
        <v>1</v>
      </c>
      <c r="ED59" s="15" t="str">
        <f>AND(Trans!B878,"AAAAAG/m14U=")</f>
        <v>#VALUE!:noResult:No valid cells found for operation.</v>
      </c>
      <c r="EE59" s="15" t="b">
        <f>AND(Trans!C878,"AAAAAG/m14Y=")</f>
        <v>1</v>
      </c>
      <c r="EF59" s="15" t="b">
        <f>AND(Trans!D878,"AAAAAG/m14c=")</f>
        <v>1</v>
      </c>
      <c r="EG59" s="15" t="str">
        <f>AND(Trans!E878,"AAAAAG/m14g=")</f>
        <v>#VALUE!:noResult:No valid cells found for operation.</v>
      </c>
      <c r="EH59" s="15" t="str">
        <f>AND(Trans!F878,"AAAAAG/m14k=")</f>
        <v>#VALUE!:noResult:No valid cells found for operation.</v>
      </c>
      <c r="EI59" s="15" t="str">
        <f>AND(Trans!G878,"AAAAAG/m14o=")</f>
        <v>#VALUE!:noResult:No valid cells found for operation.</v>
      </c>
      <c r="EJ59" s="15" t="str">
        <f>#REF!</f>
        <v>#VALUE!:noResult:No valid cells found for operation.</v>
      </c>
      <c r="EK59" s="15" t="str">
        <f>AND(Trans!H878,"AAAAAG/m14w=")</f>
        <v>#VALUE!:noResult:No valid cells found for operation.</v>
      </c>
      <c r="EL59" s="15" t="str">
        <f>#REF!</f>
        <v>#VALUE!:noResult:No valid cells found for operation.</v>
      </c>
      <c r="EM59" s="15" t="str">
        <f>#REF!</f>
        <v>#VALUE!:noResult:No valid cells found for operation.</v>
      </c>
      <c r="EN59" s="15" t="str">
        <f>#REF!</f>
        <v>#VALUE!:noResult:No valid cells found for operation.</v>
      </c>
      <c r="EO59" s="15" t="str">
        <f>#REF!</f>
        <v>#VALUE!:noResult:No valid cells found for operation.</v>
      </c>
      <c r="EP59" s="15" t="str">
        <f>#REF!</f>
        <v>#VALUE!:noResult:No valid cells found for operation.</v>
      </c>
      <c r="EQ59" s="15" t="str">
        <f>#REF!</f>
        <v>#VALUE!:noResult:No valid cells found for operation.</v>
      </c>
      <c r="ER59" s="15">
        <f>IF(Trans!R[820],"AAAAAG/m15M=",0)</f>
        <v>0</v>
      </c>
      <c r="ES59" s="15" t="b">
        <f>AND(Trans!A879,"AAAAAG/m15Q=")</f>
        <v>1</v>
      </c>
      <c r="ET59" s="15" t="str">
        <f>AND(Trans!B879,"AAAAAG/m15U=")</f>
        <v>#VALUE!:noResult:No valid cells found for operation.</v>
      </c>
      <c r="EU59" s="15" t="b">
        <f>AND(Trans!C879,"AAAAAG/m15Y=")</f>
        <v>1</v>
      </c>
      <c r="EV59" s="15" t="b">
        <f>AND(Trans!D879,"AAAAAG/m15c=")</f>
        <v>1</v>
      </c>
      <c r="EW59" s="15" t="str">
        <f>AND(Trans!E879,"AAAAAG/m15g=")</f>
        <v>#VALUE!:noResult:No valid cells found for operation.</v>
      </c>
      <c r="EX59" s="15" t="str">
        <f>AND(Trans!F879,"AAAAAG/m15k=")</f>
        <v>#VALUE!:noResult:No valid cells found for operation.</v>
      </c>
      <c r="EY59" s="15" t="str">
        <f>AND(Trans!G879,"AAAAAG/m15o=")</f>
        <v>#VALUE!:noResult:No valid cells found for operation.</v>
      </c>
      <c r="EZ59" s="15" t="str">
        <f>#REF!</f>
        <v>#VALUE!:noResult:No valid cells found for operation.</v>
      </c>
      <c r="FA59" s="15" t="str">
        <f>AND(Trans!H879,"AAAAAG/m15w=")</f>
        <v>#VALUE!:noResult:No valid cells found for operation.</v>
      </c>
      <c r="FB59" s="15" t="str">
        <f>#REF!</f>
        <v>#VALUE!:noResult:No valid cells found for operation.</v>
      </c>
      <c r="FC59" s="15" t="str">
        <f>#REF!</f>
        <v>#VALUE!:noResult:No valid cells found for operation.</v>
      </c>
      <c r="FD59" s="15" t="str">
        <f>#REF!</f>
        <v>#VALUE!:noResult:No valid cells found for operation.</v>
      </c>
      <c r="FE59" s="15" t="str">
        <f>#REF!</f>
        <v>#VALUE!:noResult:No valid cells found for operation.</v>
      </c>
      <c r="FF59" s="15" t="str">
        <f>#REF!</f>
        <v>#VALUE!:noResult:No valid cells found for operation.</v>
      </c>
      <c r="FG59" s="15" t="str">
        <f>#REF!</f>
        <v>#VALUE!:noResult:No valid cells found for operation.</v>
      </c>
      <c r="FH59" s="15">
        <f>IF(Trans!R[821],"AAAAAG/m16M=",0)</f>
        <v>0</v>
      </c>
      <c r="FI59" s="15" t="b">
        <f>AND(Trans!A880,"AAAAAG/m16Q=")</f>
        <v>1</v>
      </c>
      <c r="FJ59" s="15" t="str">
        <f>AND(Trans!B880,"AAAAAG/m16U=")</f>
        <v>#VALUE!:noResult:No valid cells found for operation.</v>
      </c>
      <c r="FK59" s="15" t="b">
        <f>AND(Trans!C880,"AAAAAG/m16Y=")</f>
        <v>1</v>
      </c>
      <c r="FL59" s="15" t="b">
        <f>AND(Trans!D880,"AAAAAG/m16c=")</f>
        <v>1</v>
      </c>
      <c r="FM59" s="15" t="str">
        <f>AND(Trans!E880,"AAAAAG/m16g=")</f>
        <v>#VALUE!:noResult:No valid cells found for operation.</v>
      </c>
      <c r="FN59" s="15" t="str">
        <f>AND(Trans!F880,"AAAAAG/m16k=")</f>
        <v>#VALUE!:noResult:No valid cells found for operation.</v>
      </c>
      <c r="FO59" s="15" t="str">
        <f>AND(Trans!G880,"AAAAAG/m16o=")</f>
        <v>#VALUE!:noResult:No valid cells found for operation.</v>
      </c>
      <c r="FP59" s="15" t="str">
        <f>#REF!</f>
        <v>#VALUE!:noResult:No valid cells found for operation.</v>
      </c>
      <c r="FQ59" s="15" t="str">
        <f>AND(Trans!H880,"AAAAAG/m16w=")</f>
        <v>#VALUE!:noResult:No valid cells found for operation.</v>
      </c>
      <c r="FR59" s="15" t="str">
        <f>#REF!</f>
        <v>#VALUE!:noResult:No valid cells found for operation.</v>
      </c>
      <c r="FS59" s="15" t="str">
        <f>#REF!</f>
        <v>#VALUE!:noResult:No valid cells found for operation.</v>
      </c>
      <c r="FT59" s="15" t="str">
        <f>#REF!</f>
        <v>#VALUE!:noResult:No valid cells found for operation.</v>
      </c>
      <c r="FU59" s="15" t="str">
        <f>#REF!</f>
        <v>#VALUE!:noResult:No valid cells found for operation.</v>
      </c>
      <c r="FV59" s="15" t="str">
        <f>#REF!</f>
        <v>#VALUE!:noResult:No valid cells found for operation.</v>
      </c>
      <c r="FW59" s="15" t="str">
        <f>#REF!</f>
        <v>#VALUE!:noResult:No valid cells found for operation.</v>
      </c>
      <c r="FX59" s="15">
        <f>IF(Trans!R[822],"AAAAAG/m17M=",0)</f>
        <v>0</v>
      </c>
      <c r="FY59" s="15" t="b">
        <f>AND(Trans!A881,"AAAAAG/m17Q=")</f>
        <v>1</v>
      </c>
      <c r="FZ59" s="15" t="str">
        <f>AND(Trans!B881,"AAAAAG/m17U=")</f>
        <v>#VALUE!:noResult:No valid cells found for operation.</v>
      </c>
      <c r="GA59" s="15" t="b">
        <f>AND(Trans!C881,"AAAAAG/m17Y=")</f>
        <v>1</v>
      </c>
      <c r="GB59" s="15" t="b">
        <f>AND(Trans!D881,"AAAAAG/m17c=")</f>
        <v>1</v>
      </c>
      <c r="GC59" s="15" t="str">
        <f>AND(Trans!E881,"AAAAAG/m17g=")</f>
        <v>#VALUE!:noResult:No valid cells found for operation.</v>
      </c>
      <c r="GD59" s="15" t="str">
        <f>AND(Trans!F881,"AAAAAG/m17k=")</f>
        <v>#VALUE!:noResult:No valid cells found for operation.</v>
      </c>
      <c r="GE59" s="15" t="str">
        <f>AND(Trans!G881,"AAAAAG/m17o=")</f>
        <v>#VALUE!:noResult:No valid cells found for operation.</v>
      </c>
      <c r="GF59" s="15" t="str">
        <f>#REF!</f>
        <v>#VALUE!:noResult:No valid cells found for operation.</v>
      </c>
      <c r="GG59" s="15" t="str">
        <f>AND(Trans!H881,"AAAAAG/m17w=")</f>
        <v>#VALUE!:noResult:No valid cells found for operation.</v>
      </c>
      <c r="GH59" s="15" t="str">
        <f>#REF!</f>
        <v>#VALUE!:noResult:No valid cells found for operation.</v>
      </c>
      <c r="GI59" s="15" t="str">
        <f>#REF!</f>
        <v>#VALUE!:noResult:No valid cells found for operation.</v>
      </c>
      <c r="GJ59" s="15" t="str">
        <f>#REF!</f>
        <v>#VALUE!:noResult:No valid cells found for operation.</v>
      </c>
      <c r="GK59" s="15" t="str">
        <f>#REF!</f>
        <v>#VALUE!:noResult:No valid cells found for operation.</v>
      </c>
      <c r="GL59" s="15" t="str">
        <f>#REF!</f>
        <v>#VALUE!:noResult:No valid cells found for operation.</v>
      </c>
      <c r="GM59" s="15" t="str">
        <f>#REF!</f>
        <v>#VALUE!:noResult:No valid cells found for operation.</v>
      </c>
      <c r="GN59" s="15">
        <f>IF(Trans!R[823],"AAAAAG/m18M=",0)</f>
        <v>0</v>
      </c>
      <c r="GO59" s="15" t="b">
        <f>AND(Trans!A882,"AAAAAG/m18Q=")</f>
        <v>1</v>
      </c>
      <c r="GP59" s="15" t="str">
        <f>AND(Trans!B882,"AAAAAG/m18U=")</f>
        <v>#VALUE!:noResult:No valid cells found for operation.</v>
      </c>
      <c r="GQ59" s="15" t="b">
        <f>AND(Trans!C882,"AAAAAG/m18Y=")</f>
        <v>1</v>
      </c>
      <c r="GR59" s="15" t="b">
        <f>AND(Trans!D882,"AAAAAG/m18c=")</f>
        <v>1</v>
      </c>
      <c r="GS59" s="15" t="str">
        <f>AND(Trans!E882,"AAAAAG/m18g=")</f>
        <v>#VALUE!:noResult:No valid cells found for operation.</v>
      </c>
      <c r="GT59" s="15" t="str">
        <f>AND(Trans!F882,"AAAAAG/m18k=")</f>
        <v>#VALUE!:noResult:No valid cells found for operation.</v>
      </c>
      <c r="GU59" s="15" t="str">
        <f>AND(Trans!G882,"AAAAAG/m18o=")</f>
        <v>#VALUE!:noResult:No valid cells found for operation.</v>
      </c>
      <c r="GV59" s="15" t="str">
        <f>#REF!</f>
        <v>#VALUE!:noResult:No valid cells found for operation.</v>
      </c>
      <c r="GW59" s="15" t="str">
        <f>AND(Trans!H882,"AAAAAG/m18w=")</f>
        <v>#VALUE!:noResult:No valid cells found for operation.</v>
      </c>
      <c r="GX59" s="15" t="str">
        <f>#REF!</f>
        <v>#VALUE!:noResult:No valid cells found for operation.</v>
      </c>
      <c r="GY59" s="15" t="str">
        <f>#REF!</f>
        <v>#VALUE!:noResult:No valid cells found for operation.</v>
      </c>
      <c r="GZ59" s="15" t="str">
        <f>#REF!</f>
        <v>#VALUE!:noResult:No valid cells found for operation.</v>
      </c>
      <c r="HA59" s="15" t="str">
        <f>#REF!</f>
        <v>#VALUE!:noResult:No valid cells found for operation.</v>
      </c>
      <c r="HB59" s="15" t="str">
        <f>#REF!</f>
        <v>#VALUE!:noResult:No valid cells found for operation.</v>
      </c>
      <c r="HC59" s="15" t="str">
        <f>#REF!</f>
        <v>#VALUE!:noResult:No valid cells found for operation.</v>
      </c>
      <c r="HD59" s="15">
        <f>IF(Trans!R[824],"AAAAAG/m19M=",0)</f>
        <v>0</v>
      </c>
      <c r="HE59" s="15" t="b">
        <f>AND(Trans!A883,"AAAAAG/m19Q=")</f>
        <v>1</v>
      </c>
      <c r="HF59" s="15" t="str">
        <f>AND(Trans!B883,"AAAAAG/m19U=")</f>
        <v>#VALUE!:noResult:No valid cells found for operation.</v>
      </c>
      <c r="HG59" s="15" t="b">
        <f>AND(Trans!C883,"AAAAAG/m19Y=")</f>
        <v>1</v>
      </c>
      <c r="HH59" s="15" t="b">
        <f>AND(Trans!D883,"AAAAAG/m19c=")</f>
        <v>1</v>
      </c>
      <c r="HI59" s="15" t="str">
        <f>AND(Trans!E883,"AAAAAG/m19g=")</f>
        <v>#VALUE!:noResult:No valid cells found for operation.</v>
      </c>
      <c r="HJ59" s="15" t="str">
        <f>AND(Trans!F883,"AAAAAG/m19k=")</f>
        <v>#VALUE!:noResult:No valid cells found for operation.</v>
      </c>
      <c r="HK59" s="15" t="str">
        <f>AND(Trans!G883,"AAAAAG/m19o=")</f>
        <v>#VALUE!:noResult:No valid cells found for operation.</v>
      </c>
      <c r="HL59" s="15" t="str">
        <f>#REF!</f>
        <v>#VALUE!:noResult:No valid cells found for operation.</v>
      </c>
      <c r="HM59" s="15" t="str">
        <f>AND(Trans!H883,"AAAAAG/m19w=")</f>
        <v>#VALUE!:noResult:No valid cells found for operation.</v>
      </c>
      <c r="HN59" s="15" t="str">
        <f>#REF!</f>
        <v>#VALUE!:noResult:No valid cells found for operation.</v>
      </c>
      <c r="HO59" s="15" t="str">
        <f>#REF!</f>
        <v>#VALUE!:noResult:No valid cells found for operation.</v>
      </c>
      <c r="HP59" s="15" t="str">
        <f>#REF!</f>
        <v>#VALUE!:noResult:No valid cells found for operation.</v>
      </c>
      <c r="HQ59" s="15" t="str">
        <f>#REF!</f>
        <v>#VALUE!:noResult:No valid cells found for operation.</v>
      </c>
      <c r="HR59" s="15" t="str">
        <f>#REF!</f>
        <v>#VALUE!:noResult:No valid cells found for operation.</v>
      </c>
      <c r="HS59" s="15" t="str">
        <f>#REF!</f>
        <v>#VALUE!:noResult:No valid cells found for operation.</v>
      </c>
      <c r="HT59" s="15">
        <f>IF(Trans!R[825],"AAAAAG/m1+M=",0)</f>
        <v>0</v>
      </c>
      <c r="HU59" s="15" t="b">
        <f>AND(Trans!A884,"AAAAAG/m1+Q=")</f>
        <v>1</v>
      </c>
      <c r="HV59" s="15" t="str">
        <f>AND(Trans!B884,"AAAAAG/m1+U=")</f>
        <v>#VALUE!:noResult:No valid cells found for operation.</v>
      </c>
      <c r="HW59" s="15" t="b">
        <f>AND(Trans!C884,"AAAAAG/m1+Y=")</f>
        <v>1</v>
      </c>
      <c r="HX59" s="15" t="b">
        <f>AND(Trans!D884,"AAAAAG/m1+c=")</f>
        <v>1</v>
      </c>
      <c r="HY59" s="15" t="str">
        <f>AND(Trans!E884,"AAAAAG/m1+g=")</f>
        <v>#VALUE!:noResult:No valid cells found for operation.</v>
      </c>
      <c r="HZ59" s="15" t="str">
        <f>AND(Trans!F884,"AAAAAG/m1+k=")</f>
        <v>#VALUE!:noResult:No valid cells found for operation.</v>
      </c>
      <c r="IA59" s="15" t="str">
        <f>AND(Trans!G884,"AAAAAG/m1+o=")</f>
        <v>#VALUE!:noResult:No valid cells found for operation.</v>
      </c>
      <c r="IB59" s="15" t="str">
        <f>#REF!</f>
        <v>#VALUE!:noResult:No valid cells found for operation.</v>
      </c>
      <c r="IC59" s="15" t="str">
        <f>AND(Trans!H884,"AAAAAG/m1+w=")</f>
        <v>#VALUE!:noResult:No valid cells found for operation.</v>
      </c>
      <c r="ID59" s="15" t="str">
        <f>#REF!</f>
        <v>#VALUE!:noResult:No valid cells found for operation.</v>
      </c>
      <c r="IE59" s="15" t="str">
        <f>#REF!</f>
        <v>#VALUE!:noResult:No valid cells found for operation.</v>
      </c>
      <c r="IF59" s="15" t="str">
        <f>#REF!</f>
        <v>#VALUE!:noResult:No valid cells found for operation.</v>
      </c>
      <c r="IG59" s="15" t="str">
        <f>#REF!</f>
        <v>#VALUE!:noResult:No valid cells found for operation.</v>
      </c>
      <c r="IH59" s="15" t="str">
        <f>#REF!</f>
        <v>#VALUE!:noResult:No valid cells found for operation.</v>
      </c>
      <c r="II59" s="15" t="str">
        <f>#REF!</f>
        <v>#VALUE!:noResult:No valid cells found for operation.</v>
      </c>
      <c r="IJ59" s="15">
        <f>IF(Trans!R[826],"AAAAAG/m1/M=",0)</f>
        <v>0</v>
      </c>
      <c r="IK59" s="15" t="b">
        <f>AND(Trans!A885,"AAAAAG/m1/Q=")</f>
        <v>1</v>
      </c>
      <c r="IL59" s="15" t="str">
        <f>AND(Trans!B885,"AAAAAG/m1/U=")</f>
        <v>#VALUE!:noResult:No valid cells found for operation.</v>
      </c>
      <c r="IM59" s="15" t="b">
        <f>AND(Trans!C885,"AAAAAG/m1/Y=")</f>
        <v>1</v>
      </c>
      <c r="IN59" s="15" t="b">
        <f>AND(Trans!D885,"AAAAAG/m1/c=")</f>
        <v>1</v>
      </c>
      <c r="IO59" s="15" t="str">
        <f>AND(Trans!E885,"AAAAAG/m1/g=")</f>
        <v>#VALUE!:noResult:No valid cells found for operation.</v>
      </c>
      <c r="IP59" s="15" t="str">
        <f>AND(Trans!F885,"AAAAAG/m1/k=")</f>
        <v>#VALUE!:noResult:No valid cells found for operation.</v>
      </c>
      <c r="IQ59" s="15" t="str">
        <f>AND(Trans!G885,"AAAAAG/m1/o=")</f>
        <v>#VALUE!:noResult:No valid cells found for operation.</v>
      </c>
      <c r="IR59" s="15" t="str">
        <f>#REF!</f>
        <v>#VALUE!:noResult:No valid cells found for operation.</v>
      </c>
      <c r="IS59" s="15" t="str">
        <f>AND(Trans!H885,"AAAAAG/m1/w=")</f>
        <v>#VALUE!:noResult:No valid cells found for operation.</v>
      </c>
      <c r="IT59" s="15" t="str">
        <f>#REF!</f>
        <v>#VALUE!:noResult:No valid cells found for operation.</v>
      </c>
      <c r="IU59" s="15" t="str">
        <f>#REF!</f>
        <v>#VALUE!:noResult:No valid cells found for operation.</v>
      </c>
      <c r="IV59" s="15" t="str">
        <f>#REF!</f>
        <v>#VALUE!:noResult:No valid cells found for operation.</v>
      </c>
    </row>
    <row r="60">
      <c r="A60" s="15" t="str">
        <f>#REF!</f>
        <v>#VALUE!:noResult:No valid cells found for operation.</v>
      </c>
      <c r="B60" s="15" t="str">
        <f>#REF!</f>
        <v>#VALUE!:noResult:No valid cells found for operation.</v>
      </c>
      <c r="C60" s="15" t="str">
        <f>#REF!</f>
        <v>#VALUE!:noResult:No valid cells found for operation.</v>
      </c>
      <c r="D60" s="15" t="str">
        <f>IF(Trans!R[826],"AAAAADy/fwM=",0)</f>
        <v>AAAAADy/fwM=</v>
      </c>
      <c r="E60" s="15" t="b">
        <f>AND(Trans!A886,"AAAAADy/fwQ=")</f>
        <v>1</v>
      </c>
      <c r="F60" s="15" t="str">
        <f>AND(Trans!B886,"AAAAADy/fwU=")</f>
        <v>#VALUE!:noResult:No valid cells found for operation.</v>
      </c>
      <c r="G60" s="15" t="b">
        <f>AND(Trans!C886,"AAAAADy/fwY=")</f>
        <v>1</v>
      </c>
      <c r="H60" s="15" t="b">
        <f>AND(Trans!D886,"AAAAADy/fwc=")</f>
        <v>1</v>
      </c>
      <c r="I60" s="15" t="str">
        <f>AND(Trans!E886,"AAAAADy/fwg=")</f>
        <v>#VALUE!:noResult:No valid cells found for operation.</v>
      </c>
      <c r="J60" s="15" t="str">
        <f>AND(Trans!F886,"AAAAADy/fwk=")</f>
        <v>#VALUE!:noResult:No valid cells found for operation.</v>
      </c>
      <c r="K60" s="15" t="str">
        <f>AND(Trans!G886,"AAAAADy/fwo=")</f>
        <v>#VALUE!:noResult:No valid cells found for operation.</v>
      </c>
      <c r="L60" s="15" t="str">
        <f>#REF!</f>
        <v>#VALUE!:noResult:No valid cells found for operation.</v>
      </c>
      <c r="M60" s="15" t="str">
        <f>AND(Trans!H886,"AAAAADy/fww=")</f>
        <v>#VALUE!:noResult:No valid cells found for operation.</v>
      </c>
      <c r="N60" s="15" t="str">
        <f>#REF!</f>
        <v>#VALUE!:noResult:No valid cells found for operation.</v>
      </c>
      <c r="O60" s="15" t="str">
        <f>#REF!</f>
        <v>#VALUE!:noResult:No valid cells found for operation.</v>
      </c>
      <c r="P60" s="15" t="str">
        <f>#REF!</f>
        <v>#VALUE!:noResult:No valid cells found for operation.</v>
      </c>
      <c r="Q60" s="15" t="str">
        <f>#REF!</f>
        <v>#VALUE!:noResult:No valid cells found for operation.</v>
      </c>
      <c r="R60" s="15" t="str">
        <f>#REF!</f>
        <v>#VALUE!:noResult:No valid cells found for operation.</v>
      </c>
      <c r="S60" s="15" t="str">
        <f>#REF!</f>
        <v>#VALUE!:noResult:No valid cells found for operation.</v>
      </c>
      <c r="T60" s="15">
        <f>IF(Trans!R[827],"AAAAADy/fxM=",0)</f>
        <v>0</v>
      </c>
      <c r="U60" s="15" t="b">
        <f>AND(Trans!A887,"AAAAADy/fxQ=")</f>
        <v>1</v>
      </c>
      <c r="V60" s="15" t="str">
        <f>AND(Trans!B887,"AAAAADy/fxU=")</f>
        <v>#VALUE!:noResult:No valid cells found for operation.</v>
      </c>
      <c r="W60" s="15" t="b">
        <f>AND(Trans!C887,"AAAAADy/fxY=")</f>
        <v>1</v>
      </c>
      <c r="X60" s="15" t="b">
        <f>AND(Trans!D887,"AAAAADy/fxc=")</f>
        <v>1</v>
      </c>
      <c r="Y60" s="15" t="str">
        <f>AND(Trans!E887,"AAAAADy/fxg=")</f>
        <v>#VALUE!:noResult:No valid cells found for operation.</v>
      </c>
      <c r="Z60" s="15" t="str">
        <f>AND(Trans!F887,"AAAAADy/fxk=")</f>
        <v>#VALUE!:noResult:No valid cells found for operation.</v>
      </c>
      <c r="AA60" s="15" t="str">
        <f>AND(Trans!G887,"AAAAADy/fxo=")</f>
        <v>#VALUE!:noResult:No valid cells found for operation.</v>
      </c>
      <c r="AB60" s="15" t="str">
        <f>#REF!</f>
        <v>#VALUE!:noResult:No valid cells found for operation.</v>
      </c>
      <c r="AC60" s="15" t="str">
        <f>AND(Trans!H887,"AAAAADy/fxw=")</f>
        <v>#VALUE!:noResult:No valid cells found for operation.</v>
      </c>
      <c r="AD60" s="15" t="str">
        <f>#REF!</f>
        <v>#VALUE!:noResult:No valid cells found for operation.</v>
      </c>
      <c r="AE60" s="15" t="str">
        <f>#REF!</f>
        <v>#VALUE!:noResult:No valid cells found for operation.</v>
      </c>
      <c r="AF60" s="15" t="str">
        <f>#REF!</f>
        <v>#VALUE!:noResult:No valid cells found for operation.</v>
      </c>
      <c r="AG60" s="15" t="str">
        <f>#REF!</f>
        <v>#VALUE!:noResult:No valid cells found for operation.</v>
      </c>
      <c r="AH60" s="15" t="str">
        <f>#REF!</f>
        <v>#VALUE!:noResult:No valid cells found for operation.</v>
      </c>
      <c r="AI60" s="15" t="str">
        <f>#REF!</f>
        <v>#VALUE!:noResult:No valid cells found for operation.</v>
      </c>
      <c r="AJ60" s="15">
        <f>IF(Trans!R[828],"AAAAADy/fyM=",0)</f>
        <v>0</v>
      </c>
      <c r="AK60" s="15" t="b">
        <f>AND(Trans!A888,"AAAAADy/fyQ=")</f>
        <v>1</v>
      </c>
      <c r="AL60" s="15" t="str">
        <f>AND(Trans!B888,"AAAAADy/fyU=")</f>
        <v>#VALUE!:noResult:No valid cells found for operation.</v>
      </c>
      <c r="AM60" s="15" t="b">
        <f>AND(Trans!C888,"AAAAADy/fyY=")</f>
        <v>1</v>
      </c>
      <c r="AN60" s="15" t="b">
        <f>AND(Trans!D888,"AAAAADy/fyc=")</f>
        <v>1</v>
      </c>
      <c r="AO60" s="15" t="str">
        <f>AND(Trans!E888,"AAAAADy/fyg=")</f>
        <v>#VALUE!:noResult:No valid cells found for operation.</v>
      </c>
      <c r="AP60" s="15" t="str">
        <f>AND(Trans!F888,"AAAAADy/fyk=")</f>
        <v>#VALUE!:noResult:No valid cells found for operation.</v>
      </c>
      <c r="AQ60" s="15" t="str">
        <f>AND(Trans!G888,"AAAAADy/fyo=")</f>
        <v>#VALUE!:noResult:No valid cells found for operation.</v>
      </c>
      <c r="AR60" s="15" t="str">
        <f>#REF!</f>
        <v>#VALUE!:noResult:No valid cells found for operation.</v>
      </c>
      <c r="AS60" s="15" t="str">
        <f>AND(Trans!H888,"AAAAADy/fyw=")</f>
        <v>#VALUE!:noResult:No valid cells found for operation.</v>
      </c>
      <c r="AT60" s="15" t="str">
        <f>#REF!</f>
        <v>#VALUE!:noResult:No valid cells found for operation.</v>
      </c>
      <c r="AU60" s="15" t="str">
        <f>#REF!</f>
        <v>#VALUE!:noResult:No valid cells found for operation.</v>
      </c>
      <c r="AV60" s="15" t="str">
        <f>#REF!</f>
        <v>#VALUE!:noResult:No valid cells found for operation.</v>
      </c>
      <c r="AW60" s="15" t="str">
        <f>#REF!</f>
        <v>#VALUE!:noResult:No valid cells found for operation.</v>
      </c>
      <c r="AX60" s="15" t="str">
        <f>#REF!</f>
        <v>#VALUE!:noResult:No valid cells found for operation.</v>
      </c>
      <c r="AY60" s="15" t="str">
        <f>#REF!</f>
        <v>#VALUE!:noResult:No valid cells found for operation.</v>
      </c>
      <c r="AZ60" s="15">
        <f>IF(Trans!R[829],"AAAAADy/fzM=",0)</f>
        <v>0</v>
      </c>
      <c r="BA60" s="15" t="b">
        <f>AND(Trans!A889,"AAAAADy/fzQ=")</f>
        <v>1</v>
      </c>
      <c r="BB60" s="15" t="str">
        <f>AND(Trans!B889,"AAAAADy/fzU=")</f>
        <v>#VALUE!:noResult:No valid cells found for operation.</v>
      </c>
      <c r="BC60" s="15" t="b">
        <f>AND(Trans!C889,"AAAAADy/fzY=")</f>
        <v>1</v>
      </c>
      <c r="BD60" s="15" t="b">
        <f>AND(Trans!D889,"AAAAADy/fzc=")</f>
        <v>1</v>
      </c>
      <c r="BE60" s="15" t="str">
        <f>AND(Trans!E889,"AAAAADy/fzg=")</f>
        <v>#VALUE!:noResult:No valid cells found for operation.</v>
      </c>
      <c r="BF60" s="15" t="str">
        <f>AND(Trans!F889,"AAAAADy/fzk=")</f>
        <v>#VALUE!:noResult:No valid cells found for operation.</v>
      </c>
      <c r="BG60" s="15" t="str">
        <f>AND(Trans!G889,"AAAAADy/fzo=")</f>
        <v>#VALUE!:noResult:No valid cells found for operation.</v>
      </c>
      <c r="BH60" s="15" t="str">
        <f>#REF!</f>
        <v>#VALUE!:noResult:No valid cells found for operation.</v>
      </c>
      <c r="BI60" s="15" t="str">
        <f>AND(Trans!H889,"AAAAADy/fzw=")</f>
        <v>#VALUE!:noResult:No valid cells found for operation.</v>
      </c>
      <c r="BJ60" s="15" t="str">
        <f>#REF!</f>
        <v>#VALUE!:noResult:No valid cells found for operation.</v>
      </c>
      <c r="BK60" s="15" t="str">
        <f>#REF!</f>
        <v>#VALUE!:noResult:No valid cells found for operation.</v>
      </c>
      <c r="BL60" s="15" t="str">
        <f>#REF!</f>
        <v>#VALUE!:noResult:No valid cells found for operation.</v>
      </c>
      <c r="BM60" s="15" t="str">
        <f>#REF!</f>
        <v>#VALUE!:noResult:No valid cells found for operation.</v>
      </c>
      <c r="BN60" s="15" t="str">
        <f>#REF!</f>
        <v>#VALUE!:noResult:No valid cells found for operation.</v>
      </c>
      <c r="BO60" s="15" t="str">
        <f>#REF!</f>
        <v>#VALUE!:noResult:No valid cells found for operation.</v>
      </c>
      <c r="BP60" s="15">
        <f>IF(Trans!R[830],"AAAAADy/f0M=",0)</f>
        <v>0</v>
      </c>
      <c r="BQ60" s="15" t="b">
        <f>AND(Trans!A890,"AAAAADy/f0Q=")</f>
        <v>1</v>
      </c>
      <c r="BR60" s="15" t="str">
        <f>AND(Trans!B890,"AAAAADy/f0U=")</f>
        <v>#VALUE!:noResult:No valid cells found for operation.</v>
      </c>
      <c r="BS60" s="15" t="b">
        <f>AND(Trans!C890,"AAAAADy/f0Y=")</f>
        <v>1</v>
      </c>
      <c r="BT60" s="15" t="b">
        <f>AND(Trans!D890,"AAAAADy/f0c=")</f>
        <v>1</v>
      </c>
      <c r="BU60" s="15" t="str">
        <f>AND(Trans!E890,"AAAAADy/f0g=")</f>
        <v>#VALUE!:noResult:No valid cells found for operation.</v>
      </c>
      <c r="BV60" s="15" t="str">
        <f>AND(Trans!F890,"AAAAADy/f0k=")</f>
        <v>#VALUE!:noResult:No valid cells found for operation.</v>
      </c>
      <c r="BW60" s="15" t="str">
        <f>AND(Trans!G890,"AAAAADy/f0o=")</f>
        <v>#VALUE!:noResult:No valid cells found for operation.</v>
      </c>
      <c r="BX60" s="15" t="str">
        <f>#REF!</f>
        <v>#VALUE!:noResult:No valid cells found for operation.</v>
      </c>
      <c r="BY60" s="15" t="str">
        <f>AND(Trans!H890,"AAAAADy/f0w=")</f>
        <v>#VALUE!:noResult:No valid cells found for operation.</v>
      </c>
      <c r="BZ60" s="15" t="str">
        <f>#REF!</f>
        <v>#VALUE!:noResult:No valid cells found for operation.</v>
      </c>
      <c r="CA60" s="15" t="str">
        <f>#REF!</f>
        <v>#VALUE!:noResult:No valid cells found for operation.</v>
      </c>
      <c r="CB60" s="15" t="str">
        <f>#REF!</f>
        <v>#VALUE!:noResult:No valid cells found for operation.</v>
      </c>
      <c r="CC60" s="15" t="str">
        <f>#REF!</f>
        <v>#VALUE!:noResult:No valid cells found for operation.</v>
      </c>
      <c r="CD60" s="15" t="str">
        <f>#REF!</f>
        <v>#VALUE!:noResult:No valid cells found for operation.</v>
      </c>
      <c r="CE60" s="15" t="str">
        <f>#REF!</f>
        <v>#VALUE!:noResult:No valid cells found for operation.</v>
      </c>
      <c r="CF60" s="15">
        <f>IF(Trans!R[831],"AAAAADy/f1M=",0)</f>
        <v>0</v>
      </c>
      <c r="CG60" s="15" t="b">
        <f>AND(Trans!A891,"AAAAADy/f1Q=")</f>
        <v>1</v>
      </c>
      <c r="CH60" s="15" t="str">
        <f>AND(Trans!B891,"AAAAADy/f1U=")</f>
        <v>#VALUE!:noResult:No valid cells found for operation.</v>
      </c>
      <c r="CI60" s="15" t="b">
        <f>AND(Trans!C891,"AAAAADy/f1Y=")</f>
        <v>1</v>
      </c>
      <c r="CJ60" s="15" t="b">
        <f>AND(Trans!D891,"AAAAADy/f1c=")</f>
        <v>1</v>
      </c>
      <c r="CK60" s="15" t="str">
        <f>AND(Trans!E891,"AAAAADy/f1g=")</f>
        <v>#VALUE!:noResult:No valid cells found for operation.</v>
      </c>
      <c r="CL60" s="15" t="str">
        <f>AND(Trans!F891,"AAAAADy/f1k=")</f>
        <v>#VALUE!:noResult:No valid cells found for operation.</v>
      </c>
      <c r="CM60" s="15" t="str">
        <f>AND(Trans!G891,"AAAAADy/f1o=")</f>
        <v>#VALUE!:noResult:No valid cells found for operation.</v>
      </c>
      <c r="CN60" s="15" t="str">
        <f>#REF!</f>
        <v>#VALUE!:noResult:No valid cells found for operation.</v>
      </c>
      <c r="CO60" s="15" t="str">
        <f>AND(Trans!H891,"AAAAADy/f1w=")</f>
        <v>#VALUE!:noResult:No valid cells found for operation.</v>
      </c>
      <c r="CP60" s="15" t="str">
        <f>#REF!</f>
        <v>#VALUE!:noResult:No valid cells found for operation.</v>
      </c>
      <c r="CQ60" s="15" t="str">
        <f>#REF!</f>
        <v>#VALUE!:noResult:No valid cells found for operation.</v>
      </c>
      <c r="CR60" s="15" t="str">
        <f>#REF!</f>
        <v>#VALUE!:noResult:No valid cells found for operation.</v>
      </c>
      <c r="CS60" s="15" t="str">
        <f>#REF!</f>
        <v>#VALUE!:noResult:No valid cells found for operation.</v>
      </c>
      <c r="CT60" s="15" t="str">
        <f>#REF!</f>
        <v>#VALUE!:noResult:No valid cells found for operation.</v>
      </c>
      <c r="CU60" s="15" t="str">
        <f>#REF!</f>
        <v>#VALUE!:noResult:No valid cells found for operation.</v>
      </c>
      <c r="CV60" s="15">
        <f>IF(Trans!R[832],"AAAAADy/f2M=",0)</f>
        <v>0</v>
      </c>
      <c r="CW60" s="15" t="b">
        <f>AND(Trans!A892,"AAAAADy/f2Q=")</f>
        <v>1</v>
      </c>
      <c r="CX60" s="15" t="str">
        <f>AND(Trans!B892,"AAAAADy/f2U=")</f>
        <v>#VALUE!:noResult:No valid cells found for operation.</v>
      </c>
      <c r="CY60" s="15" t="b">
        <f>AND(Trans!C892,"AAAAADy/f2Y=")</f>
        <v>1</v>
      </c>
      <c r="CZ60" s="15" t="b">
        <f>AND(Trans!D892,"AAAAADy/f2c=")</f>
        <v>1</v>
      </c>
      <c r="DA60" s="15" t="str">
        <f>AND(Trans!E892,"AAAAADy/f2g=")</f>
        <v>#VALUE!:noResult:No valid cells found for operation.</v>
      </c>
      <c r="DB60" s="15" t="str">
        <f>AND(Trans!F892,"AAAAADy/f2k=")</f>
        <v>#VALUE!:noResult:No valid cells found for operation.</v>
      </c>
      <c r="DC60" s="15" t="str">
        <f>AND(Trans!G892,"AAAAADy/f2o=")</f>
        <v>#VALUE!:noResult:No valid cells found for operation.</v>
      </c>
      <c r="DD60" s="15" t="str">
        <f>#REF!</f>
        <v>#VALUE!:noResult:No valid cells found for operation.</v>
      </c>
      <c r="DE60" s="15" t="str">
        <f>AND(Trans!H892,"AAAAADy/f2w=")</f>
        <v>#VALUE!:noResult:No valid cells found for operation.</v>
      </c>
      <c r="DF60" s="15" t="str">
        <f>#REF!</f>
        <v>#VALUE!:noResult:No valid cells found for operation.</v>
      </c>
      <c r="DG60" s="15" t="str">
        <f>#REF!</f>
        <v>#VALUE!:noResult:No valid cells found for operation.</v>
      </c>
      <c r="DH60" s="15" t="str">
        <f>#REF!</f>
        <v>#VALUE!:noResult:No valid cells found for operation.</v>
      </c>
      <c r="DI60" s="15" t="str">
        <f>#REF!</f>
        <v>#VALUE!:noResult:No valid cells found for operation.</v>
      </c>
      <c r="DJ60" s="15" t="str">
        <f>#REF!</f>
        <v>#VALUE!:noResult:No valid cells found for operation.</v>
      </c>
      <c r="DK60" s="15" t="str">
        <f>#REF!</f>
        <v>#VALUE!:noResult:No valid cells found for operation.</v>
      </c>
      <c r="DL60" s="15">
        <f>IF(Trans!R[833],"AAAAADy/f3M=",0)</f>
        <v>0</v>
      </c>
      <c r="DM60" s="15" t="b">
        <f>AND(Trans!A893,"AAAAADy/f3Q=")</f>
        <v>1</v>
      </c>
      <c r="DN60" s="15" t="str">
        <f>AND(Trans!B893,"AAAAADy/f3U=")</f>
        <v>#VALUE!:noResult:No valid cells found for operation.</v>
      </c>
      <c r="DO60" s="15" t="b">
        <f>AND(Trans!C893,"AAAAADy/f3Y=")</f>
        <v>1</v>
      </c>
      <c r="DP60" s="15" t="b">
        <f>AND(Trans!D893,"AAAAADy/f3c=")</f>
        <v>1</v>
      </c>
      <c r="DQ60" s="15" t="str">
        <f>AND(Trans!E893,"AAAAADy/f3g=")</f>
        <v>#VALUE!:noResult:No valid cells found for operation.</v>
      </c>
      <c r="DR60" s="15" t="str">
        <f>AND(Trans!F893,"AAAAADy/f3k=")</f>
        <v>#VALUE!:noResult:No valid cells found for operation.</v>
      </c>
      <c r="DS60" s="15" t="str">
        <f>AND(Trans!G893,"AAAAADy/f3o=")</f>
        <v>#VALUE!:noResult:No valid cells found for operation.</v>
      </c>
      <c r="DT60" s="15" t="str">
        <f>#REF!</f>
        <v>#VALUE!:noResult:No valid cells found for operation.</v>
      </c>
      <c r="DU60" s="15" t="str">
        <f>AND(Trans!H893,"AAAAADy/f3w=")</f>
        <v>#VALUE!:noResult:No valid cells found for operation.</v>
      </c>
      <c r="DV60" s="15" t="str">
        <f>#REF!</f>
        <v>#VALUE!:noResult:No valid cells found for operation.</v>
      </c>
      <c r="DW60" s="15" t="str">
        <f>#REF!</f>
        <v>#VALUE!:noResult:No valid cells found for operation.</v>
      </c>
      <c r="DX60" s="15" t="str">
        <f>#REF!</f>
        <v>#VALUE!:noResult:No valid cells found for operation.</v>
      </c>
      <c r="DY60" s="15" t="str">
        <f>#REF!</f>
        <v>#VALUE!:noResult:No valid cells found for operation.</v>
      </c>
      <c r="DZ60" s="15" t="str">
        <f>#REF!</f>
        <v>#VALUE!:noResult:No valid cells found for operation.</v>
      </c>
      <c r="EA60" s="15" t="str">
        <f>#REF!</f>
        <v>#VALUE!:noResult:No valid cells found for operation.</v>
      </c>
      <c r="EB60" s="15">
        <f>IF(Trans!R[834],"AAAAADy/f4M=",0)</f>
        <v>0</v>
      </c>
      <c r="EC60" s="15" t="b">
        <f>AND(Trans!A894,"AAAAADy/f4Q=")</f>
        <v>1</v>
      </c>
      <c r="ED60" s="15" t="str">
        <f>AND(Trans!B894,"AAAAADy/f4U=")</f>
        <v>#VALUE!:noResult:No valid cells found for operation.</v>
      </c>
      <c r="EE60" s="15" t="b">
        <f>AND(Trans!C894,"AAAAADy/f4Y=")</f>
        <v>1</v>
      </c>
      <c r="EF60" s="15" t="b">
        <f>AND(Trans!D894,"AAAAADy/f4c=")</f>
        <v>1</v>
      </c>
      <c r="EG60" s="15" t="str">
        <f>AND(Trans!E894,"AAAAADy/f4g=")</f>
        <v>#VALUE!:noResult:No valid cells found for operation.</v>
      </c>
      <c r="EH60" s="15" t="str">
        <f>AND(Trans!F894,"AAAAADy/f4k=")</f>
        <v>#VALUE!:noResult:No valid cells found for operation.</v>
      </c>
      <c r="EI60" s="15" t="str">
        <f>AND(Trans!G894,"AAAAADy/f4o=")</f>
        <v>#VALUE!:noResult:No valid cells found for operation.</v>
      </c>
      <c r="EJ60" s="15" t="str">
        <f>#REF!</f>
        <v>#VALUE!:noResult:No valid cells found for operation.</v>
      </c>
      <c r="EK60" s="15" t="str">
        <f>AND(Trans!H894,"AAAAADy/f4w=")</f>
        <v>#VALUE!:noResult:No valid cells found for operation.</v>
      </c>
      <c r="EL60" s="15" t="str">
        <f>#REF!</f>
        <v>#VALUE!:noResult:No valid cells found for operation.</v>
      </c>
      <c r="EM60" s="15" t="str">
        <f>#REF!</f>
        <v>#VALUE!:noResult:No valid cells found for operation.</v>
      </c>
      <c r="EN60" s="15" t="str">
        <f>#REF!</f>
        <v>#VALUE!:noResult:No valid cells found for operation.</v>
      </c>
      <c r="EO60" s="15" t="str">
        <f>#REF!</f>
        <v>#VALUE!:noResult:No valid cells found for operation.</v>
      </c>
      <c r="EP60" s="15" t="str">
        <f>#REF!</f>
        <v>#VALUE!:noResult:No valid cells found for operation.</v>
      </c>
      <c r="EQ60" s="15" t="str">
        <f>#REF!</f>
        <v>#VALUE!:noResult:No valid cells found for operation.</v>
      </c>
      <c r="ER60" s="15">
        <f>IF(Trans!R[835],"AAAAADy/f5M=",0)</f>
        <v>0</v>
      </c>
      <c r="ES60" s="15" t="b">
        <f>AND(Trans!A895,"AAAAADy/f5Q=")</f>
        <v>1</v>
      </c>
      <c r="ET60" s="15" t="str">
        <f>AND(Trans!B895,"AAAAADy/f5U=")</f>
        <v>#VALUE!:noResult:No valid cells found for operation.</v>
      </c>
      <c r="EU60" s="15" t="b">
        <f>AND(Trans!C895,"AAAAADy/f5Y=")</f>
        <v>1</v>
      </c>
      <c r="EV60" s="15" t="b">
        <f>AND(Trans!D895,"AAAAADy/f5c=")</f>
        <v>1</v>
      </c>
      <c r="EW60" s="15" t="str">
        <f>AND(Trans!E895,"AAAAADy/f5g=")</f>
        <v>#VALUE!:noResult:No valid cells found for operation.</v>
      </c>
      <c r="EX60" s="15" t="str">
        <f>AND(Trans!F895,"AAAAADy/f5k=")</f>
        <v>#VALUE!:noResult:No valid cells found for operation.</v>
      </c>
      <c r="EY60" s="15" t="str">
        <f>AND(Trans!G895,"AAAAADy/f5o=")</f>
        <v>#VALUE!:noResult:No valid cells found for operation.</v>
      </c>
      <c r="EZ60" s="15" t="str">
        <f>#REF!</f>
        <v>#VALUE!:noResult:No valid cells found for operation.</v>
      </c>
      <c r="FA60" s="15" t="str">
        <f>AND(Trans!H895,"AAAAADy/f5w=")</f>
        <v>#VALUE!:noResult:No valid cells found for operation.</v>
      </c>
      <c r="FB60" s="15" t="str">
        <f>#REF!</f>
        <v>#VALUE!:noResult:No valid cells found for operation.</v>
      </c>
      <c r="FC60" s="15" t="str">
        <f>#REF!</f>
        <v>#VALUE!:noResult:No valid cells found for operation.</v>
      </c>
      <c r="FD60" s="15" t="str">
        <f>#REF!</f>
        <v>#VALUE!:noResult:No valid cells found for operation.</v>
      </c>
      <c r="FE60" s="15" t="str">
        <f>#REF!</f>
        <v>#VALUE!:noResult:No valid cells found for operation.</v>
      </c>
      <c r="FF60" s="15" t="str">
        <f>#REF!</f>
        <v>#VALUE!:noResult:No valid cells found for operation.</v>
      </c>
      <c r="FG60" s="15" t="str">
        <f>#REF!</f>
        <v>#VALUE!:noResult:No valid cells found for operation.</v>
      </c>
      <c r="FH60" s="15">
        <f>IF(Trans!R[836],"AAAAADy/f6M=",0)</f>
        <v>0</v>
      </c>
      <c r="FI60" s="15" t="b">
        <f>AND(Trans!A896,"AAAAADy/f6Q=")</f>
        <v>1</v>
      </c>
      <c r="FJ60" s="15" t="str">
        <f>AND(Trans!B896,"AAAAADy/f6U=")</f>
        <v>#VALUE!:noResult:No valid cells found for operation.</v>
      </c>
      <c r="FK60" s="15" t="b">
        <f>AND(Trans!C896,"AAAAADy/f6Y=")</f>
        <v>1</v>
      </c>
      <c r="FL60" s="15" t="b">
        <f>AND(Trans!D896,"AAAAADy/f6c=")</f>
        <v>1</v>
      </c>
      <c r="FM60" s="15" t="str">
        <f>AND(Trans!E896,"AAAAADy/f6g=")</f>
        <v>#VALUE!:noResult:No valid cells found for operation.</v>
      </c>
      <c r="FN60" s="15" t="str">
        <f>AND(Trans!F896,"AAAAADy/f6k=")</f>
        <v>#VALUE!:noResult:No valid cells found for operation.</v>
      </c>
      <c r="FO60" s="15" t="str">
        <f>AND(Trans!G896,"AAAAADy/f6o=")</f>
        <v>#VALUE!:noResult:No valid cells found for operation.</v>
      </c>
      <c r="FP60" s="15" t="str">
        <f>#REF!</f>
        <v>#VALUE!:noResult:No valid cells found for operation.</v>
      </c>
      <c r="FQ60" s="15" t="str">
        <f>AND(Trans!H896,"AAAAADy/f6w=")</f>
        <v>#VALUE!:noResult:No valid cells found for operation.</v>
      </c>
      <c r="FR60" s="15" t="str">
        <f>#REF!</f>
        <v>#VALUE!:noResult:No valid cells found for operation.</v>
      </c>
      <c r="FS60" s="15" t="str">
        <f>#REF!</f>
        <v>#VALUE!:noResult:No valid cells found for operation.</v>
      </c>
      <c r="FT60" s="15" t="str">
        <f>#REF!</f>
        <v>#VALUE!:noResult:No valid cells found for operation.</v>
      </c>
      <c r="FU60" s="15" t="str">
        <f>#REF!</f>
        <v>#VALUE!:noResult:No valid cells found for operation.</v>
      </c>
      <c r="FV60" s="15" t="str">
        <f>#REF!</f>
        <v>#VALUE!:noResult:No valid cells found for operation.</v>
      </c>
      <c r="FW60" s="15" t="str">
        <f>#REF!</f>
        <v>#VALUE!:noResult:No valid cells found for operation.</v>
      </c>
      <c r="FX60" s="15">
        <f>IF(Trans!R[837],"AAAAADy/f7M=",0)</f>
        <v>0</v>
      </c>
      <c r="FY60" s="15" t="b">
        <f>AND(Trans!A897,"AAAAADy/f7Q=")</f>
        <v>1</v>
      </c>
      <c r="FZ60" s="15" t="str">
        <f>AND(Trans!B897,"AAAAADy/f7U=")</f>
        <v>#VALUE!:noResult:No valid cells found for operation.</v>
      </c>
      <c r="GA60" s="15" t="b">
        <f>AND(Trans!C897,"AAAAADy/f7Y=")</f>
        <v>1</v>
      </c>
      <c r="GB60" s="15" t="b">
        <f>AND(Trans!D897,"AAAAADy/f7c=")</f>
        <v>1</v>
      </c>
      <c r="GC60" s="15" t="str">
        <f>AND(Trans!E897,"AAAAADy/f7g=")</f>
        <v>#VALUE!:noResult:No valid cells found for operation.</v>
      </c>
      <c r="GD60" s="15" t="str">
        <f>AND(Trans!F897,"AAAAADy/f7k=")</f>
        <v>#VALUE!:noResult:No valid cells found for operation.</v>
      </c>
      <c r="GE60" s="15" t="str">
        <f>AND(Trans!G897,"AAAAADy/f7o=")</f>
        <v>#VALUE!:noResult:No valid cells found for operation.</v>
      </c>
      <c r="GF60" s="15" t="str">
        <f>#REF!</f>
        <v>#VALUE!:noResult:No valid cells found for operation.</v>
      </c>
      <c r="GG60" s="15" t="str">
        <f>AND(Trans!H897,"AAAAADy/f7w=")</f>
        <v>#VALUE!:noResult:No valid cells found for operation.</v>
      </c>
      <c r="GH60" s="15" t="str">
        <f>#REF!</f>
        <v>#VALUE!:noResult:No valid cells found for operation.</v>
      </c>
      <c r="GI60" s="15" t="str">
        <f>#REF!</f>
        <v>#VALUE!:noResult:No valid cells found for operation.</v>
      </c>
      <c r="GJ60" s="15" t="str">
        <f>#REF!</f>
        <v>#VALUE!:noResult:No valid cells found for operation.</v>
      </c>
      <c r="GK60" s="15" t="str">
        <f>#REF!</f>
        <v>#VALUE!:noResult:No valid cells found for operation.</v>
      </c>
      <c r="GL60" s="15" t="str">
        <f>#REF!</f>
        <v>#VALUE!:noResult:No valid cells found for operation.</v>
      </c>
      <c r="GM60" s="15" t="str">
        <f>#REF!</f>
        <v>#VALUE!:noResult:No valid cells found for operation.</v>
      </c>
      <c r="GN60" s="15">
        <f>IF(Trans!R[838],"AAAAADy/f8M=",0)</f>
        <v>0</v>
      </c>
      <c r="GO60" s="15" t="b">
        <f>AND(Trans!A898,"AAAAADy/f8Q=")</f>
        <v>1</v>
      </c>
      <c r="GP60" s="15" t="str">
        <f>AND(Trans!B898,"AAAAADy/f8U=")</f>
        <v>#VALUE!:noResult:No valid cells found for operation.</v>
      </c>
      <c r="GQ60" s="15" t="b">
        <f>AND(Trans!C898,"AAAAADy/f8Y=")</f>
        <v>1</v>
      </c>
      <c r="GR60" s="15" t="b">
        <f>AND(Trans!D898,"AAAAADy/f8c=")</f>
        <v>1</v>
      </c>
      <c r="GS60" s="15" t="str">
        <f>AND(Trans!E898,"AAAAADy/f8g=")</f>
        <v>#VALUE!:noResult:No valid cells found for operation.</v>
      </c>
      <c r="GT60" s="15" t="str">
        <f>AND(Trans!F898,"AAAAADy/f8k=")</f>
        <v>#VALUE!:noResult:No valid cells found for operation.</v>
      </c>
      <c r="GU60" s="15" t="str">
        <f>AND(Trans!G898,"AAAAADy/f8o=")</f>
        <v>#VALUE!:noResult:No valid cells found for operation.</v>
      </c>
      <c r="GV60" s="15" t="str">
        <f>#REF!</f>
        <v>#VALUE!:noResult:No valid cells found for operation.</v>
      </c>
      <c r="GW60" s="15" t="str">
        <f>AND(Trans!H898,"AAAAADy/f8w=")</f>
        <v>#VALUE!:noResult:No valid cells found for operation.</v>
      </c>
      <c r="GX60" s="15" t="str">
        <f>#REF!</f>
        <v>#VALUE!:noResult:No valid cells found for operation.</v>
      </c>
      <c r="GY60" s="15" t="str">
        <f>#REF!</f>
        <v>#VALUE!:noResult:No valid cells found for operation.</v>
      </c>
      <c r="GZ60" s="15" t="str">
        <f>#REF!</f>
        <v>#VALUE!:noResult:No valid cells found for operation.</v>
      </c>
      <c r="HA60" s="15" t="str">
        <f>#REF!</f>
        <v>#VALUE!:noResult:No valid cells found for operation.</v>
      </c>
      <c r="HB60" s="15" t="str">
        <f>#REF!</f>
        <v>#VALUE!:noResult:No valid cells found for operation.</v>
      </c>
      <c r="HC60" s="15" t="str">
        <f>#REF!</f>
        <v>#VALUE!:noResult:No valid cells found for operation.</v>
      </c>
      <c r="HD60" s="15">
        <f>IF(Trans!R[839],"AAAAADy/f9M=",0)</f>
        <v>0</v>
      </c>
      <c r="HE60" s="15" t="b">
        <f>AND(Trans!A899,"AAAAADy/f9Q=")</f>
        <v>1</v>
      </c>
      <c r="HF60" s="15" t="str">
        <f>AND(Trans!B899,"AAAAADy/f9U=")</f>
        <v>#VALUE!:noResult:No valid cells found for operation.</v>
      </c>
      <c r="HG60" s="15" t="b">
        <f>AND(Trans!C899,"AAAAADy/f9Y=")</f>
        <v>1</v>
      </c>
      <c r="HH60" s="15" t="b">
        <f>AND(Trans!D899,"AAAAADy/f9c=")</f>
        <v>1</v>
      </c>
      <c r="HI60" s="15" t="str">
        <f>AND(Trans!E899,"AAAAADy/f9g=")</f>
        <v>#VALUE!:noResult:No valid cells found for operation.</v>
      </c>
      <c r="HJ60" s="15" t="str">
        <f>AND(Trans!F899,"AAAAADy/f9k=")</f>
        <v>#VALUE!:noResult:No valid cells found for operation.</v>
      </c>
      <c r="HK60" s="15" t="str">
        <f>AND(Trans!G899,"AAAAADy/f9o=")</f>
        <v>#VALUE!:noResult:No valid cells found for operation.</v>
      </c>
      <c r="HL60" s="15" t="str">
        <f>#REF!</f>
        <v>#VALUE!:noResult:No valid cells found for operation.</v>
      </c>
      <c r="HM60" s="15" t="str">
        <f>AND(Trans!H899,"AAAAADy/f9w=")</f>
        <v>#VALUE!:noResult:No valid cells found for operation.</v>
      </c>
      <c r="HN60" s="15" t="str">
        <f>#REF!</f>
        <v>#VALUE!:noResult:No valid cells found for operation.</v>
      </c>
      <c r="HO60" s="15" t="str">
        <f>#REF!</f>
        <v>#VALUE!:noResult:No valid cells found for operation.</v>
      </c>
      <c r="HP60" s="15" t="str">
        <f>#REF!</f>
        <v>#VALUE!:noResult:No valid cells found for operation.</v>
      </c>
      <c r="HQ60" s="15" t="str">
        <f>#REF!</f>
        <v>#VALUE!:noResult:No valid cells found for operation.</v>
      </c>
      <c r="HR60" s="15" t="str">
        <f>#REF!</f>
        <v>#VALUE!:noResult:No valid cells found for operation.</v>
      </c>
      <c r="HS60" s="15" t="str">
        <f>#REF!</f>
        <v>#VALUE!:noResult:No valid cells found for operation.</v>
      </c>
      <c r="HT60" s="15">
        <f>IF(Trans!R[840],"AAAAADy/f+M=",0)</f>
        <v>0</v>
      </c>
      <c r="HU60" s="15" t="b">
        <f>AND(Trans!A900,"AAAAADy/f+Q=")</f>
        <v>1</v>
      </c>
      <c r="HV60" s="15" t="str">
        <f>AND(Trans!B900,"AAAAADy/f+U=")</f>
        <v>#VALUE!:noResult:No valid cells found for operation.</v>
      </c>
      <c r="HW60" s="15" t="b">
        <f>AND(Trans!C900,"AAAAADy/f+Y=")</f>
        <v>1</v>
      </c>
      <c r="HX60" s="15" t="b">
        <f>AND(Trans!D900,"AAAAADy/f+c=")</f>
        <v>1</v>
      </c>
      <c r="HY60" s="15" t="str">
        <f>AND(Trans!E900,"AAAAADy/f+g=")</f>
        <v>#VALUE!:noResult:No valid cells found for operation.</v>
      </c>
      <c r="HZ60" s="15" t="str">
        <f>AND(Trans!F900,"AAAAADy/f+k=")</f>
        <v>#VALUE!:noResult:No valid cells found for operation.</v>
      </c>
      <c r="IA60" s="15" t="str">
        <f>AND(Trans!G900,"AAAAADy/f+o=")</f>
        <v>#VALUE!:noResult:No valid cells found for operation.</v>
      </c>
      <c r="IB60" s="15" t="str">
        <f>#REF!</f>
        <v>#VALUE!:noResult:No valid cells found for operation.</v>
      </c>
      <c r="IC60" s="15" t="str">
        <f>AND(Trans!H900,"AAAAADy/f+w=")</f>
        <v>#VALUE!:noResult:No valid cells found for operation.</v>
      </c>
      <c r="ID60" s="15" t="str">
        <f>#REF!</f>
        <v>#VALUE!:noResult:No valid cells found for operation.</v>
      </c>
      <c r="IE60" s="15" t="str">
        <f>#REF!</f>
        <v>#VALUE!:noResult:No valid cells found for operation.</v>
      </c>
      <c r="IF60" s="15" t="str">
        <f>#REF!</f>
        <v>#VALUE!:noResult:No valid cells found for operation.</v>
      </c>
      <c r="IG60" s="15" t="str">
        <f>#REF!</f>
        <v>#VALUE!:noResult:No valid cells found for operation.</v>
      </c>
      <c r="IH60" s="15" t="str">
        <f>#REF!</f>
        <v>#VALUE!:noResult:No valid cells found for operation.</v>
      </c>
      <c r="II60" s="15" t="str">
        <f>#REF!</f>
        <v>#VALUE!:noResult:No valid cells found for operation.</v>
      </c>
      <c r="IJ60" s="15">
        <f>IF(Trans!R[841],"AAAAADy/f/M=",0)</f>
        <v>0</v>
      </c>
      <c r="IK60" s="15" t="b">
        <f>AND(Trans!A901,"AAAAADy/f/Q=")</f>
        <v>1</v>
      </c>
      <c r="IL60" s="15" t="str">
        <f>AND(Trans!B901,"AAAAADy/f/U=")</f>
        <v>#VALUE!:noResult:No valid cells found for operation.</v>
      </c>
      <c r="IM60" s="15" t="b">
        <f>AND(Trans!C901,"AAAAADy/f/Y=")</f>
        <v>1</v>
      </c>
      <c r="IN60" s="15" t="b">
        <f>AND(Trans!D901,"AAAAADy/f/c=")</f>
        <v>1</v>
      </c>
      <c r="IO60" s="15" t="str">
        <f>AND(Trans!E901,"AAAAADy/f/g=")</f>
        <v>#VALUE!:noResult:No valid cells found for operation.</v>
      </c>
      <c r="IP60" s="15" t="str">
        <f>AND(Trans!F901,"AAAAADy/f/k=")</f>
        <v>#VALUE!:noResult:No valid cells found for operation.</v>
      </c>
      <c r="IQ60" s="15" t="str">
        <f>AND(Trans!G901,"AAAAADy/f/o=")</f>
        <v>#VALUE!:noResult:No valid cells found for operation.</v>
      </c>
      <c r="IR60" s="15" t="str">
        <f>#REF!</f>
        <v>#VALUE!:noResult:No valid cells found for operation.</v>
      </c>
      <c r="IS60" s="15" t="str">
        <f>AND(Trans!H901,"AAAAADy/f/w=")</f>
        <v>#VALUE!:noResult:No valid cells found for operation.</v>
      </c>
      <c r="IT60" s="15" t="str">
        <f>#REF!</f>
        <v>#VALUE!:noResult:No valid cells found for operation.</v>
      </c>
      <c r="IU60" s="15" t="str">
        <f>#REF!</f>
        <v>#VALUE!:noResult:No valid cells found for operation.</v>
      </c>
      <c r="IV60" s="15" t="str">
        <f>#REF!</f>
        <v>#VALUE!:noResult:No valid cells found for operation.</v>
      </c>
    </row>
    <row r="61">
      <c r="A61" s="15" t="str">
        <f>#REF!</f>
        <v>#VALUE!:noResult:No valid cells found for operation.</v>
      </c>
      <c r="B61" s="15" t="str">
        <f>#REF!</f>
        <v>#VALUE!:noResult:No valid cells found for operation.</v>
      </c>
      <c r="C61" s="15" t="str">
        <f>#REF!</f>
        <v>#VALUE!:noResult:No valid cells found for operation.</v>
      </c>
      <c r="D61" s="15" t="str">
        <f>IF(Trans!R[841],"AAAAAFm/9wM=",0)</f>
        <v>AAAAAFm/9wM=</v>
      </c>
      <c r="E61" s="15" t="b">
        <f>AND(Trans!A902,"AAAAAFm/9wQ=")</f>
        <v>1</v>
      </c>
      <c r="F61" s="15" t="str">
        <f>AND(Trans!B902,"AAAAAFm/9wU=")</f>
        <v>#VALUE!:noResult:No valid cells found for operation.</v>
      </c>
      <c r="G61" s="15" t="b">
        <f>AND(Trans!C902,"AAAAAFm/9wY=")</f>
        <v>1</v>
      </c>
      <c r="H61" s="15" t="b">
        <f>AND(Trans!D902,"AAAAAFm/9wc=")</f>
        <v>1</v>
      </c>
      <c r="I61" s="15" t="str">
        <f>AND(Trans!E902,"AAAAAFm/9wg=")</f>
        <v>#VALUE!:noResult:No valid cells found for operation.</v>
      </c>
      <c r="J61" s="15" t="str">
        <f>AND(Trans!F902,"AAAAAFm/9wk=")</f>
        <v>#VALUE!:noResult:No valid cells found for operation.</v>
      </c>
      <c r="K61" s="15" t="str">
        <f>AND(Trans!G902,"AAAAAFm/9wo=")</f>
        <v>#VALUE!:noResult:No valid cells found for operation.</v>
      </c>
      <c r="L61" s="15" t="str">
        <f>#REF!</f>
        <v>#VALUE!:noResult:No valid cells found for operation.</v>
      </c>
      <c r="M61" s="15" t="str">
        <f>AND(Trans!H902,"AAAAAFm/9ww=")</f>
        <v>#VALUE!:noResult:No valid cells found for operation.</v>
      </c>
      <c r="N61" s="15" t="str">
        <f>#REF!</f>
        <v>#VALUE!:noResult:No valid cells found for operation.</v>
      </c>
      <c r="O61" s="15" t="str">
        <f>#REF!</f>
        <v>#VALUE!:noResult:No valid cells found for operation.</v>
      </c>
      <c r="P61" s="15" t="str">
        <f>#REF!</f>
        <v>#VALUE!:noResult:No valid cells found for operation.</v>
      </c>
      <c r="Q61" s="15" t="str">
        <f>#REF!</f>
        <v>#VALUE!:noResult:No valid cells found for operation.</v>
      </c>
      <c r="R61" s="15" t="str">
        <f>#REF!</f>
        <v>#VALUE!:noResult:No valid cells found for operation.</v>
      </c>
      <c r="S61" s="15" t="str">
        <f>#REF!</f>
        <v>#VALUE!:noResult:No valid cells found for operation.</v>
      </c>
      <c r="T61" s="15">
        <f>IF(Trans!R[842],"AAAAAFm/9xM=",0)</f>
        <v>0</v>
      </c>
      <c r="U61" s="15" t="b">
        <f>AND(Trans!A903,"AAAAAFm/9xQ=")</f>
        <v>1</v>
      </c>
      <c r="V61" s="15" t="str">
        <f>AND(Trans!B903,"AAAAAFm/9xU=")</f>
        <v>#VALUE!:noResult:No valid cells found for operation.</v>
      </c>
      <c r="W61" s="15" t="b">
        <f>AND(Trans!C903,"AAAAAFm/9xY=")</f>
        <v>1</v>
      </c>
      <c r="X61" s="15" t="b">
        <f>AND(Trans!D903,"AAAAAFm/9xc=")</f>
        <v>1</v>
      </c>
      <c r="Y61" s="15" t="str">
        <f>AND(Trans!E903,"AAAAAFm/9xg=")</f>
        <v>#VALUE!:noResult:No valid cells found for operation.</v>
      </c>
      <c r="Z61" s="15" t="str">
        <f>AND(Trans!F903,"AAAAAFm/9xk=")</f>
        <v>#VALUE!:noResult:No valid cells found for operation.</v>
      </c>
      <c r="AA61" s="15" t="str">
        <f>AND(Trans!G903,"AAAAAFm/9xo=")</f>
        <v>#VALUE!:noResult:No valid cells found for operation.</v>
      </c>
      <c r="AB61" s="15" t="str">
        <f>#REF!</f>
        <v>#VALUE!:noResult:No valid cells found for operation.</v>
      </c>
      <c r="AC61" s="15" t="str">
        <f>AND(Trans!H903,"AAAAAFm/9xw=")</f>
        <v>#VALUE!:noResult:No valid cells found for operation.</v>
      </c>
      <c r="AD61" s="15" t="str">
        <f>#REF!</f>
        <v>#VALUE!:noResult:No valid cells found for operation.</v>
      </c>
      <c r="AE61" s="15" t="str">
        <f>#REF!</f>
        <v>#VALUE!:noResult:No valid cells found for operation.</v>
      </c>
      <c r="AF61" s="15" t="str">
        <f>#REF!</f>
        <v>#VALUE!:noResult:No valid cells found for operation.</v>
      </c>
      <c r="AG61" s="15" t="str">
        <f>#REF!</f>
        <v>#VALUE!:noResult:No valid cells found for operation.</v>
      </c>
      <c r="AH61" s="15" t="str">
        <f>#REF!</f>
        <v>#VALUE!:noResult:No valid cells found for operation.</v>
      </c>
      <c r="AI61" s="15" t="str">
        <f>#REF!</f>
        <v>#VALUE!:noResult:No valid cells found for operation.</v>
      </c>
      <c r="AJ61" s="15">
        <f>IF(Trans!R[843],"AAAAAFm/9yM=",0)</f>
        <v>0</v>
      </c>
      <c r="AK61" s="15" t="b">
        <f>AND(Trans!A904,"AAAAAFm/9yQ=")</f>
        <v>1</v>
      </c>
      <c r="AL61" s="15" t="str">
        <f>AND(Trans!B904,"AAAAAFm/9yU=")</f>
        <v>#VALUE!:noResult:No valid cells found for operation.</v>
      </c>
      <c r="AM61" s="15" t="b">
        <f>AND(Trans!C904,"AAAAAFm/9yY=")</f>
        <v>1</v>
      </c>
      <c r="AN61" s="15" t="b">
        <f>AND(Trans!D904,"AAAAAFm/9yc=")</f>
        <v>1</v>
      </c>
      <c r="AO61" s="15" t="str">
        <f>AND(Trans!E904,"AAAAAFm/9yg=")</f>
        <v>#VALUE!:noResult:No valid cells found for operation.</v>
      </c>
      <c r="AP61" s="15" t="str">
        <f>AND(Trans!F904,"AAAAAFm/9yk=")</f>
        <v>#VALUE!:noResult:No valid cells found for operation.</v>
      </c>
      <c r="AQ61" s="15" t="str">
        <f>AND(Trans!G904,"AAAAAFm/9yo=")</f>
        <v>#VALUE!:noResult:No valid cells found for operation.</v>
      </c>
      <c r="AR61" s="15" t="str">
        <f>#REF!</f>
        <v>#VALUE!:noResult:No valid cells found for operation.</v>
      </c>
      <c r="AS61" s="15" t="str">
        <f>AND(Trans!H904,"AAAAAFm/9yw=")</f>
        <v>#VALUE!:noResult:No valid cells found for operation.</v>
      </c>
      <c r="AT61" s="15" t="str">
        <f>#REF!</f>
        <v>#VALUE!:noResult:No valid cells found for operation.</v>
      </c>
      <c r="AU61" s="15" t="str">
        <f>#REF!</f>
        <v>#VALUE!:noResult:No valid cells found for operation.</v>
      </c>
      <c r="AV61" s="15" t="str">
        <f>#REF!</f>
        <v>#VALUE!:noResult:No valid cells found for operation.</v>
      </c>
      <c r="AW61" s="15" t="str">
        <f>#REF!</f>
        <v>#VALUE!:noResult:No valid cells found for operation.</v>
      </c>
      <c r="AX61" s="15" t="str">
        <f>#REF!</f>
        <v>#VALUE!:noResult:No valid cells found for operation.</v>
      </c>
      <c r="AY61" s="15" t="str">
        <f>#REF!</f>
        <v>#VALUE!:noResult:No valid cells found for operation.</v>
      </c>
      <c r="AZ61" s="15">
        <f>IF(Trans!R[844],"AAAAAFm/9zM=",0)</f>
        <v>0</v>
      </c>
      <c r="BA61" s="15" t="b">
        <f>AND(Trans!A905,"AAAAAFm/9zQ=")</f>
        <v>1</v>
      </c>
      <c r="BB61" s="15" t="str">
        <f>AND(Trans!B905,"AAAAAFm/9zU=")</f>
        <v>#VALUE!:noResult:No valid cells found for operation.</v>
      </c>
      <c r="BC61" s="15" t="b">
        <f>AND(Trans!C905,"AAAAAFm/9zY=")</f>
        <v>1</v>
      </c>
      <c r="BD61" s="15" t="b">
        <f>AND(Trans!D905,"AAAAAFm/9zc=")</f>
        <v>1</v>
      </c>
      <c r="BE61" s="15" t="str">
        <f>AND(Trans!E905,"AAAAAFm/9zg=")</f>
        <v>#VALUE!:noResult:No valid cells found for operation.</v>
      </c>
      <c r="BF61" s="15" t="str">
        <f>AND(Trans!F905,"AAAAAFm/9zk=")</f>
        <v>#VALUE!:noResult:No valid cells found for operation.</v>
      </c>
      <c r="BG61" s="15" t="str">
        <f>AND(Trans!G905,"AAAAAFm/9zo=")</f>
        <v>#VALUE!:noResult:No valid cells found for operation.</v>
      </c>
      <c r="BH61" s="15" t="str">
        <f>#REF!</f>
        <v>#VALUE!:noResult:No valid cells found for operation.</v>
      </c>
      <c r="BI61" s="15" t="str">
        <f>AND(Trans!H905,"AAAAAFm/9zw=")</f>
        <v>#VALUE!:noResult:No valid cells found for operation.</v>
      </c>
      <c r="BJ61" s="15" t="str">
        <f>#REF!</f>
        <v>#VALUE!:noResult:No valid cells found for operation.</v>
      </c>
      <c r="BK61" s="15" t="str">
        <f>#REF!</f>
        <v>#VALUE!:noResult:No valid cells found for operation.</v>
      </c>
      <c r="BL61" s="15" t="str">
        <f>#REF!</f>
        <v>#VALUE!:noResult:No valid cells found for operation.</v>
      </c>
      <c r="BM61" s="15" t="str">
        <f>#REF!</f>
        <v>#VALUE!:noResult:No valid cells found for operation.</v>
      </c>
      <c r="BN61" s="15" t="str">
        <f>#REF!</f>
        <v>#VALUE!:noResult:No valid cells found for operation.</v>
      </c>
      <c r="BO61" s="15" t="str">
        <f>#REF!</f>
        <v>#VALUE!:noResult:No valid cells found for operation.</v>
      </c>
      <c r="BP61" s="15">
        <f>IF(Trans!R[845],"AAAAAFm/90M=",0)</f>
        <v>0</v>
      </c>
      <c r="BQ61" s="15" t="b">
        <f>AND(Trans!A906,"AAAAAFm/90Q=")</f>
        <v>1</v>
      </c>
      <c r="BR61" s="15" t="str">
        <f>AND(Trans!B906,"AAAAAFm/90U=")</f>
        <v>#VALUE!:noResult:No valid cells found for operation.</v>
      </c>
      <c r="BS61" s="15" t="b">
        <f>AND(Trans!C906,"AAAAAFm/90Y=")</f>
        <v>1</v>
      </c>
      <c r="BT61" s="15" t="b">
        <f>AND(Trans!D906,"AAAAAFm/90c=")</f>
        <v>1</v>
      </c>
      <c r="BU61" s="15" t="str">
        <f>AND(Trans!E906,"AAAAAFm/90g=")</f>
        <v>#VALUE!:noResult:No valid cells found for operation.</v>
      </c>
      <c r="BV61" s="15" t="str">
        <f>AND(Trans!F906,"AAAAAFm/90k=")</f>
        <v>#VALUE!:noResult:No valid cells found for operation.</v>
      </c>
      <c r="BW61" s="15" t="str">
        <f>AND(Trans!G906,"AAAAAFm/90o=")</f>
        <v>#VALUE!:noResult:No valid cells found for operation.</v>
      </c>
      <c r="BX61" s="15" t="str">
        <f>#REF!</f>
        <v>#VALUE!:noResult:No valid cells found for operation.</v>
      </c>
      <c r="BY61" s="15" t="str">
        <f>AND(Trans!H906,"AAAAAFm/90w=")</f>
        <v>#VALUE!:noResult:No valid cells found for operation.</v>
      </c>
      <c r="BZ61" s="15" t="str">
        <f>#REF!</f>
        <v>#VALUE!:noResult:No valid cells found for operation.</v>
      </c>
      <c r="CA61" s="15" t="str">
        <f>#REF!</f>
        <v>#VALUE!:noResult:No valid cells found for operation.</v>
      </c>
      <c r="CB61" s="15" t="str">
        <f>#REF!</f>
        <v>#VALUE!:noResult:No valid cells found for operation.</v>
      </c>
      <c r="CC61" s="15" t="str">
        <f>#REF!</f>
        <v>#VALUE!:noResult:No valid cells found for operation.</v>
      </c>
      <c r="CD61" s="15" t="str">
        <f>#REF!</f>
        <v>#VALUE!:noResult:No valid cells found for operation.</v>
      </c>
      <c r="CE61" s="15" t="str">
        <f>#REF!</f>
        <v>#VALUE!:noResult:No valid cells found for operation.</v>
      </c>
      <c r="CF61" s="15">
        <f>IF(Trans!R[846],"AAAAAFm/91M=",0)</f>
        <v>0</v>
      </c>
      <c r="CG61" s="15" t="b">
        <f>AND(Trans!A907,"AAAAAFm/91Q=")</f>
        <v>1</v>
      </c>
      <c r="CH61" s="15" t="str">
        <f>AND(Trans!B907,"AAAAAFm/91U=")</f>
        <v>#VALUE!:noResult:No valid cells found for operation.</v>
      </c>
      <c r="CI61" s="15" t="b">
        <f>AND(Trans!C907,"AAAAAFm/91Y=")</f>
        <v>1</v>
      </c>
      <c r="CJ61" s="15" t="b">
        <f>AND(Trans!D907,"AAAAAFm/91c=")</f>
        <v>1</v>
      </c>
      <c r="CK61" s="15" t="str">
        <f>AND(Trans!E907,"AAAAAFm/91g=")</f>
        <v>#VALUE!:noResult:No valid cells found for operation.</v>
      </c>
      <c r="CL61" s="15" t="str">
        <f>AND(Trans!F907,"AAAAAFm/91k=")</f>
        <v>#VALUE!:noResult:No valid cells found for operation.</v>
      </c>
      <c r="CM61" s="15" t="str">
        <f>AND(Trans!G907,"AAAAAFm/91o=")</f>
        <v>#VALUE!:noResult:No valid cells found for operation.</v>
      </c>
      <c r="CN61" s="15" t="str">
        <f>#REF!</f>
        <v>#VALUE!:noResult:No valid cells found for operation.</v>
      </c>
      <c r="CO61" s="15" t="str">
        <f>AND(Trans!H907,"AAAAAFm/91w=")</f>
        <v>#VALUE!:noResult:No valid cells found for operation.</v>
      </c>
      <c r="CP61" s="15" t="str">
        <f>#REF!</f>
        <v>#VALUE!:noResult:No valid cells found for operation.</v>
      </c>
      <c r="CQ61" s="15" t="str">
        <f>#REF!</f>
        <v>#VALUE!:noResult:No valid cells found for operation.</v>
      </c>
      <c r="CR61" s="15" t="str">
        <f>#REF!</f>
        <v>#VALUE!:noResult:No valid cells found for operation.</v>
      </c>
      <c r="CS61" s="15" t="str">
        <f>#REF!</f>
        <v>#VALUE!:noResult:No valid cells found for operation.</v>
      </c>
      <c r="CT61" s="15" t="str">
        <f>#REF!</f>
        <v>#VALUE!:noResult:No valid cells found for operation.</v>
      </c>
      <c r="CU61" s="15" t="str">
        <f>#REF!</f>
        <v>#VALUE!:noResult:No valid cells found for operation.</v>
      </c>
      <c r="CV61" s="15">
        <f>IF(Trans!R[847],"AAAAAFm/92M=",0)</f>
        <v>0</v>
      </c>
      <c r="CW61" s="15" t="b">
        <f>AND(Trans!A908,"AAAAAFm/92Q=")</f>
        <v>1</v>
      </c>
      <c r="CX61" s="15" t="str">
        <f>AND(Trans!B908,"AAAAAFm/92U=")</f>
        <v>#VALUE!:noResult:No valid cells found for operation.</v>
      </c>
      <c r="CY61" s="15" t="b">
        <f>AND(Trans!C908,"AAAAAFm/92Y=")</f>
        <v>1</v>
      </c>
      <c r="CZ61" s="15" t="b">
        <f>AND(Trans!D908,"AAAAAFm/92c=")</f>
        <v>1</v>
      </c>
      <c r="DA61" s="15" t="str">
        <f>AND(Trans!E908,"AAAAAFm/92g=")</f>
        <v>#VALUE!:noResult:No valid cells found for operation.</v>
      </c>
      <c r="DB61" s="15" t="str">
        <f>AND(Trans!F908,"AAAAAFm/92k=")</f>
        <v>#VALUE!:noResult:No valid cells found for operation.</v>
      </c>
      <c r="DC61" s="15" t="str">
        <f>AND(Trans!G908,"AAAAAFm/92o=")</f>
        <v>#VALUE!:noResult:No valid cells found for operation.</v>
      </c>
      <c r="DD61" s="15" t="str">
        <f>#REF!</f>
        <v>#VALUE!:noResult:No valid cells found for operation.</v>
      </c>
      <c r="DE61" s="15" t="str">
        <f>AND(Trans!H908,"AAAAAFm/92w=")</f>
        <v>#VALUE!:noResult:No valid cells found for operation.</v>
      </c>
      <c r="DF61" s="15" t="str">
        <f>#REF!</f>
        <v>#VALUE!:noResult:No valid cells found for operation.</v>
      </c>
      <c r="DG61" s="15" t="str">
        <f>#REF!</f>
        <v>#VALUE!:noResult:No valid cells found for operation.</v>
      </c>
      <c r="DH61" s="15" t="str">
        <f>#REF!</f>
        <v>#VALUE!:noResult:No valid cells found for operation.</v>
      </c>
      <c r="DI61" s="15" t="str">
        <f>#REF!</f>
        <v>#VALUE!:noResult:No valid cells found for operation.</v>
      </c>
      <c r="DJ61" s="15" t="str">
        <f>#REF!</f>
        <v>#VALUE!:noResult:No valid cells found for operation.</v>
      </c>
      <c r="DK61" s="15" t="str">
        <f>#REF!</f>
        <v>#VALUE!:noResult:No valid cells found for operation.</v>
      </c>
      <c r="DL61" s="15">
        <f>IF(Trans!R[848],"AAAAAFm/93M=",0)</f>
        <v>0</v>
      </c>
      <c r="DM61" s="15" t="b">
        <f>AND(Trans!A909,"AAAAAFm/93Q=")</f>
        <v>1</v>
      </c>
      <c r="DN61" s="15" t="str">
        <f>AND(Trans!B909,"AAAAAFm/93U=")</f>
        <v>#VALUE!:noResult:No valid cells found for operation.</v>
      </c>
      <c r="DO61" s="15" t="b">
        <f>AND(Trans!C909,"AAAAAFm/93Y=")</f>
        <v>1</v>
      </c>
      <c r="DP61" s="15" t="b">
        <f>AND(Trans!D909,"AAAAAFm/93c=")</f>
        <v>1</v>
      </c>
      <c r="DQ61" s="15" t="str">
        <f>AND(Trans!E909,"AAAAAFm/93g=")</f>
        <v>#VALUE!:noResult:No valid cells found for operation.</v>
      </c>
      <c r="DR61" s="15" t="str">
        <f>AND(Trans!F909,"AAAAAFm/93k=")</f>
        <v>#VALUE!:noResult:No valid cells found for operation.</v>
      </c>
      <c r="DS61" s="15" t="str">
        <f>AND(Trans!G909,"AAAAAFm/93o=")</f>
        <v>#VALUE!:noResult:No valid cells found for operation.</v>
      </c>
      <c r="DT61" s="15" t="str">
        <f>#REF!</f>
        <v>#VALUE!:noResult:No valid cells found for operation.</v>
      </c>
      <c r="DU61" s="15" t="str">
        <f>AND(Trans!H909,"AAAAAFm/93w=")</f>
        <v>#VALUE!:noResult:No valid cells found for operation.</v>
      </c>
      <c r="DV61" s="15" t="str">
        <f>#REF!</f>
        <v>#VALUE!:noResult:No valid cells found for operation.</v>
      </c>
      <c r="DW61" s="15" t="str">
        <f>#REF!</f>
        <v>#VALUE!:noResult:No valid cells found for operation.</v>
      </c>
      <c r="DX61" s="15" t="str">
        <f>#REF!</f>
        <v>#VALUE!:noResult:No valid cells found for operation.</v>
      </c>
      <c r="DY61" s="15" t="str">
        <f>#REF!</f>
        <v>#VALUE!:noResult:No valid cells found for operation.</v>
      </c>
      <c r="DZ61" s="15" t="str">
        <f>#REF!</f>
        <v>#VALUE!:noResult:No valid cells found for operation.</v>
      </c>
      <c r="EA61" s="15" t="str">
        <f>#REF!</f>
        <v>#VALUE!:noResult:No valid cells found for operation.</v>
      </c>
      <c r="EB61" s="15">
        <f>IF(Trans!R[849],"AAAAAFm/94M=",0)</f>
        <v>0</v>
      </c>
      <c r="EC61" s="15" t="b">
        <f>AND(Trans!A910,"AAAAAFm/94Q=")</f>
        <v>1</v>
      </c>
      <c r="ED61" s="15" t="str">
        <f>AND(Trans!B910,"AAAAAFm/94U=")</f>
        <v>#VALUE!:noResult:No valid cells found for operation.</v>
      </c>
      <c r="EE61" s="15" t="b">
        <f>AND(Trans!C910,"AAAAAFm/94Y=")</f>
        <v>1</v>
      </c>
      <c r="EF61" s="15" t="b">
        <f>AND(Trans!D910,"AAAAAFm/94c=")</f>
        <v>1</v>
      </c>
      <c r="EG61" s="15" t="str">
        <f>AND(Trans!E910,"AAAAAFm/94g=")</f>
        <v>#VALUE!:noResult:No valid cells found for operation.</v>
      </c>
      <c r="EH61" s="15" t="str">
        <f>AND(Trans!F910,"AAAAAFm/94k=")</f>
        <v>#VALUE!:noResult:No valid cells found for operation.</v>
      </c>
      <c r="EI61" s="15" t="str">
        <f>AND(Trans!G910,"AAAAAFm/94o=")</f>
        <v>#VALUE!:noResult:No valid cells found for operation.</v>
      </c>
      <c r="EJ61" s="15" t="str">
        <f>#REF!</f>
        <v>#VALUE!:noResult:No valid cells found for operation.</v>
      </c>
      <c r="EK61" s="15" t="str">
        <f>AND(Trans!H910,"AAAAAFm/94w=")</f>
        <v>#VALUE!:noResult:No valid cells found for operation.</v>
      </c>
      <c r="EL61" s="15" t="str">
        <f>#REF!</f>
        <v>#VALUE!:noResult:No valid cells found for operation.</v>
      </c>
      <c r="EM61" s="15" t="str">
        <f>#REF!</f>
        <v>#VALUE!:noResult:No valid cells found for operation.</v>
      </c>
      <c r="EN61" s="15" t="str">
        <f>#REF!</f>
        <v>#VALUE!:noResult:No valid cells found for operation.</v>
      </c>
      <c r="EO61" s="15" t="str">
        <f>#REF!</f>
        <v>#VALUE!:noResult:No valid cells found for operation.</v>
      </c>
      <c r="EP61" s="15" t="str">
        <f>#REF!</f>
        <v>#VALUE!:noResult:No valid cells found for operation.</v>
      </c>
      <c r="EQ61" s="15" t="str">
        <f>#REF!</f>
        <v>#VALUE!:noResult:No valid cells found for operation.</v>
      </c>
      <c r="ER61" s="15">
        <f>IF(Trans!R[850],"AAAAAFm/95M=",0)</f>
        <v>0</v>
      </c>
      <c r="ES61" s="15" t="b">
        <f>AND(Trans!A911,"AAAAAFm/95Q=")</f>
        <v>1</v>
      </c>
      <c r="ET61" s="15" t="str">
        <f>AND(Trans!B911,"AAAAAFm/95U=")</f>
        <v>#VALUE!:noResult:No valid cells found for operation.</v>
      </c>
      <c r="EU61" s="15" t="b">
        <f>AND(Trans!C911,"AAAAAFm/95Y=")</f>
        <v>1</v>
      </c>
      <c r="EV61" s="15" t="b">
        <f>AND(Trans!D911,"AAAAAFm/95c=")</f>
        <v>1</v>
      </c>
      <c r="EW61" s="15" t="str">
        <f>AND(Trans!E911,"AAAAAFm/95g=")</f>
        <v>#VALUE!:noResult:No valid cells found for operation.</v>
      </c>
      <c r="EX61" s="15" t="str">
        <f>AND(Trans!F911,"AAAAAFm/95k=")</f>
        <v>#VALUE!:noResult:No valid cells found for operation.</v>
      </c>
      <c r="EY61" s="15" t="str">
        <f>AND(Trans!G911,"AAAAAFm/95o=")</f>
        <v>#VALUE!:noResult:No valid cells found for operation.</v>
      </c>
      <c r="EZ61" s="15" t="str">
        <f>#REF!</f>
        <v>#VALUE!:noResult:No valid cells found for operation.</v>
      </c>
      <c r="FA61" s="15" t="str">
        <f>AND(Trans!H911,"AAAAAFm/95w=")</f>
        <v>#VALUE!:noResult:No valid cells found for operation.</v>
      </c>
      <c r="FB61" s="15" t="str">
        <f>#REF!</f>
        <v>#VALUE!:noResult:No valid cells found for operation.</v>
      </c>
      <c r="FC61" s="15" t="str">
        <f>#REF!</f>
        <v>#VALUE!:noResult:No valid cells found for operation.</v>
      </c>
      <c r="FD61" s="15" t="str">
        <f>#REF!</f>
        <v>#VALUE!:noResult:No valid cells found for operation.</v>
      </c>
      <c r="FE61" s="15" t="str">
        <f>#REF!</f>
        <v>#VALUE!:noResult:No valid cells found for operation.</v>
      </c>
      <c r="FF61" s="15" t="str">
        <f>#REF!</f>
        <v>#VALUE!:noResult:No valid cells found for operation.</v>
      </c>
      <c r="FG61" s="15" t="str">
        <f>#REF!</f>
        <v>#VALUE!:noResult:No valid cells found for operation.</v>
      </c>
      <c r="FH61" s="15">
        <f>IF(Trans!R[851],"AAAAAFm/96M=",0)</f>
        <v>0</v>
      </c>
      <c r="FI61" s="15" t="b">
        <f>AND(Trans!A912,"AAAAAFm/96Q=")</f>
        <v>1</v>
      </c>
      <c r="FJ61" s="15" t="str">
        <f>AND(Trans!B912,"AAAAAFm/96U=")</f>
        <v>#VALUE!:noResult:No valid cells found for operation.</v>
      </c>
      <c r="FK61" s="15" t="b">
        <f>AND(Trans!C912,"AAAAAFm/96Y=")</f>
        <v>1</v>
      </c>
      <c r="FL61" s="15" t="b">
        <f>AND(Trans!D912,"AAAAAFm/96c=")</f>
        <v>1</v>
      </c>
      <c r="FM61" s="15" t="str">
        <f>AND(Trans!E912,"AAAAAFm/96g=")</f>
        <v>#VALUE!:noResult:No valid cells found for operation.</v>
      </c>
      <c r="FN61" s="15" t="str">
        <f>AND(Trans!F912,"AAAAAFm/96k=")</f>
        <v>#VALUE!:noResult:No valid cells found for operation.</v>
      </c>
      <c r="FO61" s="15" t="str">
        <f>AND(Trans!G912,"AAAAAFm/96o=")</f>
        <v>#VALUE!:noResult:No valid cells found for operation.</v>
      </c>
      <c r="FP61" s="15" t="str">
        <f>#REF!</f>
        <v>#VALUE!:noResult:No valid cells found for operation.</v>
      </c>
      <c r="FQ61" s="15" t="str">
        <f>AND(Trans!H912,"AAAAAFm/96w=")</f>
        <v>#VALUE!:noResult:No valid cells found for operation.</v>
      </c>
      <c r="FR61" s="15" t="str">
        <f>#REF!</f>
        <v>#VALUE!:noResult:No valid cells found for operation.</v>
      </c>
      <c r="FS61" s="15" t="str">
        <f>#REF!</f>
        <v>#VALUE!:noResult:No valid cells found for operation.</v>
      </c>
      <c r="FT61" s="15" t="str">
        <f>#REF!</f>
        <v>#VALUE!:noResult:No valid cells found for operation.</v>
      </c>
      <c r="FU61" s="15" t="str">
        <f>#REF!</f>
        <v>#VALUE!:noResult:No valid cells found for operation.</v>
      </c>
      <c r="FV61" s="15" t="str">
        <f>#REF!</f>
        <v>#VALUE!:noResult:No valid cells found for operation.</v>
      </c>
      <c r="FW61" s="15" t="str">
        <f>#REF!</f>
        <v>#VALUE!:noResult:No valid cells found for operation.</v>
      </c>
      <c r="FX61" s="15">
        <f>IF(Trans!R[852],"AAAAAFm/97M=",0)</f>
        <v>0</v>
      </c>
      <c r="FY61" s="15" t="b">
        <f>AND(Trans!A913,"AAAAAFm/97Q=")</f>
        <v>1</v>
      </c>
      <c r="FZ61" s="15" t="str">
        <f>AND(Trans!B913,"AAAAAFm/97U=")</f>
        <v>#VALUE!:noResult:No valid cells found for operation.</v>
      </c>
      <c r="GA61" s="15" t="b">
        <f>AND(Trans!C913,"AAAAAFm/97Y=")</f>
        <v>1</v>
      </c>
      <c r="GB61" s="15" t="b">
        <f>AND(Trans!D913,"AAAAAFm/97c=")</f>
        <v>1</v>
      </c>
      <c r="GC61" s="15" t="str">
        <f>AND(Trans!E913,"AAAAAFm/97g=")</f>
        <v>#VALUE!:noResult:No valid cells found for operation.</v>
      </c>
      <c r="GD61" s="15" t="str">
        <f>AND(Trans!F913,"AAAAAFm/97k=")</f>
        <v>#VALUE!:noResult:No valid cells found for operation.</v>
      </c>
      <c r="GE61" s="15" t="str">
        <f>AND(Trans!G913,"AAAAAFm/97o=")</f>
        <v>#VALUE!:noResult:No valid cells found for operation.</v>
      </c>
      <c r="GF61" s="15" t="str">
        <f>#REF!</f>
        <v>#VALUE!:noResult:No valid cells found for operation.</v>
      </c>
      <c r="GG61" s="15" t="str">
        <f>AND(Trans!H913,"AAAAAFm/97w=")</f>
        <v>#VALUE!:noResult:No valid cells found for operation.</v>
      </c>
      <c r="GH61" s="15" t="str">
        <f>#REF!</f>
        <v>#VALUE!:noResult:No valid cells found for operation.</v>
      </c>
      <c r="GI61" s="15" t="str">
        <f>#REF!</f>
        <v>#VALUE!:noResult:No valid cells found for operation.</v>
      </c>
      <c r="GJ61" s="15" t="str">
        <f>#REF!</f>
        <v>#VALUE!:noResult:No valid cells found for operation.</v>
      </c>
      <c r="GK61" s="15" t="str">
        <f>#REF!</f>
        <v>#VALUE!:noResult:No valid cells found for operation.</v>
      </c>
      <c r="GL61" s="15" t="str">
        <f>#REF!</f>
        <v>#VALUE!:noResult:No valid cells found for operation.</v>
      </c>
      <c r="GM61" s="15" t="str">
        <f>#REF!</f>
        <v>#VALUE!:noResult:No valid cells found for operation.</v>
      </c>
      <c r="GN61" s="15">
        <f>IF(Trans!R[853],"AAAAAFm/98M=",0)</f>
        <v>0</v>
      </c>
      <c r="GO61" s="15" t="b">
        <f>AND(Trans!A914,"AAAAAFm/98Q=")</f>
        <v>1</v>
      </c>
      <c r="GP61" s="15" t="str">
        <f>AND(Trans!B914,"AAAAAFm/98U=")</f>
        <v>#VALUE!:noResult:No valid cells found for operation.</v>
      </c>
      <c r="GQ61" s="15" t="b">
        <f>AND(Trans!C914,"AAAAAFm/98Y=")</f>
        <v>1</v>
      </c>
      <c r="GR61" s="15" t="b">
        <f>AND(Trans!D914,"AAAAAFm/98c=")</f>
        <v>1</v>
      </c>
      <c r="GS61" s="15" t="str">
        <f>AND(Trans!E914,"AAAAAFm/98g=")</f>
        <v>#VALUE!:noResult:No valid cells found for operation.</v>
      </c>
      <c r="GT61" s="15" t="str">
        <f>AND(Trans!F914,"AAAAAFm/98k=")</f>
        <v>#VALUE!:noResult:No valid cells found for operation.</v>
      </c>
      <c r="GU61" s="15" t="str">
        <f>AND(Trans!G914,"AAAAAFm/98o=")</f>
        <v>#VALUE!:noResult:No valid cells found for operation.</v>
      </c>
      <c r="GV61" s="15" t="str">
        <f>#REF!</f>
        <v>#VALUE!:noResult:No valid cells found for operation.</v>
      </c>
      <c r="GW61" s="15" t="str">
        <f>AND(Trans!H914,"AAAAAFm/98w=")</f>
        <v>#VALUE!:noResult:No valid cells found for operation.</v>
      </c>
      <c r="GX61" s="15" t="str">
        <f>#REF!</f>
        <v>#VALUE!:noResult:No valid cells found for operation.</v>
      </c>
      <c r="GY61" s="15" t="str">
        <f>#REF!</f>
        <v>#VALUE!:noResult:No valid cells found for operation.</v>
      </c>
      <c r="GZ61" s="15" t="str">
        <f>#REF!</f>
        <v>#VALUE!:noResult:No valid cells found for operation.</v>
      </c>
      <c r="HA61" s="15" t="str">
        <f>#REF!</f>
        <v>#VALUE!:noResult:No valid cells found for operation.</v>
      </c>
      <c r="HB61" s="15" t="str">
        <f>#REF!</f>
        <v>#VALUE!:noResult:No valid cells found for operation.</v>
      </c>
      <c r="HC61" s="15" t="str">
        <f>#REF!</f>
        <v>#VALUE!:noResult:No valid cells found for operation.</v>
      </c>
      <c r="HD61" s="15">
        <f>IF(Trans!R[854],"AAAAAFm/99M=",0)</f>
        <v>0</v>
      </c>
      <c r="HE61" s="15" t="b">
        <f>AND(Trans!A915,"AAAAAFm/99Q=")</f>
        <v>1</v>
      </c>
      <c r="HF61" s="15" t="str">
        <f>AND(Trans!B915,"AAAAAFm/99U=")</f>
        <v>#VALUE!:noResult:No valid cells found for operation.</v>
      </c>
      <c r="HG61" s="15" t="b">
        <f>AND(Trans!C915,"AAAAAFm/99Y=")</f>
        <v>1</v>
      </c>
      <c r="HH61" s="15" t="b">
        <f>AND(Trans!D915,"AAAAAFm/99c=")</f>
        <v>1</v>
      </c>
      <c r="HI61" s="15" t="str">
        <f>AND(Trans!E915,"AAAAAFm/99g=")</f>
        <v>#VALUE!:noResult:No valid cells found for operation.</v>
      </c>
      <c r="HJ61" s="15" t="str">
        <f>AND(Trans!F915,"AAAAAFm/99k=")</f>
        <v>#VALUE!:noResult:No valid cells found for operation.</v>
      </c>
      <c r="HK61" s="15" t="str">
        <f>AND(Trans!G915,"AAAAAFm/99o=")</f>
        <v>#VALUE!:noResult:No valid cells found for operation.</v>
      </c>
      <c r="HL61" s="15" t="str">
        <f>#REF!</f>
        <v>#VALUE!:noResult:No valid cells found for operation.</v>
      </c>
      <c r="HM61" s="15" t="str">
        <f>AND(Trans!H915,"AAAAAFm/99w=")</f>
        <v>#VALUE!:noResult:No valid cells found for operation.</v>
      </c>
      <c r="HN61" s="15" t="str">
        <f>#REF!</f>
        <v>#VALUE!:noResult:No valid cells found for operation.</v>
      </c>
      <c r="HO61" s="15" t="str">
        <f>#REF!</f>
        <v>#VALUE!:noResult:No valid cells found for operation.</v>
      </c>
      <c r="HP61" s="15" t="str">
        <f>#REF!</f>
        <v>#VALUE!:noResult:No valid cells found for operation.</v>
      </c>
      <c r="HQ61" s="15" t="str">
        <f>#REF!</f>
        <v>#VALUE!:noResult:No valid cells found for operation.</v>
      </c>
      <c r="HR61" s="15" t="str">
        <f>#REF!</f>
        <v>#VALUE!:noResult:No valid cells found for operation.</v>
      </c>
      <c r="HS61" s="15" t="str">
        <f>#REF!</f>
        <v>#VALUE!:noResult:No valid cells found for operation.</v>
      </c>
      <c r="HT61" s="15">
        <f>IF(Trans!R[855],"AAAAAFm/9+M=",0)</f>
        <v>0</v>
      </c>
      <c r="HU61" s="15" t="b">
        <f>AND(Trans!A916,"AAAAAFm/9+Q=")</f>
        <v>1</v>
      </c>
      <c r="HV61" s="15" t="str">
        <f>AND(Trans!B916,"AAAAAFm/9+U=")</f>
        <v>#VALUE!:noResult:No valid cells found for operation.</v>
      </c>
      <c r="HW61" s="15" t="b">
        <f>AND(Trans!C916,"AAAAAFm/9+Y=")</f>
        <v>1</v>
      </c>
      <c r="HX61" s="15" t="b">
        <f>AND(Trans!D916,"AAAAAFm/9+c=")</f>
        <v>1</v>
      </c>
      <c r="HY61" s="15" t="str">
        <f>AND(Trans!E916,"AAAAAFm/9+g=")</f>
        <v>#VALUE!:noResult:No valid cells found for operation.</v>
      </c>
      <c r="HZ61" s="15" t="str">
        <f>AND(Trans!F916,"AAAAAFm/9+k=")</f>
        <v>#VALUE!:noResult:No valid cells found for operation.</v>
      </c>
      <c r="IA61" s="15" t="str">
        <f>AND(Trans!G916,"AAAAAFm/9+o=")</f>
        <v>#VALUE!:noResult:No valid cells found for operation.</v>
      </c>
      <c r="IB61" s="15" t="str">
        <f>#REF!</f>
        <v>#VALUE!:noResult:No valid cells found for operation.</v>
      </c>
      <c r="IC61" s="15" t="str">
        <f>AND(Trans!H916,"AAAAAFm/9+w=")</f>
        <v>#VALUE!:noResult:No valid cells found for operation.</v>
      </c>
      <c r="ID61" s="15" t="str">
        <f>#REF!</f>
        <v>#VALUE!:noResult:No valid cells found for operation.</v>
      </c>
      <c r="IE61" s="15" t="str">
        <f>#REF!</f>
        <v>#VALUE!:noResult:No valid cells found for operation.</v>
      </c>
      <c r="IF61" s="15" t="str">
        <f>#REF!</f>
        <v>#VALUE!:noResult:No valid cells found for operation.</v>
      </c>
      <c r="IG61" s="15" t="str">
        <f>#REF!</f>
        <v>#VALUE!:noResult:No valid cells found for operation.</v>
      </c>
      <c r="IH61" s="15" t="str">
        <f>#REF!</f>
        <v>#VALUE!:noResult:No valid cells found for operation.</v>
      </c>
      <c r="II61" s="15" t="str">
        <f>#REF!</f>
        <v>#VALUE!:noResult:No valid cells found for operation.</v>
      </c>
      <c r="IJ61" s="15">
        <f>IF(Trans!R[856],"AAAAAFm/9/M=",0)</f>
        <v>0</v>
      </c>
      <c r="IK61" s="15" t="b">
        <f>AND(Trans!A917,"AAAAAFm/9/Q=")</f>
        <v>1</v>
      </c>
      <c r="IL61" s="15" t="str">
        <f>AND(Trans!B917,"AAAAAFm/9/U=")</f>
        <v>#VALUE!:noResult:No valid cells found for operation.</v>
      </c>
      <c r="IM61" s="15" t="b">
        <f>AND(Trans!C917,"AAAAAFm/9/Y=")</f>
        <v>1</v>
      </c>
      <c r="IN61" s="15" t="b">
        <f>AND(Trans!D917,"AAAAAFm/9/c=")</f>
        <v>1</v>
      </c>
      <c r="IO61" s="15" t="str">
        <f>AND(Trans!E917,"AAAAAFm/9/g=")</f>
        <v>#VALUE!:noResult:No valid cells found for operation.</v>
      </c>
      <c r="IP61" s="15" t="str">
        <f>AND(Trans!F917,"AAAAAFm/9/k=")</f>
        <v>#VALUE!:noResult:No valid cells found for operation.</v>
      </c>
      <c r="IQ61" s="15" t="str">
        <f>AND(Trans!G917,"AAAAAFm/9/o=")</f>
        <v>#VALUE!:noResult:No valid cells found for operation.</v>
      </c>
      <c r="IR61" s="15" t="str">
        <f>#REF!</f>
        <v>#VALUE!:noResult:No valid cells found for operation.</v>
      </c>
      <c r="IS61" s="15" t="str">
        <f>AND(Trans!H917,"AAAAAFm/9/w=")</f>
        <v>#VALUE!:noResult:No valid cells found for operation.</v>
      </c>
      <c r="IT61" s="15" t="str">
        <f>#REF!</f>
        <v>#VALUE!:noResult:No valid cells found for operation.</v>
      </c>
      <c r="IU61" s="15" t="str">
        <f>#REF!</f>
        <v>#VALUE!:noResult:No valid cells found for operation.</v>
      </c>
      <c r="IV61" s="15" t="str">
        <f>#REF!</f>
        <v>#VALUE!:noResult:No valid cells found for operation.</v>
      </c>
    </row>
    <row r="62">
      <c r="A62" s="15" t="str">
        <f>#REF!</f>
        <v>#VALUE!:noResult:No valid cells found for operation.</v>
      </c>
      <c r="B62" s="15" t="str">
        <f>#REF!</f>
        <v>#VALUE!:noResult:No valid cells found for operation.</v>
      </c>
      <c r="C62" s="15" t="str">
        <f>#REF!</f>
        <v>#VALUE!:noResult:No valid cells found for operation.</v>
      </c>
      <c r="D62" s="15" t="str">
        <f>IF(Trans!R[856],"AAAAAHXX7QM=",0)</f>
        <v>AAAAAHXX7QM=</v>
      </c>
      <c r="E62" s="15" t="b">
        <f>AND(Trans!A918,"AAAAAHXX7QQ=")</f>
        <v>1</v>
      </c>
      <c r="F62" s="15" t="str">
        <f>AND(Trans!B918,"AAAAAHXX7QU=")</f>
        <v>#VALUE!:noResult:No valid cells found for operation.</v>
      </c>
      <c r="G62" s="15" t="b">
        <f>AND(Trans!C918,"AAAAAHXX7QY=")</f>
        <v>1</v>
      </c>
      <c r="H62" s="15" t="b">
        <f>AND(Trans!D918,"AAAAAHXX7Qc=")</f>
        <v>1</v>
      </c>
      <c r="I62" s="15" t="str">
        <f>AND(Trans!E918,"AAAAAHXX7Qg=")</f>
        <v>#VALUE!:noResult:No valid cells found for operation.</v>
      </c>
      <c r="J62" s="15" t="str">
        <f>AND(Trans!F918,"AAAAAHXX7Qk=")</f>
        <v>#VALUE!:noResult:No valid cells found for operation.</v>
      </c>
      <c r="K62" s="15" t="str">
        <f>AND(Trans!G918,"AAAAAHXX7Qo=")</f>
        <v>#VALUE!:noResult:No valid cells found for operation.</v>
      </c>
      <c r="L62" s="15" t="str">
        <f>#REF!</f>
        <v>#VALUE!:noResult:No valid cells found for operation.</v>
      </c>
      <c r="M62" s="15" t="str">
        <f>AND(Trans!H918,"AAAAAHXX7Qw=")</f>
        <v>#VALUE!:noResult:No valid cells found for operation.</v>
      </c>
      <c r="N62" s="15" t="str">
        <f>#REF!</f>
        <v>#VALUE!:noResult:No valid cells found for operation.</v>
      </c>
      <c r="O62" s="15" t="str">
        <f>#REF!</f>
        <v>#VALUE!:noResult:No valid cells found for operation.</v>
      </c>
      <c r="P62" s="15" t="str">
        <f>#REF!</f>
        <v>#VALUE!:noResult:No valid cells found for operation.</v>
      </c>
      <c r="Q62" s="15" t="str">
        <f>#REF!</f>
        <v>#VALUE!:noResult:No valid cells found for operation.</v>
      </c>
      <c r="R62" s="15" t="str">
        <f>#REF!</f>
        <v>#VALUE!:noResult:No valid cells found for operation.</v>
      </c>
      <c r="S62" s="15" t="str">
        <f>#REF!</f>
        <v>#VALUE!:noResult:No valid cells found for operation.</v>
      </c>
      <c r="T62" s="15">
        <f>IF(Trans!R[857],"AAAAAHXX7RM=",0)</f>
        <v>0</v>
      </c>
      <c r="U62" s="15" t="b">
        <f>AND(Trans!A919,"AAAAAHXX7RQ=")</f>
        <v>1</v>
      </c>
      <c r="V62" s="15" t="str">
        <f>AND(Trans!B919,"AAAAAHXX7RU=")</f>
        <v>#VALUE!:noResult:No valid cells found for operation.</v>
      </c>
      <c r="W62" s="15" t="b">
        <f>AND(Trans!C919,"AAAAAHXX7RY=")</f>
        <v>1</v>
      </c>
      <c r="X62" s="15" t="b">
        <f>AND(Trans!D919,"AAAAAHXX7Rc=")</f>
        <v>1</v>
      </c>
      <c r="Y62" s="15" t="str">
        <f>AND(Trans!E919,"AAAAAHXX7Rg=")</f>
        <v>#VALUE!:noResult:No valid cells found for operation.</v>
      </c>
      <c r="Z62" s="15" t="str">
        <f>AND(Trans!F919,"AAAAAHXX7Rk=")</f>
        <v>#VALUE!:noResult:No valid cells found for operation.</v>
      </c>
      <c r="AA62" s="15" t="str">
        <f>AND(Trans!G919,"AAAAAHXX7Ro=")</f>
        <v>#VALUE!:noResult:No valid cells found for operation.</v>
      </c>
      <c r="AB62" s="15" t="str">
        <f>#REF!</f>
        <v>#VALUE!:noResult:No valid cells found for operation.</v>
      </c>
      <c r="AC62" s="15" t="str">
        <f>AND(Trans!H919,"AAAAAHXX7Rw=")</f>
        <v>#VALUE!:noResult:No valid cells found for operation.</v>
      </c>
      <c r="AD62" s="15" t="str">
        <f>#REF!</f>
        <v>#VALUE!:noResult:No valid cells found for operation.</v>
      </c>
      <c r="AE62" s="15" t="str">
        <f>#REF!</f>
        <v>#VALUE!:noResult:No valid cells found for operation.</v>
      </c>
      <c r="AF62" s="15" t="str">
        <f>#REF!</f>
        <v>#VALUE!:noResult:No valid cells found for operation.</v>
      </c>
      <c r="AG62" s="15" t="str">
        <f>#REF!</f>
        <v>#VALUE!:noResult:No valid cells found for operation.</v>
      </c>
      <c r="AH62" s="15" t="str">
        <f>#REF!</f>
        <v>#VALUE!:noResult:No valid cells found for operation.</v>
      </c>
      <c r="AI62" s="15" t="str">
        <f>#REF!</f>
        <v>#VALUE!:noResult:No valid cells found for operation.</v>
      </c>
      <c r="AJ62" s="15">
        <f>IF(Trans!R[858],"AAAAAHXX7SM=",0)</f>
        <v>0</v>
      </c>
      <c r="AK62" s="15" t="b">
        <f>AND(Trans!A920,"AAAAAHXX7SQ=")</f>
        <v>1</v>
      </c>
      <c r="AL62" s="15" t="str">
        <f>AND(Trans!B920,"AAAAAHXX7SU=")</f>
        <v>#VALUE!:noResult:No valid cells found for operation.</v>
      </c>
      <c r="AM62" s="15" t="b">
        <f>AND(Trans!C920,"AAAAAHXX7SY=")</f>
        <v>1</v>
      </c>
      <c r="AN62" s="15" t="b">
        <f>AND(Trans!D920,"AAAAAHXX7Sc=")</f>
        <v>1</v>
      </c>
      <c r="AO62" s="15" t="str">
        <f>AND(Trans!E920,"AAAAAHXX7Sg=")</f>
        <v>#VALUE!:noResult:No valid cells found for operation.</v>
      </c>
      <c r="AP62" s="15" t="str">
        <f>AND(Trans!F920,"AAAAAHXX7Sk=")</f>
        <v>#VALUE!:noResult:No valid cells found for operation.</v>
      </c>
      <c r="AQ62" s="15" t="str">
        <f>AND(Trans!G920,"AAAAAHXX7So=")</f>
        <v>#VALUE!:noResult:No valid cells found for operation.</v>
      </c>
      <c r="AR62" s="15" t="str">
        <f>#REF!</f>
        <v>#VALUE!:noResult:No valid cells found for operation.</v>
      </c>
      <c r="AS62" s="15" t="str">
        <f>AND(Trans!H920,"AAAAAHXX7Sw=")</f>
        <v>#VALUE!:noResult:No valid cells found for operation.</v>
      </c>
      <c r="AT62" s="15" t="str">
        <f>#REF!</f>
        <v>#VALUE!:noResult:No valid cells found for operation.</v>
      </c>
      <c r="AU62" s="15" t="str">
        <f>#REF!</f>
        <v>#VALUE!:noResult:No valid cells found for operation.</v>
      </c>
      <c r="AV62" s="15" t="str">
        <f>#REF!</f>
        <v>#VALUE!:noResult:No valid cells found for operation.</v>
      </c>
      <c r="AW62" s="15" t="str">
        <f>#REF!</f>
        <v>#VALUE!:noResult:No valid cells found for operation.</v>
      </c>
      <c r="AX62" s="15" t="str">
        <f>#REF!</f>
        <v>#VALUE!:noResult:No valid cells found for operation.</v>
      </c>
      <c r="AY62" s="15" t="str">
        <f>#REF!</f>
        <v>#VALUE!:noResult:No valid cells found for operation.</v>
      </c>
      <c r="AZ62" s="15">
        <f>IF(Trans!R[859],"AAAAAHXX7TM=",0)</f>
        <v>0</v>
      </c>
      <c r="BA62" s="15" t="b">
        <f>AND(Trans!A921,"AAAAAHXX7TQ=")</f>
        <v>1</v>
      </c>
      <c r="BB62" s="15" t="str">
        <f>AND(Trans!B921,"AAAAAHXX7TU=")</f>
        <v>#VALUE!:noResult:No valid cells found for operation.</v>
      </c>
      <c r="BC62" s="15" t="b">
        <f>AND(Trans!C921,"AAAAAHXX7TY=")</f>
        <v>1</v>
      </c>
      <c r="BD62" s="15" t="b">
        <f>AND(Trans!D921,"AAAAAHXX7Tc=")</f>
        <v>1</v>
      </c>
      <c r="BE62" s="15" t="str">
        <f>AND(Trans!E921,"AAAAAHXX7Tg=")</f>
        <v>#VALUE!:noResult:No valid cells found for operation.</v>
      </c>
      <c r="BF62" s="15" t="str">
        <f>AND(Trans!F921,"AAAAAHXX7Tk=")</f>
        <v>#VALUE!:noResult:No valid cells found for operation.</v>
      </c>
      <c r="BG62" s="15" t="str">
        <f>AND(Trans!G921,"AAAAAHXX7To=")</f>
        <v>#VALUE!:noResult:No valid cells found for operation.</v>
      </c>
      <c r="BH62" s="15" t="str">
        <f>#REF!</f>
        <v>#VALUE!:noResult:No valid cells found for operation.</v>
      </c>
      <c r="BI62" s="15" t="str">
        <f>AND(Trans!H921,"AAAAAHXX7Tw=")</f>
        <v>#VALUE!:noResult:No valid cells found for operation.</v>
      </c>
      <c r="BJ62" s="15" t="str">
        <f>#REF!</f>
        <v>#VALUE!:noResult:No valid cells found for operation.</v>
      </c>
      <c r="BK62" s="15" t="str">
        <f>#REF!</f>
        <v>#VALUE!:noResult:No valid cells found for operation.</v>
      </c>
      <c r="BL62" s="15" t="str">
        <f>#REF!</f>
        <v>#VALUE!:noResult:No valid cells found for operation.</v>
      </c>
      <c r="BM62" s="15" t="str">
        <f>#REF!</f>
        <v>#VALUE!:noResult:No valid cells found for operation.</v>
      </c>
      <c r="BN62" s="15" t="str">
        <f>#REF!</f>
        <v>#VALUE!:noResult:No valid cells found for operation.</v>
      </c>
      <c r="BO62" s="15" t="str">
        <f>#REF!</f>
        <v>#VALUE!:noResult:No valid cells found for operation.</v>
      </c>
      <c r="BP62" s="15">
        <f>IF(Trans!R[860],"AAAAAHXX7UM=",0)</f>
        <v>0</v>
      </c>
      <c r="BQ62" s="15" t="b">
        <f>AND(Trans!A922,"AAAAAHXX7UQ=")</f>
        <v>1</v>
      </c>
      <c r="BR62" s="15" t="str">
        <f>AND(Trans!B922,"AAAAAHXX7UU=")</f>
        <v>#VALUE!:noResult:No valid cells found for operation.</v>
      </c>
      <c r="BS62" s="15" t="b">
        <f>AND(Trans!C922,"AAAAAHXX7UY=")</f>
        <v>1</v>
      </c>
      <c r="BT62" s="15" t="b">
        <f>AND(Trans!D922,"AAAAAHXX7Uc=")</f>
        <v>1</v>
      </c>
      <c r="BU62" s="15" t="str">
        <f>AND(Trans!E922,"AAAAAHXX7Ug=")</f>
        <v>#VALUE!:noResult:No valid cells found for operation.</v>
      </c>
      <c r="BV62" s="15" t="str">
        <f>AND(Trans!F922,"AAAAAHXX7Uk=")</f>
        <v>#VALUE!:noResult:No valid cells found for operation.</v>
      </c>
      <c r="BW62" s="15" t="str">
        <f>AND(Trans!G922,"AAAAAHXX7Uo=")</f>
        <v>#VALUE!:noResult:No valid cells found for operation.</v>
      </c>
      <c r="BX62" s="15" t="str">
        <f>#REF!</f>
        <v>#VALUE!:noResult:No valid cells found for operation.</v>
      </c>
      <c r="BY62" s="15" t="str">
        <f>AND(Trans!H922,"AAAAAHXX7Uw=")</f>
        <v>#VALUE!:noResult:No valid cells found for operation.</v>
      </c>
      <c r="BZ62" s="15" t="str">
        <f>#REF!</f>
        <v>#VALUE!:noResult:No valid cells found for operation.</v>
      </c>
      <c r="CA62" s="15" t="str">
        <f>#REF!</f>
        <v>#VALUE!:noResult:No valid cells found for operation.</v>
      </c>
      <c r="CB62" s="15" t="str">
        <f>#REF!</f>
        <v>#VALUE!:noResult:No valid cells found for operation.</v>
      </c>
      <c r="CC62" s="15" t="str">
        <f>#REF!</f>
        <v>#VALUE!:noResult:No valid cells found for operation.</v>
      </c>
      <c r="CD62" s="15" t="str">
        <f>#REF!</f>
        <v>#VALUE!:noResult:No valid cells found for operation.</v>
      </c>
      <c r="CE62" s="15" t="str">
        <f>#REF!</f>
        <v>#VALUE!:noResult:No valid cells found for operation.</v>
      </c>
      <c r="CF62" s="15">
        <f>IF(Trans!R[861],"AAAAAHXX7VM=",0)</f>
        <v>0</v>
      </c>
      <c r="CG62" s="15" t="b">
        <f>AND(Trans!A923,"AAAAAHXX7VQ=")</f>
        <v>1</v>
      </c>
      <c r="CH62" s="15" t="str">
        <f>AND(Trans!B923,"AAAAAHXX7VU=")</f>
        <v>#VALUE!:noResult:No valid cells found for operation.</v>
      </c>
      <c r="CI62" s="15" t="b">
        <f>AND(Trans!C923,"AAAAAHXX7VY=")</f>
        <v>1</v>
      </c>
      <c r="CJ62" s="15" t="b">
        <f>AND(Trans!D923,"AAAAAHXX7Vc=")</f>
        <v>1</v>
      </c>
      <c r="CK62" s="15" t="str">
        <f>AND(Trans!E923,"AAAAAHXX7Vg=")</f>
        <v>#VALUE!:noResult:No valid cells found for operation.</v>
      </c>
      <c r="CL62" s="15" t="str">
        <f>AND(Trans!F923,"AAAAAHXX7Vk=")</f>
        <v>#VALUE!:noResult:No valid cells found for operation.</v>
      </c>
      <c r="CM62" s="15" t="str">
        <f>AND(Trans!G923,"AAAAAHXX7Vo=")</f>
        <v>#VALUE!:noResult:No valid cells found for operation.</v>
      </c>
      <c r="CN62" s="15" t="str">
        <f>#REF!</f>
        <v>#VALUE!:noResult:No valid cells found for operation.</v>
      </c>
      <c r="CO62" s="15" t="str">
        <f>AND(Trans!H923,"AAAAAHXX7Vw=")</f>
        <v>#VALUE!:noResult:No valid cells found for operation.</v>
      </c>
      <c r="CP62" s="15" t="str">
        <f>#REF!</f>
        <v>#VALUE!:noResult:No valid cells found for operation.</v>
      </c>
      <c r="CQ62" s="15" t="str">
        <f>#REF!</f>
        <v>#VALUE!:noResult:No valid cells found for operation.</v>
      </c>
      <c r="CR62" s="15" t="str">
        <f>#REF!</f>
        <v>#VALUE!:noResult:No valid cells found for operation.</v>
      </c>
      <c r="CS62" s="15" t="str">
        <f>#REF!</f>
        <v>#VALUE!:noResult:No valid cells found for operation.</v>
      </c>
      <c r="CT62" s="15" t="str">
        <f>#REF!</f>
        <v>#VALUE!:noResult:No valid cells found for operation.</v>
      </c>
      <c r="CU62" s="15" t="str">
        <f>#REF!</f>
        <v>#VALUE!:noResult:No valid cells found for operation.</v>
      </c>
      <c r="CV62" s="15">
        <f>IF(Trans!R[862],"AAAAAHXX7WM=",0)</f>
        <v>0</v>
      </c>
      <c r="CW62" s="15" t="b">
        <f>AND(Trans!A924,"AAAAAHXX7WQ=")</f>
        <v>1</v>
      </c>
      <c r="CX62" s="15" t="str">
        <f>AND(Trans!B924,"AAAAAHXX7WU=")</f>
        <v>#VALUE!:noResult:No valid cells found for operation.</v>
      </c>
      <c r="CY62" s="15" t="b">
        <f>AND(Trans!C924,"AAAAAHXX7WY=")</f>
        <v>1</v>
      </c>
      <c r="CZ62" s="15" t="b">
        <f>AND(Trans!D924,"AAAAAHXX7Wc=")</f>
        <v>1</v>
      </c>
      <c r="DA62" s="15" t="str">
        <f>AND(Trans!E924,"AAAAAHXX7Wg=")</f>
        <v>#VALUE!:noResult:No valid cells found for operation.</v>
      </c>
      <c r="DB62" s="15" t="str">
        <f>AND(Trans!F924,"AAAAAHXX7Wk=")</f>
        <v>#VALUE!:noResult:No valid cells found for operation.</v>
      </c>
      <c r="DC62" s="15" t="str">
        <f>AND(Trans!G924,"AAAAAHXX7Wo=")</f>
        <v>#VALUE!:noResult:No valid cells found for operation.</v>
      </c>
      <c r="DD62" s="15" t="str">
        <f>#REF!</f>
        <v>#VALUE!:noResult:No valid cells found for operation.</v>
      </c>
      <c r="DE62" s="15" t="str">
        <f>AND(Trans!H924,"AAAAAHXX7Ww=")</f>
        <v>#VALUE!:noResult:No valid cells found for operation.</v>
      </c>
      <c r="DF62" s="15" t="str">
        <f>#REF!</f>
        <v>#VALUE!:noResult:No valid cells found for operation.</v>
      </c>
      <c r="DG62" s="15" t="str">
        <f>#REF!</f>
        <v>#VALUE!:noResult:No valid cells found for operation.</v>
      </c>
      <c r="DH62" s="15" t="str">
        <f>#REF!</f>
        <v>#VALUE!:noResult:No valid cells found for operation.</v>
      </c>
      <c r="DI62" s="15" t="str">
        <f>#REF!</f>
        <v>#VALUE!:noResult:No valid cells found for operation.</v>
      </c>
      <c r="DJ62" s="15" t="str">
        <f>#REF!</f>
        <v>#VALUE!:noResult:No valid cells found for operation.</v>
      </c>
      <c r="DK62" s="15" t="str">
        <f>#REF!</f>
        <v>#VALUE!:noResult:No valid cells found for operation.</v>
      </c>
      <c r="DL62" s="15">
        <f>IF(Trans!R[863],"AAAAAHXX7XM=",0)</f>
        <v>0</v>
      </c>
      <c r="DM62" s="15" t="b">
        <f>AND(Trans!A925,"AAAAAHXX7XQ=")</f>
        <v>1</v>
      </c>
      <c r="DN62" s="15" t="str">
        <f>AND(Trans!B925,"AAAAAHXX7XU=")</f>
        <v>#VALUE!:noResult:No valid cells found for operation.</v>
      </c>
      <c r="DO62" s="15" t="b">
        <f>AND(Trans!C925,"AAAAAHXX7XY=")</f>
        <v>1</v>
      </c>
      <c r="DP62" s="15" t="b">
        <f>AND(Trans!D925,"AAAAAHXX7Xc=")</f>
        <v>1</v>
      </c>
      <c r="DQ62" s="15" t="str">
        <f>AND(Trans!E925,"AAAAAHXX7Xg=")</f>
        <v>#VALUE!:noResult:No valid cells found for operation.</v>
      </c>
      <c r="DR62" s="15" t="str">
        <f>AND(Trans!F925,"AAAAAHXX7Xk=")</f>
        <v>#VALUE!:noResult:No valid cells found for operation.</v>
      </c>
      <c r="DS62" s="15" t="str">
        <f>AND(Trans!G925,"AAAAAHXX7Xo=")</f>
        <v>#VALUE!:noResult:No valid cells found for operation.</v>
      </c>
      <c r="DT62" s="15" t="str">
        <f>#REF!</f>
        <v>#VALUE!:noResult:No valid cells found for operation.</v>
      </c>
      <c r="DU62" s="15" t="str">
        <f>AND(Trans!H925,"AAAAAHXX7Xw=")</f>
        <v>#VALUE!:noResult:No valid cells found for operation.</v>
      </c>
      <c r="DV62" s="15" t="str">
        <f>#REF!</f>
        <v>#VALUE!:noResult:No valid cells found for operation.</v>
      </c>
      <c r="DW62" s="15" t="str">
        <f>#REF!</f>
        <v>#VALUE!:noResult:No valid cells found for operation.</v>
      </c>
      <c r="DX62" s="15" t="str">
        <f>#REF!</f>
        <v>#VALUE!:noResult:No valid cells found for operation.</v>
      </c>
      <c r="DY62" s="15" t="str">
        <f>#REF!</f>
        <v>#VALUE!:noResult:No valid cells found for operation.</v>
      </c>
      <c r="DZ62" s="15" t="str">
        <f>#REF!</f>
        <v>#VALUE!:noResult:No valid cells found for operation.</v>
      </c>
      <c r="EA62" s="15" t="str">
        <f>#REF!</f>
        <v>#VALUE!:noResult:No valid cells found for operation.</v>
      </c>
      <c r="EB62" s="15">
        <f>IF(Trans!R[864],"AAAAAHXX7YM=",0)</f>
        <v>0</v>
      </c>
      <c r="EC62" s="15" t="b">
        <f>AND(Trans!A926,"AAAAAHXX7YQ=")</f>
        <v>1</v>
      </c>
      <c r="ED62" s="15" t="str">
        <f>AND(Trans!B926,"AAAAAHXX7YU=")</f>
        <v>#VALUE!:noResult:No valid cells found for operation.</v>
      </c>
      <c r="EE62" s="15" t="b">
        <f>AND(Trans!C926,"AAAAAHXX7YY=")</f>
        <v>1</v>
      </c>
      <c r="EF62" s="15" t="b">
        <f>AND(Trans!D926,"AAAAAHXX7Yc=")</f>
        <v>1</v>
      </c>
      <c r="EG62" s="15" t="str">
        <f>AND(Trans!E926,"AAAAAHXX7Yg=")</f>
        <v>#VALUE!:noResult:No valid cells found for operation.</v>
      </c>
      <c r="EH62" s="15" t="str">
        <f>AND(Trans!F926,"AAAAAHXX7Yk=")</f>
        <v>#VALUE!:noResult:No valid cells found for operation.</v>
      </c>
      <c r="EI62" s="15" t="str">
        <f>AND(Trans!G926,"AAAAAHXX7Yo=")</f>
        <v>#VALUE!:noResult:No valid cells found for operation.</v>
      </c>
      <c r="EJ62" s="15" t="str">
        <f>#REF!</f>
        <v>#VALUE!:noResult:No valid cells found for operation.</v>
      </c>
      <c r="EK62" s="15" t="str">
        <f>AND(Trans!H926,"AAAAAHXX7Yw=")</f>
        <v>#VALUE!:noResult:No valid cells found for operation.</v>
      </c>
      <c r="EL62" s="15" t="str">
        <f>#REF!</f>
        <v>#VALUE!:noResult:No valid cells found for operation.</v>
      </c>
      <c r="EM62" s="15" t="str">
        <f>#REF!</f>
        <v>#VALUE!:noResult:No valid cells found for operation.</v>
      </c>
      <c r="EN62" s="15" t="str">
        <f>#REF!</f>
        <v>#VALUE!:noResult:No valid cells found for operation.</v>
      </c>
      <c r="EO62" s="15" t="str">
        <f>#REF!</f>
        <v>#VALUE!:noResult:No valid cells found for operation.</v>
      </c>
      <c r="EP62" s="15" t="str">
        <f>#REF!</f>
        <v>#VALUE!:noResult:No valid cells found for operation.</v>
      </c>
      <c r="EQ62" s="15" t="str">
        <f>#REF!</f>
        <v>#VALUE!:noResult:No valid cells found for operation.</v>
      </c>
      <c r="ER62" s="15">
        <f>IF(Trans!R[865],"AAAAAHXX7ZM=",0)</f>
        <v>0</v>
      </c>
      <c r="ES62" s="15" t="b">
        <f>AND(Trans!A927,"AAAAAHXX7ZQ=")</f>
        <v>1</v>
      </c>
      <c r="ET62" s="15" t="str">
        <f>AND(Trans!B927,"AAAAAHXX7ZU=")</f>
        <v>#VALUE!:noResult:No valid cells found for operation.</v>
      </c>
      <c r="EU62" s="15" t="b">
        <f>AND(Trans!C927,"AAAAAHXX7ZY=")</f>
        <v>1</v>
      </c>
      <c r="EV62" s="15" t="b">
        <f>AND(Trans!D927,"AAAAAHXX7Zc=")</f>
        <v>1</v>
      </c>
      <c r="EW62" s="15" t="str">
        <f>AND(Trans!E927,"AAAAAHXX7Zg=")</f>
        <v>#VALUE!:noResult:No valid cells found for operation.</v>
      </c>
      <c r="EX62" s="15" t="str">
        <f>AND(Trans!F927,"AAAAAHXX7Zk=")</f>
        <v>#VALUE!:noResult:No valid cells found for operation.</v>
      </c>
      <c r="EY62" s="15" t="str">
        <f>AND(Trans!G927,"AAAAAHXX7Zo=")</f>
        <v>#VALUE!:noResult:No valid cells found for operation.</v>
      </c>
      <c r="EZ62" s="15" t="str">
        <f>#REF!</f>
        <v>#VALUE!:noResult:No valid cells found for operation.</v>
      </c>
      <c r="FA62" s="15" t="str">
        <f>AND(Trans!H927,"AAAAAHXX7Zw=")</f>
        <v>#VALUE!:noResult:No valid cells found for operation.</v>
      </c>
      <c r="FB62" s="15" t="str">
        <f>#REF!</f>
        <v>#VALUE!:noResult:No valid cells found for operation.</v>
      </c>
      <c r="FC62" s="15" t="str">
        <f>#REF!</f>
        <v>#VALUE!:noResult:No valid cells found for operation.</v>
      </c>
      <c r="FD62" s="15" t="str">
        <f>#REF!</f>
        <v>#VALUE!:noResult:No valid cells found for operation.</v>
      </c>
      <c r="FE62" s="15" t="str">
        <f>#REF!</f>
        <v>#VALUE!:noResult:No valid cells found for operation.</v>
      </c>
      <c r="FF62" s="15" t="str">
        <f>#REF!</f>
        <v>#VALUE!:noResult:No valid cells found for operation.</v>
      </c>
      <c r="FG62" s="15" t="str">
        <f>#REF!</f>
        <v>#VALUE!:noResult:No valid cells found for operation.</v>
      </c>
      <c r="FH62" s="15">
        <f>IF(Trans!R[866],"AAAAAHXX7aM=",0)</f>
        <v>0</v>
      </c>
      <c r="FI62" s="15" t="b">
        <f>AND(Trans!A928,"AAAAAHXX7aQ=")</f>
        <v>1</v>
      </c>
      <c r="FJ62" s="15" t="str">
        <f>AND(Trans!B928,"AAAAAHXX7aU=")</f>
        <v>#VALUE!:noResult:No valid cells found for operation.</v>
      </c>
      <c r="FK62" s="15" t="b">
        <f>AND(Trans!C928,"AAAAAHXX7aY=")</f>
        <v>1</v>
      </c>
      <c r="FL62" s="15" t="b">
        <f>AND(Trans!D928,"AAAAAHXX7ac=")</f>
        <v>1</v>
      </c>
      <c r="FM62" s="15" t="str">
        <f>AND(Trans!E928,"AAAAAHXX7ag=")</f>
        <v>#VALUE!:noResult:No valid cells found for operation.</v>
      </c>
      <c r="FN62" s="15" t="str">
        <f>AND(Trans!F928,"AAAAAHXX7ak=")</f>
        <v>#VALUE!:noResult:No valid cells found for operation.</v>
      </c>
      <c r="FO62" s="15" t="str">
        <f>AND(Trans!G928,"AAAAAHXX7ao=")</f>
        <v>#VALUE!:noResult:No valid cells found for operation.</v>
      </c>
      <c r="FP62" s="15" t="str">
        <f>#REF!</f>
        <v>#VALUE!:noResult:No valid cells found for operation.</v>
      </c>
      <c r="FQ62" s="15" t="str">
        <f>AND(Trans!H928,"AAAAAHXX7aw=")</f>
        <v>#VALUE!:noResult:No valid cells found for operation.</v>
      </c>
      <c r="FR62" s="15" t="str">
        <f>#REF!</f>
        <v>#VALUE!:noResult:No valid cells found for operation.</v>
      </c>
      <c r="FS62" s="15" t="str">
        <f>#REF!</f>
        <v>#VALUE!:noResult:No valid cells found for operation.</v>
      </c>
      <c r="FT62" s="15" t="str">
        <f>#REF!</f>
        <v>#VALUE!:noResult:No valid cells found for operation.</v>
      </c>
      <c r="FU62" s="15" t="str">
        <f>#REF!</f>
        <v>#VALUE!:noResult:No valid cells found for operation.</v>
      </c>
      <c r="FV62" s="15" t="str">
        <f>#REF!</f>
        <v>#VALUE!:noResult:No valid cells found for operation.</v>
      </c>
      <c r="FW62" s="15" t="str">
        <f>#REF!</f>
        <v>#VALUE!:noResult:No valid cells found for operation.</v>
      </c>
      <c r="FX62" s="15">
        <f>IF(Trans!R[867],"AAAAAHXX7bM=",0)</f>
        <v>0</v>
      </c>
      <c r="FY62" s="15" t="b">
        <f>AND(Trans!A929,"AAAAAHXX7bQ=")</f>
        <v>1</v>
      </c>
      <c r="FZ62" s="15" t="str">
        <f>AND(Trans!B929,"AAAAAHXX7bU=")</f>
        <v>#VALUE!:noResult:No valid cells found for operation.</v>
      </c>
      <c r="GA62" s="15" t="b">
        <f>AND(Trans!C929,"AAAAAHXX7bY=")</f>
        <v>1</v>
      </c>
      <c r="GB62" s="15" t="b">
        <f>AND(Trans!D929,"AAAAAHXX7bc=")</f>
        <v>1</v>
      </c>
      <c r="GC62" s="15" t="str">
        <f>AND(Trans!E929,"AAAAAHXX7bg=")</f>
        <v>#VALUE!:noResult:No valid cells found for operation.</v>
      </c>
      <c r="GD62" s="15" t="str">
        <f>AND(Trans!F929,"AAAAAHXX7bk=")</f>
        <v>#VALUE!:noResult:No valid cells found for operation.</v>
      </c>
      <c r="GE62" s="15" t="str">
        <f>AND(Trans!G929,"AAAAAHXX7bo=")</f>
        <v>#VALUE!:noResult:No valid cells found for operation.</v>
      </c>
      <c r="GF62" s="15" t="str">
        <f>#REF!</f>
        <v>#VALUE!:noResult:No valid cells found for operation.</v>
      </c>
      <c r="GG62" s="15" t="str">
        <f>AND(Trans!H929,"AAAAAHXX7bw=")</f>
        <v>#VALUE!:noResult:No valid cells found for operation.</v>
      </c>
      <c r="GH62" s="15" t="str">
        <f>#REF!</f>
        <v>#VALUE!:noResult:No valid cells found for operation.</v>
      </c>
      <c r="GI62" s="15" t="str">
        <f>#REF!</f>
        <v>#VALUE!:noResult:No valid cells found for operation.</v>
      </c>
      <c r="GJ62" s="15" t="str">
        <f>#REF!</f>
        <v>#VALUE!:noResult:No valid cells found for operation.</v>
      </c>
      <c r="GK62" s="15" t="str">
        <f>#REF!</f>
        <v>#VALUE!:noResult:No valid cells found for operation.</v>
      </c>
      <c r="GL62" s="15" t="str">
        <f>#REF!</f>
        <v>#VALUE!:noResult:No valid cells found for operation.</v>
      </c>
      <c r="GM62" s="15" t="str">
        <f>#REF!</f>
        <v>#VALUE!:noResult:No valid cells found for operation.</v>
      </c>
      <c r="GN62" s="15">
        <f>IF(Trans!R[868],"AAAAAHXX7cM=",0)</f>
        <v>0</v>
      </c>
      <c r="GO62" s="15" t="b">
        <f>AND(Trans!A930,"AAAAAHXX7cQ=")</f>
        <v>1</v>
      </c>
      <c r="GP62" s="15" t="str">
        <f>AND(Trans!B930,"AAAAAHXX7cU=")</f>
        <v>#VALUE!:noResult:No valid cells found for operation.</v>
      </c>
      <c r="GQ62" s="15" t="b">
        <f>AND(Trans!C930,"AAAAAHXX7cY=")</f>
        <v>1</v>
      </c>
      <c r="GR62" s="15" t="b">
        <f>AND(Trans!D930,"AAAAAHXX7cc=")</f>
        <v>1</v>
      </c>
      <c r="GS62" s="15" t="str">
        <f>AND(Trans!E930,"AAAAAHXX7cg=")</f>
        <v>#VALUE!:noResult:No valid cells found for operation.</v>
      </c>
      <c r="GT62" s="15" t="str">
        <f>AND(Trans!F930,"AAAAAHXX7ck=")</f>
        <v>#VALUE!:noResult:No valid cells found for operation.</v>
      </c>
      <c r="GU62" s="15" t="str">
        <f>AND(Trans!G930,"AAAAAHXX7co=")</f>
        <v>#VALUE!:noResult:No valid cells found for operation.</v>
      </c>
      <c r="GV62" s="15" t="str">
        <f>#REF!</f>
        <v>#VALUE!:noResult:No valid cells found for operation.</v>
      </c>
      <c r="GW62" s="15" t="str">
        <f>AND(Trans!H930,"AAAAAHXX7cw=")</f>
        <v>#VALUE!:noResult:No valid cells found for operation.</v>
      </c>
      <c r="GX62" s="15" t="str">
        <f>#REF!</f>
        <v>#VALUE!:noResult:No valid cells found for operation.</v>
      </c>
      <c r="GY62" s="15" t="str">
        <f>#REF!</f>
        <v>#VALUE!:noResult:No valid cells found for operation.</v>
      </c>
      <c r="GZ62" s="15" t="str">
        <f>#REF!</f>
        <v>#VALUE!:noResult:No valid cells found for operation.</v>
      </c>
      <c r="HA62" s="15" t="str">
        <f>#REF!</f>
        <v>#VALUE!:noResult:No valid cells found for operation.</v>
      </c>
      <c r="HB62" s="15" t="str">
        <f>#REF!</f>
        <v>#VALUE!:noResult:No valid cells found for operation.</v>
      </c>
      <c r="HC62" s="15" t="str">
        <f>#REF!</f>
        <v>#VALUE!:noResult:No valid cells found for operation.</v>
      </c>
      <c r="HD62" s="15">
        <f>IF(Trans!R[869],"AAAAAHXX7dM=",0)</f>
        <v>0</v>
      </c>
      <c r="HE62" s="15" t="b">
        <f>AND(Trans!A931,"AAAAAHXX7dQ=")</f>
        <v>1</v>
      </c>
      <c r="HF62" s="15" t="str">
        <f>AND(Trans!B931,"AAAAAHXX7dU=")</f>
        <v>#VALUE!:noResult:No valid cells found for operation.</v>
      </c>
      <c r="HG62" s="15" t="b">
        <f>AND(Trans!C931,"AAAAAHXX7dY=")</f>
        <v>1</v>
      </c>
      <c r="HH62" s="15" t="b">
        <f>AND(Trans!D931,"AAAAAHXX7dc=")</f>
        <v>1</v>
      </c>
      <c r="HI62" s="15" t="str">
        <f>AND(Trans!E931,"AAAAAHXX7dg=")</f>
        <v>#VALUE!:noResult:No valid cells found for operation.</v>
      </c>
      <c r="HJ62" s="15" t="str">
        <f>AND(Trans!F931,"AAAAAHXX7dk=")</f>
        <v>#VALUE!:noResult:No valid cells found for operation.</v>
      </c>
      <c r="HK62" s="15" t="str">
        <f>AND(Trans!G931,"AAAAAHXX7do=")</f>
        <v>#VALUE!:noResult:No valid cells found for operation.</v>
      </c>
      <c r="HL62" s="15" t="str">
        <f>#REF!</f>
        <v>#VALUE!:noResult:No valid cells found for operation.</v>
      </c>
      <c r="HM62" s="15" t="str">
        <f>AND(Trans!H931,"AAAAAHXX7dw=")</f>
        <v>#VALUE!:noResult:No valid cells found for operation.</v>
      </c>
      <c r="HN62" s="15" t="str">
        <f>#REF!</f>
        <v>#VALUE!:noResult:No valid cells found for operation.</v>
      </c>
      <c r="HO62" s="15" t="str">
        <f>#REF!</f>
        <v>#VALUE!:noResult:No valid cells found for operation.</v>
      </c>
      <c r="HP62" s="15" t="str">
        <f>#REF!</f>
        <v>#VALUE!:noResult:No valid cells found for operation.</v>
      </c>
      <c r="HQ62" s="15" t="str">
        <f>#REF!</f>
        <v>#VALUE!:noResult:No valid cells found for operation.</v>
      </c>
      <c r="HR62" s="15" t="str">
        <f>#REF!</f>
        <v>#VALUE!:noResult:No valid cells found for operation.</v>
      </c>
      <c r="HS62" s="15" t="str">
        <f>#REF!</f>
        <v>#VALUE!:noResult:No valid cells found for operation.</v>
      </c>
      <c r="HT62" s="15">
        <f>IF(Trans!R[870],"AAAAAHXX7eM=",0)</f>
        <v>0</v>
      </c>
      <c r="HU62" s="15" t="b">
        <f>AND(Trans!A932,"AAAAAHXX7eQ=")</f>
        <v>1</v>
      </c>
      <c r="HV62" s="15" t="str">
        <f>AND(Trans!B932,"AAAAAHXX7eU=")</f>
        <v>#VALUE!:noResult:No valid cells found for operation.</v>
      </c>
      <c r="HW62" s="15" t="b">
        <f>AND(Trans!C932,"AAAAAHXX7eY=")</f>
        <v>1</v>
      </c>
      <c r="HX62" s="15" t="b">
        <f>AND(Trans!D932,"AAAAAHXX7ec=")</f>
        <v>1</v>
      </c>
      <c r="HY62" s="15" t="str">
        <f>AND(Trans!E932,"AAAAAHXX7eg=")</f>
        <v>#VALUE!:noResult:No valid cells found for operation.</v>
      </c>
      <c r="HZ62" s="15" t="str">
        <f>AND(Trans!F932,"AAAAAHXX7ek=")</f>
        <v>#VALUE!:noResult:No valid cells found for operation.</v>
      </c>
      <c r="IA62" s="15" t="str">
        <f>AND(Trans!G932,"AAAAAHXX7eo=")</f>
        <v>#VALUE!:noResult:No valid cells found for operation.</v>
      </c>
      <c r="IB62" s="15" t="str">
        <f>#REF!</f>
        <v>#VALUE!:noResult:No valid cells found for operation.</v>
      </c>
      <c r="IC62" s="15" t="str">
        <f>AND(Trans!H932,"AAAAAHXX7ew=")</f>
        <v>#VALUE!:noResult:No valid cells found for operation.</v>
      </c>
      <c r="ID62" s="15" t="str">
        <f>#REF!</f>
        <v>#VALUE!:noResult:No valid cells found for operation.</v>
      </c>
      <c r="IE62" s="15" t="str">
        <f>#REF!</f>
        <v>#VALUE!:noResult:No valid cells found for operation.</v>
      </c>
      <c r="IF62" s="15" t="str">
        <f>#REF!</f>
        <v>#VALUE!:noResult:No valid cells found for operation.</v>
      </c>
      <c r="IG62" s="15" t="str">
        <f>#REF!</f>
        <v>#VALUE!:noResult:No valid cells found for operation.</v>
      </c>
      <c r="IH62" s="15" t="str">
        <f>#REF!</f>
        <v>#VALUE!:noResult:No valid cells found for operation.</v>
      </c>
      <c r="II62" s="15" t="str">
        <f>#REF!</f>
        <v>#VALUE!:noResult:No valid cells found for operation.</v>
      </c>
      <c r="IJ62" s="15">
        <f>IF(Trans!R[871],"AAAAAHXX7fM=",0)</f>
        <v>0</v>
      </c>
      <c r="IK62" s="15" t="b">
        <f>AND(Trans!A933,"AAAAAHXX7fQ=")</f>
        <v>1</v>
      </c>
      <c r="IL62" s="15" t="str">
        <f>AND(Trans!B933,"AAAAAHXX7fU=")</f>
        <v>#VALUE!:noResult:No valid cells found for operation.</v>
      </c>
      <c r="IM62" s="15" t="b">
        <f>AND(Trans!C933,"AAAAAHXX7fY=")</f>
        <v>1</v>
      </c>
      <c r="IN62" s="15" t="b">
        <f>AND(Trans!D933,"AAAAAHXX7fc=")</f>
        <v>1</v>
      </c>
      <c r="IO62" s="15" t="str">
        <f>AND(Trans!E933,"AAAAAHXX7fg=")</f>
        <v>#VALUE!:noResult:No valid cells found for operation.</v>
      </c>
      <c r="IP62" s="15" t="str">
        <f>AND(Trans!F933,"AAAAAHXX7fk=")</f>
        <v>#VALUE!:noResult:No valid cells found for operation.</v>
      </c>
      <c r="IQ62" s="15" t="str">
        <f>AND(Trans!G933,"AAAAAHXX7fo=")</f>
        <v>#VALUE!:noResult:No valid cells found for operation.</v>
      </c>
      <c r="IR62" s="15" t="str">
        <f>#REF!</f>
        <v>#VALUE!:noResult:No valid cells found for operation.</v>
      </c>
      <c r="IS62" s="15" t="str">
        <f>AND(Trans!H933,"AAAAAHXX7fw=")</f>
        <v>#VALUE!:noResult:No valid cells found for operation.</v>
      </c>
      <c r="IT62" s="15" t="str">
        <f>#REF!</f>
        <v>#VALUE!:noResult:No valid cells found for operation.</v>
      </c>
      <c r="IU62" s="15" t="str">
        <f>#REF!</f>
        <v>#VALUE!:noResult:No valid cells found for operation.</v>
      </c>
      <c r="IV62" s="15" t="str">
        <f>#REF!</f>
        <v>#VALUE!:noResult:No valid cells found for operation.</v>
      </c>
    </row>
    <row r="63">
      <c r="A63" s="15" t="str">
        <f>#REF!</f>
        <v>#VALUE!:noResult:No valid cells found for operation.</v>
      </c>
      <c r="B63" s="15" t="str">
        <f>#REF!</f>
        <v>#VALUE!:noResult:No valid cells found for operation.</v>
      </c>
      <c r="C63" s="15" t="str">
        <f>#REF!</f>
        <v>#VALUE!:noResult:No valid cells found for operation.</v>
      </c>
      <c r="D63" s="15" t="str">
        <f>IF(Trans!R[871],"AAAAAGb51wM=",0)</f>
        <v>AAAAAGb51wM=</v>
      </c>
      <c r="E63" s="15" t="b">
        <f>AND(Trans!A934,"AAAAAGb51wQ=")</f>
        <v>1</v>
      </c>
      <c r="F63" s="15" t="str">
        <f>AND(Trans!B934,"AAAAAGb51wU=")</f>
        <v>#VALUE!:noResult:No valid cells found for operation.</v>
      </c>
      <c r="G63" s="15" t="b">
        <f>AND(Trans!C934,"AAAAAGb51wY=")</f>
        <v>1</v>
      </c>
      <c r="H63" s="15" t="b">
        <f>AND(Trans!D934,"AAAAAGb51wc=")</f>
        <v>1</v>
      </c>
      <c r="I63" s="15" t="str">
        <f>AND(Trans!E934,"AAAAAGb51wg=")</f>
        <v>#VALUE!:noResult:No valid cells found for operation.</v>
      </c>
      <c r="J63" s="15" t="str">
        <f>AND(Trans!F934,"AAAAAGb51wk=")</f>
        <v>#VALUE!:noResult:No valid cells found for operation.</v>
      </c>
      <c r="K63" s="15" t="str">
        <f>AND(Trans!G934,"AAAAAGb51wo=")</f>
        <v>#VALUE!:noResult:No valid cells found for operation.</v>
      </c>
      <c r="L63" s="15" t="str">
        <f>#REF!</f>
        <v>#VALUE!:noResult:No valid cells found for operation.</v>
      </c>
      <c r="M63" s="15" t="str">
        <f>AND(Trans!H934,"AAAAAGb51ww=")</f>
        <v>#VALUE!:noResult:No valid cells found for operation.</v>
      </c>
      <c r="N63" s="15" t="str">
        <f>#REF!</f>
        <v>#VALUE!:noResult:No valid cells found for operation.</v>
      </c>
      <c r="O63" s="15" t="str">
        <f>#REF!</f>
        <v>#VALUE!:noResult:No valid cells found for operation.</v>
      </c>
      <c r="P63" s="15" t="str">
        <f>#REF!</f>
        <v>#VALUE!:noResult:No valid cells found for operation.</v>
      </c>
      <c r="Q63" s="15" t="str">
        <f>#REF!</f>
        <v>#VALUE!:noResult:No valid cells found for operation.</v>
      </c>
      <c r="R63" s="15" t="str">
        <f>#REF!</f>
        <v>#VALUE!:noResult:No valid cells found for operation.</v>
      </c>
      <c r="S63" s="15" t="str">
        <f>#REF!</f>
        <v>#VALUE!:noResult:No valid cells found for operation.</v>
      </c>
      <c r="T63" s="15">
        <f>IF(Trans!R[872],"AAAAAGb51xM=",0)</f>
        <v>0</v>
      </c>
      <c r="U63" s="15" t="b">
        <f>AND(Trans!A935,"AAAAAGb51xQ=")</f>
        <v>1</v>
      </c>
      <c r="V63" s="15" t="str">
        <f>AND(Trans!B935,"AAAAAGb51xU=")</f>
        <v>#VALUE!:noResult:No valid cells found for operation.</v>
      </c>
      <c r="W63" s="15" t="b">
        <f>AND(Trans!C935,"AAAAAGb51xY=")</f>
        <v>1</v>
      </c>
      <c r="X63" s="15" t="b">
        <f>AND(Trans!D935,"AAAAAGb51xc=")</f>
        <v>1</v>
      </c>
      <c r="Y63" s="15" t="str">
        <f>AND(Trans!E935,"AAAAAGb51xg=")</f>
        <v>#VALUE!:noResult:No valid cells found for operation.</v>
      </c>
      <c r="Z63" s="15" t="str">
        <f>AND(Trans!F935,"AAAAAGb51xk=")</f>
        <v>#VALUE!:noResult:No valid cells found for operation.</v>
      </c>
      <c r="AA63" s="15" t="str">
        <f>AND(Trans!G935,"AAAAAGb51xo=")</f>
        <v>#VALUE!:noResult:No valid cells found for operation.</v>
      </c>
      <c r="AB63" s="15" t="str">
        <f>#REF!</f>
        <v>#VALUE!:noResult:No valid cells found for operation.</v>
      </c>
      <c r="AC63" s="15" t="str">
        <f>AND(Trans!H935,"AAAAAGb51xw=")</f>
        <v>#VALUE!:noResult:No valid cells found for operation.</v>
      </c>
      <c r="AD63" s="15" t="str">
        <f>#REF!</f>
        <v>#VALUE!:noResult:No valid cells found for operation.</v>
      </c>
      <c r="AE63" s="15" t="str">
        <f>#REF!</f>
        <v>#VALUE!:noResult:No valid cells found for operation.</v>
      </c>
      <c r="AF63" s="15" t="str">
        <f>#REF!</f>
        <v>#VALUE!:noResult:No valid cells found for operation.</v>
      </c>
      <c r="AG63" s="15" t="str">
        <f>#REF!</f>
        <v>#VALUE!:noResult:No valid cells found for operation.</v>
      </c>
      <c r="AH63" s="15" t="str">
        <f>#REF!</f>
        <v>#VALUE!:noResult:No valid cells found for operation.</v>
      </c>
      <c r="AI63" s="15" t="str">
        <f>#REF!</f>
        <v>#VALUE!:noResult:No valid cells found for operation.</v>
      </c>
      <c r="AJ63" s="15">
        <f>IF(Trans!R[873],"AAAAAGb51yM=",0)</f>
        <v>0</v>
      </c>
      <c r="AK63" s="15" t="b">
        <f>AND(Trans!A936,"AAAAAGb51yQ=")</f>
        <v>1</v>
      </c>
      <c r="AL63" s="15" t="str">
        <f>AND(Trans!B936,"AAAAAGb51yU=")</f>
        <v>#VALUE!:noResult:No valid cells found for operation.</v>
      </c>
      <c r="AM63" s="15" t="b">
        <f>AND(Trans!C936,"AAAAAGb51yY=")</f>
        <v>1</v>
      </c>
      <c r="AN63" s="15" t="b">
        <f>AND(Trans!D936,"AAAAAGb51yc=")</f>
        <v>1</v>
      </c>
      <c r="AO63" s="15" t="str">
        <f>AND(Trans!E936,"AAAAAGb51yg=")</f>
        <v>#VALUE!:noResult:No valid cells found for operation.</v>
      </c>
      <c r="AP63" s="15" t="str">
        <f>AND(Trans!F936,"AAAAAGb51yk=")</f>
        <v>#VALUE!:noResult:No valid cells found for operation.</v>
      </c>
      <c r="AQ63" s="15" t="str">
        <f>AND(Trans!G936,"AAAAAGb51yo=")</f>
        <v>#VALUE!:noResult:No valid cells found for operation.</v>
      </c>
      <c r="AR63" s="15" t="str">
        <f>#REF!</f>
        <v>#VALUE!:noResult:No valid cells found for operation.</v>
      </c>
      <c r="AS63" s="15" t="str">
        <f>AND(Trans!H936,"AAAAAGb51yw=")</f>
        <v>#VALUE!:noResult:No valid cells found for operation.</v>
      </c>
      <c r="AT63" s="15" t="str">
        <f>#REF!</f>
        <v>#VALUE!:noResult:No valid cells found for operation.</v>
      </c>
      <c r="AU63" s="15" t="str">
        <f>#REF!</f>
        <v>#VALUE!:noResult:No valid cells found for operation.</v>
      </c>
      <c r="AV63" s="15" t="str">
        <f>#REF!</f>
        <v>#VALUE!:noResult:No valid cells found for operation.</v>
      </c>
      <c r="AW63" s="15" t="str">
        <f>#REF!</f>
        <v>#VALUE!:noResult:No valid cells found for operation.</v>
      </c>
      <c r="AX63" s="15" t="str">
        <f>#REF!</f>
        <v>#VALUE!:noResult:No valid cells found for operation.</v>
      </c>
      <c r="AY63" s="15" t="str">
        <f>#REF!</f>
        <v>#VALUE!:noResult:No valid cells found for operation.</v>
      </c>
      <c r="AZ63" s="15">
        <f>IF(Trans!R[874],"AAAAAGb51zM=",0)</f>
        <v>0</v>
      </c>
      <c r="BA63" s="15" t="b">
        <f>AND(Trans!A937,"AAAAAGb51zQ=")</f>
        <v>1</v>
      </c>
      <c r="BB63" s="15" t="str">
        <f>AND(Trans!B937,"AAAAAGb51zU=")</f>
        <v>#VALUE!:noResult:No valid cells found for operation.</v>
      </c>
      <c r="BC63" s="15" t="b">
        <f>AND(Trans!C937,"AAAAAGb51zY=")</f>
        <v>1</v>
      </c>
      <c r="BD63" s="15" t="b">
        <f>AND(Trans!D937,"AAAAAGb51zc=")</f>
        <v>1</v>
      </c>
      <c r="BE63" s="15" t="str">
        <f>AND(Trans!E937,"AAAAAGb51zg=")</f>
        <v>#VALUE!:noResult:No valid cells found for operation.</v>
      </c>
      <c r="BF63" s="15" t="str">
        <f>AND(Trans!F937,"AAAAAGb51zk=")</f>
        <v>#VALUE!:noResult:No valid cells found for operation.</v>
      </c>
      <c r="BG63" s="15" t="str">
        <f>AND(Trans!G937,"AAAAAGb51zo=")</f>
        <v>#VALUE!:noResult:No valid cells found for operation.</v>
      </c>
      <c r="BH63" s="15" t="str">
        <f>#REF!</f>
        <v>#VALUE!:noResult:No valid cells found for operation.</v>
      </c>
      <c r="BI63" s="15" t="str">
        <f>AND(Trans!H937,"AAAAAGb51zw=")</f>
        <v>#VALUE!:noResult:No valid cells found for operation.</v>
      </c>
      <c r="BJ63" s="15" t="str">
        <f>#REF!</f>
        <v>#VALUE!:noResult:No valid cells found for operation.</v>
      </c>
      <c r="BK63" s="15" t="str">
        <f>#REF!</f>
        <v>#VALUE!:noResult:No valid cells found for operation.</v>
      </c>
      <c r="BL63" s="15" t="str">
        <f>#REF!</f>
        <v>#VALUE!:noResult:No valid cells found for operation.</v>
      </c>
      <c r="BM63" s="15" t="str">
        <f>#REF!</f>
        <v>#VALUE!:noResult:No valid cells found for operation.</v>
      </c>
      <c r="BN63" s="15" t="str">
        <f>#REF!</f>
        <v>#VALUE!:noResult:No valid cells found for operation.</v>
      </c>
      <c r="BO63" s="15" t="str">
        <f>#REF!</f>
        <v>#VALUE!:noResult:No valid cells found for operation.</v>
      </c>
      <c r="BP63" s="15">
        <f>IF(Trans!R[875],"AAAAAGb510M=",0)</f>
        <v>0</v>
      </c>
      <c r="BQ63" s="15" t="b">
        <f>AND(Trans!A938,"AAAAAGb510Q=")</f>
        <v>1</v>
      </c>
      <c r="BR63" s="15" t="str">
        <f>AND(Trans!B938,"AAAAAGb510U=")</f>
        <v>#VALUE!:noResult:No valid cells found for operation.</v>
      </c>
      <c r="BS63" s="15" t="b">
        <f>AND(Trans!C938,"AAAAAGb510Y=")</f>
        <v>1</v>
      </c>
      <c r="BT63" s="15" t="b">
        <f>AND(Trans!D938,"AAAAAGb510c=")</f>
        <v>1</v>
      </c>
      <c r="BU63" s="15" t="str">
        <f>AND(Trans!E938,"AAAAAGb510g=")</f>
        <v>#VALUE!:noResult:No valid cells found for operation.</v>
      </c>
      <c r="BV63" s="15" t="str">
        <f>AND(Trans!F938,"AAAAAGb510k=")</f>
        <v>#VALUE!:noResult:No valid cells found for operation.</v>
      </c>
      <c r="BW63" s="15" t="str">
        <f>AND(Trans!G938,"AAAAAGb510o=")</f>
        <v>#VALUE!:noResult:No valid cells found for operation.</v>
      </c>
      <c r="BX63" s="15" t="str">
        <f>#REF!</f>
        <v>#VALUE!:noResult:No valid cells found for operation.</v>
      </c>
      <c r="BY63" s="15" t="str">
        <f>AND(Trans!H938,"AAAAAGb510w=")</f>
        <v>#VALUE!:noResult:No valid cells found for operation.</v>
      </c>
      <c r="BZ63" s="15" t="str">
        <f>#REF!</f>
        <v>#VALUE!:noResult:No valid cells found for operation.</v>
      </c>
      <c r="CA63" s="15" t="str">
        <f>#REF!</f>
        <v>#VALUE!:noResult:No valid cells found for operation.</v>
      </c>
      <c r="CB63" s="15" t="str">
        <f>#REF!</f>
        <v>#VALUE!:noResult:No valid cells found for operation.</v>
      </c>
      <c r="CC63" s="15" t="str">
        <f>#REF!</f>
        <v>#VALUE!:noResult:No valid cells found for operation.</v>
      </c>
      <c r="CD63" s="15" t="str">
        <f>#REF!</f>
        <v>#VALUE!:noResult:No valid cells found for operation.</v>
      </c>
      <c r="CE63" s="15" t="str">
        <f>#REF!</f>
        <v>#VALUE!:noResult:No valid cells found for operation.</v>
      </c>
      <c r="CF63" s="15">
        <f>IF(Trans!R[876],"AAAAAGb511M=",0)</f>
        <v>0</v>
      </c>
      <c r="CG63" s="15" t="b">
        <f>AND(Trans!A939,"AAAAAGb511Q=")</f>
        <v>1</v>
      </c>
      <c r="CH63" s="15" t="str">
        <f>AND(Trans!B939,"AAAAAGb511U=")</f>
        <v>#VALUE!:noResult:No valid cells found for operation.</v>
      </c>
      <c r="CI63" s="15" t="b">
        <f>AND(Trans!C939,"AAAAAGb511Y=")</f>
        <v>1</v>
      </c>
      <c r="CJ63" s="15" t="b">
        <f>AND(Trans!D939,"AAAAAGb511c=")</f>
        <v>1</v>
      </c>
      <c r="CK63" s="15" t="str">
        <f>AND(Trans!E939,"AAAAAGb511g=")</f>
        <v>#VALUE!:noResult:No valid cells found for operation.</v>
      </c>
      <c r="CL63" s="15" t="str">
        <f>AND(Trans!F939,"AAAAAGb511k=")</f>
        <v>#VALUE!:noResult:No valid cells found for operation.</v>
      </c>
      <c r="CM63" s="15" t="str">
        <f>AND(Trans!G939,"AAAAAGb511o=")</f>
        <v>#VALUE!:noResult:No valid cells found for operation.</v>
      </c>
      <c r="CN63" s="15" t="str">
        <f>#REF!</f>
        <v>#VALUE!:noResult:No valid cells found for operation.</v>
      </c>
      <c r="CO63" s="15" t="str">
        <f>AND(Trans!H939,"AAAAAGb511w=")</f>
        <v>#VALUE!:noResult:No valid cells found for operation.</v>
      </c>
      <c r="CP63" s="15" t="str">
        <f>#REF!</f>
        <v>#VALUE!:noResult:No valid cells found for operation.</v>
      </c>
      <c r="CQ63" s="15" t="str">
        <f>#REF!</f>
        <v>#VALUE!:noResult:No valid cells found for operation.</v>
      </c>
      <c r="CR63" s="15" t="str">
        <f>#REF!</f>
        <v>#VALUE!:noResult:No valid cells found for operation.</v>
      </c>
      <c r="CS63" s="15" t="str">
        <f>#REF!</f>
        <v>#VALUE!:noResult:No valid cells found for operation.</v>
      </c>
      <c r="CT63" s="15" t="str">
        <f>#REF!</f>
        <v>#VALUE!:noResult:No valid cells found for operation.</v>
      </c>
      <c r="CU63" s="15" t="str">
        <f>#REF!</f>
        <v>#VALUE!:noResult:No valid cells found for operation.</v>
      </c>
      <c r="CV63" s="15">
        <f>IF(Trans!R[877],"AAAAAGb512M=",0)</f>
        <v>0</v>
      </c>
      <c r="CW63" s="15" t="b">
        <f>AND(Trans!A940,"AAAAAGb512Q=")</f>
        <v>1</v>
      </c>
      <c r="CX63" s="15" t="str">
        <f>AND(Trans!B940,"AAAAAGb512U=")</f>
        <v>#VALUE!:noResult:No valid cells found for operation.</v>
      </c>
      <c r="CY63" s="15" t="b">
        <f>AND(Trans!C940,"AAAAAGb512Y=")</f>
        <v>1</v>
      </c>
      <c r="CZ63" s="15" t="b">
        <f>AND(Trans!D940,"AAAAAGb512c=")</f>
        <v>1</v>
      </c>
      <c r="DA63" s="15" t="str">
        <f>AND(Trans!E940,"AAAAAGb512g=")</f>
        <v>#VALUE!:noResult:No valid cells found for operation.</v>
      </c>
      <c r="DB63" s="15" t="str">
        <f>AND(Trans!F940,"AAAAAGb512k=")</f>
        <v>#VALUE!:noResult:No valid cells found for operation.</v>
      </c>
      <c r="DC63" s="15" t="str">
        <f>AND(Trans!G940,"AAAAAGb512o=")</f>
        <v>#VALUE!:noResult:No valid cells found for operation.</v>
      </c>
      <c r="DD63" s="15" t="str">
        <f>#REF!</f>
        <v>#VALUE!:noResult:No valid cells found for operation.</v>
      </c>
      <c r="DE63" s="15" t="str">
        <f>AND(Trans!H940,"AAAAAGb512w=")</f>
        <v>#VALUE!:noResult:No valid cells found for operation.</v>
      </c>
      <c r="DF63" s="15" t="str">
        <f>#REF!</f>
        <v>#VALUE!:noResult:No valid cells found for operation.</v>
      </c>
      <c r="DG63" s="15" t="str">
        <f>#REF!</f>
        <v>#VALUE!:noResult:No valid cells found for operation.</v>
      </c>
      <c r="DH63" s="15" t="str">
        <f>#REF!</f>
        <v>#VALUE!:noResult:No valid cells found for operation.</v>
      </c>
      <c r="DI63" s="15" t="str">
        <f>#REF!</f>
        <v>#VALUE!:noResult:No valid cells found for operation.</v>
      </c>
      <c r="DJ63" s="15" t="str">
        <f>#REF!</f>
        <v>#VALUE!:noResult:No valid cells found for operation.</v>
      </c>
      <c r="DK63" s="15" t="str">
        <f>#REF!</f>
        <v>#VALUE!:noResult:No valid cells found for operation.</v>
      </c>
      <c r="DL63" s="15">
        <f>IF(Trans!R[878],"AAAAAGb513M=",0)</f>
        <v>0</v>
      </c>
      <c r="DM63" s="15" t="b">
        <f>AND(Trans!A941,"AAAAAGb513Q=")</f>
        <v>1</v>
      </c>
      <c r="DN63" s="15" t="str">
        <f>AND(Trans!B941,"AAAAAGb513U=")</f>
        <v>#VALUE!:noResult:No valid cells found for operation.</v>
      </c>
      <c r="DO63" s="15" t="b">
        <f>AND(Trans!C941,"AAAAAGb513Y=")</f>
        <v>1</v>
      </c>
      <c r="DP63" s="15" t="b">
        <f>AND(Trans!D941,"AAAAAGb513c=")</f>
        <v>1</v>
      </c>
      <c r="DQ63" s="15" t="str">
        <f>AND(Trans!E941,"AAAAAGb513g=")</f>
        <v>#VALUE!:noResult:No valid cells found for operation.</v>
      </c>
      <c r="DR63" s="15" t="str">
        <f>AND(Trans!F941,"AAAAAGb513k=")</f>
        <v>#VALUE!:noResult:No valid cells found for operation.</v>
      </c>
      <c r="DS63" s="15" t="str">
        <f>AND(Trans!G941,"AAAAAGb513o=")</f>
        <v>#VALUE!:noResult:No valid cells found for operation.</v>
      </c>
      <c r="DT63" s="15" t="str">
        <f>#REF!</f>
        <v>#VALUE!:noResult:No valid cells found for operation.</v>
      </c>
      <c r="DU63" s="15" t="str">
        <f>AND(Trans!H941,"AAAAAGb513w=")</f>
        <v>#VALUE!:noResult:No valid cells found for operation.</v>
      </c>
      <c r="DV63" s="15" t="str">
        <f>#REF!</f>
        <v>#VALUE!:noResult:No valid cells found for operation.</v>
      </c>
      <c r="DW63" s="15" t="str">
        <f>#REF!</f>
        <v>#VALUE!:noResult:No valid cells found for operation.</v>
      </c>
      <c r="DX63" s="15" t="str">
        <f>#REF!</f>
        <v>#VALUE!:noResult:No valid cells found for operation.</v>
      </c>
      <c r="DY63" s="15" t="str">
        <f>#REF!</f>
        <v>#VALUE!:noResult:No valid cells found for operation.</v>
      </c>
      <c r="DZ63" s="15" t="str">
        <f>#REF!</f>
        <v>#VALUE!:noResult:No valid cells found for operation.</v>
      </c>
      <c r="EA63" s="15" t="str">
        <f>#REF!</f>
        <v>#VALUE!:noResult:No valid cells found for operation.</v>
      </c>
      <c r="EB63" s="15">
        <f>IF(Trans!R[879],"AAAAAGb514M=",0)</f>
        <v>0</v>
      </c>
      <c r="EC63" s="15" t="b">
        <f>AND(Trans!A942,"AAAAAGb514Q=")</f>
        <v>1</v>
      </c>
      <c r="ED63" s="15" t="str">
        <f>AND(Trans!B942,"AAAAAGb514U=")</f>
        <v>#VALUE!:noResult:No valid cells found for operation.</v>
      </c>
      <c r="EE63" s="15" t="b">
        <f>AND(Trans!C942,"AAAAAGb514Y=")</f>
        <v>1</v>
      </c>
      <c r="EF63" s="15" t="b">
        <f>AND(Trans!D942,"AAAAAGb514c=")</f>
        <v>1</v>
      </c>
      <c r="EG63" s="15" t="str">
        <f>AND(Trans!E942,"AAAAAGb514g=")</f>
        <v>#VALUE!:noResult:No valid cells found for operation.</v>
      </c>
      <c r="EH63" s="15" t="str">
        <f>AND(Trans!F942,"AAAAAGb514k=")</f>
        <v>#VALUE!:noResult:No valid cells found for operation.</v>
      </c>
      <c r="EI63" s="15" t="str">
        <f>AND(Trans!G942,"AAAAAGb514o=")</f>
        <v>#VALUE!:noResult:No valid cells found for operation.</v>
      </c>
      <c r="EJ63" s="15" t="str">
        <f>#REF!</f>
        <v>#VALUE!:noResult:No valid cells found for operation.</v>
      </c>
      <c r="EK63" s="15" t="str">
        <f>AND(Trans!H942,"AAAAAGb514w=")</f>
        <v>#VALUE!:noResult:No valid cells found for operation.</v>
      </c>
      <c r="EL63" s="15" t="str">
        <f>#REF!</f>
        <v>#VALUE!:noResult:No valid cells found for operation.</v>
      </c>
      <c r="EM63" s="15" t="str">
        <f>#REF!</f>
        <v>#VALUE!:noResult:No valid cells found for operation.</v>
      </c>
      <c r="EN63" s="15" t="str">
        <f>#REF!</f>
        <v>#VALUE!:noResult:No valid cells found for operation.</v>
      </c>
      <c r="EO63" s="15" t="str">
        <f>#REF!</f>
        <v>#VALUE!:noResult:No valid cells found for operation.</v>
      </c>
      <c r="EP63" s="15" t="str">
        <f>#REF!</f>
        <v>#VALUE!:noResult:No valid cells found for operation.</v>
      </c>
      <c r="EQ63" s="15" t="str">
        <f>#REF!</f>
        <v>#VALUE!:noResult:No valid cells found for operation.</v>
      </c>
      <c r="ER63" s="15">
        <f>IF(Trans!R[880],"AAAAAGb515M=",0)</f>
        <v>0</v>
      </c>
      <c r="ES63" s="15" t="b">
        <f>AND(Trans!A943,"AAAAAGb515Q=")</f>
        <v>1</v>
      </c>
      <c r="ET63" s="15" t="str">
        <f>AND(Trans!B943,"AAAAAGb515U=")</f>
        <v>#VALUE!:noResult:No valid cells found for operation.</v>
      </c>
      <c r="EU63" s="15" t="b">
        <f>AND(Trans!C943,"AAAAAGb515Y=")</f>
        <v>1</v>
      </c>
      <c r="EV63" s="15" t="b">
        <f>AND(Trans!D943,"AAAAAGb515c=")</f>
        <v>1</v>
      </c>
      <c r="EW63" s="15" t="str">
        <f>AND(Trans!E943,"AAAAAGb515g=")</f>
        <v>#VALUE!:noResult:No valid cells found for operation.</v>
      </c>
      <c r="EX63" s="15" t="str">
        <f>AND(Trans!F943,"AAAAAGb515k=")</f>
        <v>#VALUE!:noResult:No valid cells found for operation.</v>
      </c>
      <c r="EY63" s="15" t="str">
        <f>AND(Trans!G943,"AAAAAGb515o=")</f>
        <v>#VALUE!:noResult:No valid cells found for operation.</v>
      </c>
      <c r="EZ63" s="15" t="str">
        <f>#REF!</f>
        <v>#VALUE!:noResult:No valid cells found for operation.</v>
      </c>
      <c r="FA63" s="15" t="str">
        <f>AND(Trans!H943,"AAAAAGb515w=")</f>
        <v>#VALUE!:noResult:No valid cells found for operation.</v>
      </c>
      <c r="FB63" s="15" t="str">
        <f>#REF!</f>
        <v>#VALUE!:noResult:No valid cells found for operation.</v>
      </c>
      <c r="FC63" s="15" t="str">
        <f>#REF!</f>
        <v>#VALUE!:noResult:No valid cells found for operation.</v>
      </c>
      <c r="FD63" s="15" t="str">
        <f>#REF!</f>
        <v>#VALUE!:noResult:No valid cells found for operation.</v>
      </c>
      <c r="FE63" s="15" t="str">
        <f>#REF!</f>
        <v>#VALUE!:noResult:No valid cells found for operation.</v>
      </c>
      <c r="FF63" s="15" t="str">
        <f>#REF!</f>
        <v>#VALUE!:noResult:No valid cells found for operation.</v>
      </c>
      <c r="FG63" s="15" t="str">
        <f>#REF!</f>
        <v>#VALUE!:noResult:No valid cells found for operation.</v>
      </c>
      <c r="FH63" s="15">
        <f>IF(Trans!R[881],"AAAAAGb516M=",0)</f>
        <v>0</v>
      </c>
      <c r="FI63" s="15" t="b">
        <f>AND(Trans!A944,"AAAAAGb516Q=")</f>
        <v>1</v>
      </c>
      <c r="FJ63" s="15" t="str">
        <f>AND(Trans!B944,"AAAAAGb516U=")</f>
        <v>#VALUE!:noResult:No valid cells found for operation.</v>
      </c>
      <c r="FK63" s="15" t="b">
        <f>AND(Trans!C944,"AAAAAGb516Y=")</f>
        <v>1</v>
      </c>
      <c r="FL63" s="15" t="b">
        <f>AND(Trans!D944,"AAAAAGb516c=")</f>
        <v>1</v>
      </c>
      <c r="FM63" s="15" t="str">
        <f>AND(Trans!E944,"AAAAAGb516g=")</f>
        <v>#VALUE!:noResult:No valid cells found for operation.</v>
      </c>
      <c r="FN63" s="15" t="str">
        <f>AND(Trans!F944,"AAAAAGb516k=")</f>
        <v>#VALUE!:noResult:No valid cells found for operation.</v>
      </c>
      <c r="FO63" s="15" t="str">
        <f>AND(Trans!G944,"AAAAAGb516o=")</f>
        <v>#VALUE!:noResult:No valid cells found for operation.</v>
      </c>
      <c r="FP63" s="15" t="str">
        <f>#REF!</f>
        <v>#VALUE!:noResult:No valid cells found for operation.</v>
      </c>
      <c r="FQ63" s="15" t="str">
        <f>AND(Trans!H944,"AAAAAGb516w=")</f>
        <v>#VALUE!:noResult:No valid cells found for operation.</v>
      </c>
      <c r="FR63" s="15" t="str">
        <f>#REF!</f>
        <v>#VALUE!:noResult:No valid cells found for operation.</v>
      </c>
      <c r="FS63" s="15" t="str">
        <f>#REF!</f>
        <v>#VALUE!:noResult:No valid cells found for operation.</v>
      </c>
      <c r="FT63" s="15" t="str">
        <f>#REF!</f>
        <v>#VALUE!:noResult:No valid cells found for operation.</v>
      </c>
      <c r="FU63" s="15" t="str">
        <f>#REF!</f>
        <v>#VALUE!:noResult:No valid cells found for operation.</v>
      </c>
      <c r="FV63" s="15" t="str">
        <f>#REF!</f>
        <v>#VALUE!:noResult:No valid cells found for operation.</v>
      </c>
      <c r="FW63" s="15" t="str">
        <f>#REF!</f>
        <v>#VALUE!:noResult:No valid cells found for operation.</v>
      </c>
      <c r="FX63" s="15">
        <f>IF(Trans!R[882],"AAAAAGb517M=",0)</f>
        <v>0</v>
      </c>
      <c r="FY63" s="15" t="b">
        <f>AND(Trans!A945,"AAAAAGb517Q=")</f>
        <v>1</v>
      </c>
      <c r="FZ63" s="15" t="str">
        <f>AND(Trans!B945,"AAAAAGb517U=")</f>
        <v>#VALUE!:noResult:No valid cells found for operation.</v>
      </c>
      <c r="GA63" s="15" t="b">
        <f>AND(Trans!C945,"AAAAAGb517Y=")</f>
        <v>1</v>
      </c>
      <c r="GB63" s="15" t="b">
        <f>AND(Trans!D945,"AAAAAGb517c=")</f>
        <v>1</v>
      </c>
      <c r="GC63" s="15" t="str">
        <f>AND(Trans!E945,"AAAAAGb517g=")</f>
        <v>#VALUE!:noResult:No valid cells found for operation.</v>
      </c>
      <c r="GD63" s="15" t="str">
        <f>AND(Trans!F945,"AAAAAGb517k=")</f>
        <v>#VALUE!:noResult:No valid cells found for operation.</v>
      </c>
      <c r="GE63" s="15" t="str">
        <f>AND(Trans!G945,"AAAAAGb517o=")</f>
        <v>#VALUE!:noResult:No valid cells found for operation.</v>
      </c>
      <c r="GF63" s="15" t="str">
        <f>#REF!</f>
        <v>#VALUE!:noResult:No valid cells found for operation.</v>
      </c>
      <c r="GG63" s="15" t="str">
        <f>AND(Trans!H945,"AAAAAGb517w=")</f>
        <v>#VALUE!:noResult:No valid cells found for operation.</v>
      </c>
      <c r="GH63" s="15" t="str">
        <f>#REF!</f>
        <v>#VALUE!:noResult:No valid cells found for operation.</v>
      </c>
      <c r="GI63" s="15" t="str">
        <f>#REF!</f>
        <v>#VALUE!:noResult:No valid cells found for operation.</v>
      </c>
      <c r="GJ63" s="15" t="str">
        <f>#REF!</f>
        <v>#VALUE!:noResult:No valid cells found for operation.</v>
      </c>
      <c r="GK63" s="15" t="str">
        <f>#REF!</f>
        <v>#VALUE!:noResult:No valid cells found for operation.</v>
      </c>
      <c r="GL63" s="15" t="str">
        <f>#REF!</f>
        <v>#VALUE!:noResult:No valid cells found for operation.</v>
      </c>
      <c r="GM63" s="15" t="str">
        <f>#REF!</f>
        <v>#VALUE!:noResult:No valid cells found for operation.</v>
      </c>
      <c r="GN63" s="15">
        <f>IF(Trans!R[883],"AAAAAGb518M=",0)</f>
        <v>0</v>
      </c>
      <c r="GO63" s="15" t="b">
        <f>AND(Trans!A946,"AAAAAGb518Q=")</f>
        <v>1</v>
      </c>
      <c r="GP63" s="15" t="str">
        <f>AND(Trans!B946,"AAAAAGb518U=")</f>
        <v>#VALUE!:noResult:No valid cells found for operation.</v>
      </c>
      <c r="GQ63" s="15" t="b">
        <f>AND(Trans!C946,"AAAAAGb518Y=")</f>
        <v>1</v>
      </c>
      <c r="GR63" s="15" t="b">
        <f>AND(Trans!D946,"AAAAAGb518c=")</f>
        <v>1</v>
      </c>
      <c r="GS63" s="15" t="str">
        <f>AND(Trans!E946,"AAAAAGb518g=")</f>
        <v>#VALUE!:noResult:No valid cells found for operation.</v>
      </c>
      <c r="GT63" s="15" t="str">
        <f>AND(Trans!F946,"AAAAAGb518k=")</f>
        <v>#VALUE!:noResult:No valid cells found for operation.</v>
      </c>
      <c r="GU63" s="15" t="str">
        <f>AND(Trans!G946,"AAAAAGb518o=")</f>
        <v>#VALUE!:noResult:No valid cells found for operation.</v>
      </c>
      <c r="GV63" s="15" t="str">
        <f>#REF!</f>
        <v>#VALUE!:noResult:No valid cells found for operation.</v>
      </c>
      <c r="GW63" s="15" t="str">
        <f>AND(Trans!H946,"AAAAAGb518w=")</f>
        <v>#VALUE!:noResult:No valid cells found for operation.</v>
      </c>
      <c r="GX63" s="15" t="str">
        <f>#REF!</f>
        <v>#VALUE!:noResult:No valid cells found for operation.</v>
      </c>
      <c r="GY63" s="15" t="str">
        <f>#REF!</f>
        <v>#VALUE!:noResult:No valid cells found for operation.</v>
      </c>
      <c r="GZ63" s="15" t="str">
        <f>#REF!</f>
        <v>#VALUE!:noResult:No valid cells found for operation.</v>
      </c>
      <c r="HA63" s="15" t="str">
        <f>#REF!</f>
        <v>#VALUE!:noResult:No valid cells found for operation.</v>
      </c>
      <c r="HB63" s="15" t="str">
        <f>#REF!</f>
        <v>#VALUE!:noResult:No valid cells found for operation.</v>
      </c>
      <c r="HC63" s="15" t="str">
        <f>#REF!</f>
        <v>#VALUE!:noResult:No valid cells found for operation.</v>
      </c>
      <c r="HD63" s="15">
        <f>IF(Trans!R[884],"AAAAAGb519M=",0)</f>
        <v>0</v>
      </c>
      <c r="HE63" s="15" t="b">
        <f>AND(Trans!A947,"AAAAAGb519Q=")</f>
        <v>1</v>
      </c>
      <c r="HF63" s="15" t="str">
        <f>AND(Trans!B947,"AAAAAGb519U=")</f>
        <v>#VALUE!:noResult:No valid cells found for operation.</v>
      </c>
      <c r="HG63" s="15" t="b">
        <f>AND(Trans!C947,"AAAAAGb519Y=")</f>
        <v>1</v>
      </c>
      <c r="HH63" s="15" t="b">
        <f>AND(Trans!D947,"AAAAAGb519c=")</f>
        <v>1</v>
      </c>
      <c r="HI63" s="15" t="str">
        <f>AND(Trans!E947,"AAAAAGb519g=")</f>
        <v>#VALUE!:noResult:No valid cells found for operation.</v>
      </c>
      <c r="HJ63" s="15" t="str">
        <f>AND(Trans!F947,"AAAAAGb519k=")</f>
        <v>#VALUE!:noResult:No valid cells found for operation.</v>
      </c>
      <c r="HK63" s="15" t="str">
        <f>AND(Trans!G947,"AAAAAGb519o=")</f>
        <v>#VALUE!:noResult:No valid cells found for operation.</v>
      </c>
      <c r="HL63" s="15" t="str">
        <f>#REF!</f>
        <v>#VALUE!:noResult:No valid cells found for operation.</v>
      </c>
      <c r="HM63" s="15" t="str">
        <f>AND(Trans!H947,"AAAAAGb519w=")</f>
        <v>#VALUE!:noResult:No valid cells found for operation.</v>
      </c>
      <c r="HN63" s="15" t="str">
        <f>#REF!</f>
        <v>#VALUE!:noResult:No valid cells found for operation.</v>
      </c>
      <c r="HO63" s="15" t="str">
        <f>#REF!</f>
        <v>#VALUE!:noResult:No valid cells found for operation.</v>
      </c>
      <c r="HP63" s="15" t="str">
        <f>#REF!</f>
        <v>#VALUE!:noResult:No valid cells found for operation.</v>
      </c>
      <c r="HQ63" s="15" t="str">
        <f>#REF!</f>
        <v>#VALUE!:noResult:No valid cells found for operation.</v>
      </c>
      <c r="HR63" s="15" t="str">
        <f>#REF!</f>
        <v>#VALUE!:noResult:No valid cells found for operation.</v>
      </c>
      <c r="HS63" s="15" t="str">
        <f>#REF!</f>
        <v>#VALUE!:noResult:No valid cells found for operation.</v>
      </c>
      <c r="HT63" s="15">
        <f>IF(Trans!R[885],"AAAAAGb51+M=",0)</f>
        <v>0</v>
      </c>
      <c r="HU63" s="15" t="b">
        <f>AND(Trans!A948,"AAAAAGb51+Q=")</f>
        <v>1</v>
      </c>
      <c r="HV63" s="15" t="str">
        <f>AND(Trans!B948,"AAAAAGb51+U=")</f>
        <v>#VALUE!:noResult:No valid cells found for operation.</v>
      </c>
      <c r="HW63" s="15" t="b">
        <f>AND(Trans!C948,"AAAAAGb51+Y=")</f>
        <v>1</v>
      </c>
      <c r="HX63" s="15" t="b">
        <f>AND(Trans!D948,"AAAAAGb51+c=")</f>
        <v>1</v>
      </c>
      <c r="HY63" s="15" t="str">
        <f>AND(Trans!E948,"AAAAAGb51+g=")</f>
        <v>#VALUE!:noResult:No valid cells found for operation.</v>
      </c>
      <c r="HZ63" s="15" t="str">
        <f>AND(Trans!F948,"AAAAAGb51+k=")</f>
        <v>#VALUE!:noResult:No valid cells found for operation.</v>
      </c>
      <c r="IA63" s="15" t="str">
        <f>AND(Trans!G948,"AAAAAGb51+o=")</f>
        <v>#VALUE!:noResult:No valid cells found for operation.</v>
      </c>
      <c r="IB63" s="15" t="str">
        <f>#REF!</f>
        <v>#VALUE!:noResult:No valid cells found for operation.</v>
      </c>
      <c r="IC63" s="15" t="str">
        <f>AND(Trans!H948,"AAAAAGb51+w=")</f>
        <v>#VALUE!:noResult:No valid cells found for operation.</v>
      </c>
      <c r="ID63" s="15" t="str">
        <f>#REF!</f>
        <v>#VALUE!:noResult:No valid cells found for operation.</v>
      </c>
      <c r="IE63" s="15" t="str">
        <f>#REF!</f>
        <v>#VALUE!:noResult:No valid cells found for operation.</v>
      </c>
      <c r="IF63" s="15" t="str">
        <f>#REF!</f>
        <v>#VALUE!:noResult:No valid cells found for operation.</v>
      </c>
      <c r="IG63" s="15" t="str">
        <f>#REF!</f>
        <v>#VALUE!:noResult:No valid cells found for operation.</v>
      </c>
      <c r="IH63" s="15" t="str">
        <f>#REF!</f>
        <v>#VALUE!:noResult:No valid cells found for operation.</v>
      </c>
      <c r="II63" s="15" t="str">
        <f>#REF!</f>
        <v>#VALUE!:noResult:No valid cells found for operation.</v>
      </c>
      <c r="IJ63" s="15">
        <f>IF(Trans!R[886],"AAAAAGb51/M=",0)</f>
        <v>0</v>
      </c>
      <c r="IK63" s="15" t="b">
        <f>AND(Trans!A949,"AAAAAGb51/Q=")</f>
        <v>1</v>
      </c>
      <c r="IL63" s="15" t="str">
        <f>AND(Trans!B949,"AAAAAGb51/U=")</f>
        <v>#VALUE!:noResult:No valid cells found for operation.</v>
      </c>
      <c r="IM63" s="15" t="b">
        <f>AND(Trans!C949,"AAAAAGb51/Y=")</f>
        <v>1</v>
      </c>
      <c r="IN63" s="15" t="b">
        <f>AND(Trans!D949,"AAAAAGb51/c=")</f>
        <v>1</v>
      </c>
      <c r="IO63" s="15" t="str">
        <f>AND(Trans!E949,"AAAAAGb51/g=")</f>
        <v>#VALUE!:noResult:No valid cells found for operation.</v>
      </c>
      <c r="IP63" s="15" t="str">
        <f>AND(Trans!F949,"AAAAAGb51/k=")</f>
        <v>#VALUE!:noResult:No valid cells found for operation.</v>
      </c>
      <c r="IQ63" s="15" t="str">
        <f>AND(Trans!G949,"AAAAAGb51/o=")</f>
        <v>#VALUE!:noResult:No valid cells found for operation.</v>
      </c>
      <c r="IR63" s="15" t="str">
        <f>#REF!</f>
        <v>#VALUE!:noResult:No valid cells found for operation.</v>
      </c>
      <c r="IS63" s="15" t="str">
        <f>AND(Trans!H949,"AAAAAGb51/w=")</f>
        <v>#VALUE!:noResult:No valid cells found for operation.</v>
      </c>
      <c r="IT63" s="15" t="str">
        <f>#REF!</f>
        <v>#VALUE!:noResult:No valid cells found for operation.</v>
      </c>
      <c r="IU63" s="15" t="str">
        <f>#REF!</f>
        <v>#VALUE!:noResult:No valid cells found for operation.</v>
      </c>
      <c r="IV63" s="15" t="str">
        <f>#REF!</f>
        <v>#VALUE!:noResult:No valid cells found for operation.</v>
      </c>
    </row>
    <row r="64">
      <c r="A64" s="15" t="str">
        <f>#REF!</f>
        <v>#VALUE!:noResult:No valid cells found for operation.</v>
      </c>
      <c r="B64" s="15" t="str">
        <f>#REF!</f>
        <v>#VALUE!:noResult:No valid cells found for operation.</v>
      </c>
      <c r="C64" s="15" t="str">
        <f>#REF!</f>
        <v>#VALUE!:noResult:No valid cells found for operation.</v>
      </c>
      <c r="D64" s="15" t="str">
        <f>IF(Trans!R[886],"AAAAAB7xnwM=",0)</f>
        <v>AAAAAB7xnwM=</v>
      </c>
      <c r="E64" s="15" t="b">
        <f>AND(Trans!A950,"AAAAAB7xnwQ=")</f>
        <v>1</v>
      </c>
      <c r="F64" s="15" t="str">
        <f>AND(Trans!B950,"AAAAAB7xnwU=")</f>
        <v>#VALUE!:noResult:No valid cells found for operation.</v>
      </c>
      <c r="G64" s="15" t="b">
        <f>AND(Trans!C950,"AAAAAB7xnwY=")</f>
        <v>1</v>
      </c>
      <c r="H64" s="15" t="b">
        <f>AND(Trans!D950,"AAAAAB7xnwc=")</f>
        <v>1</v>
      </c>
      <c r="I64" s="15" t="str">
        <f>AND(Trans!E950,"AAAAAB7xnwg=")</f>
        <v>#VALUE!:noResult:No valid cells found for operation.</v>
      </c>
      <c r="J64" s="15" t="str">
        <f>AND(Trans!F950,"AAAAAB7xnwk=")</f>
        <v>#VALUE!:noResult:No valid cells found for operation.</v>
      </c>
      <c r="K64" s="15" t="str">
        <f>AND(Trans!G950,"AAAAAB7xnwo=")</f>
        <v>#VALUE!:noResult:No valid cells found for operation.</v>
      </c>
      <c r="L64" s="15" t="str">
        <f>#REF!</f>
        <v>#VALUE!:noResult:No valid cells found for operation.</v>
      </c>
      <c r="M64" s="15" t="str">
        <f>AND(Trans!H950,"AAAAAB7xnww=")</f>
        <v>#VALUE!:noResult:No valid cells found for operation.</v>
      </c>
      <c r="N64" s="15" t="str">
        <f>#REF!</f>
        <v>#VALUE!:noResult:No valid cells found for operation.</v>
      </c>
      <c r="O64" s="15" t="str">
        <f>#REF!</f>
        <v>#VALUE!:noResult:No valid cells found for operation.</v>
      </c>
      <c r="P64" s="15" t="str">
        <f>#REF!</f>
        <v>#VALUE!:noResult:No valid cells found for operation.</v>
      </c>
      <c r="Q64" s="15" t="str">
        <f>#REF!</f>
        <v>#VALUE!:noResult:No valid cells found for operation.</v>
      </c>
      <c r="R64" s="15" t="str">
        <f>#REF!</f>
        <v>#VALUE!:noResult:No valid cells found for operation.</v>
      </c>
      <c r="S64" s="15" t="str">
        <f>#REF!</f>
        <v>#VALUE!:noResult:No valid cells found for operation.</v>
      </c>
      <c r="T64" s="15" t="str">
        <f>#REF!</f>
        <v>#REF!:refOutOfRange</v>
      </c>
      <c r="U64" s="15" t="str">
        <f>#REF!</f>
        <v>#VALUE!:noResult:No valid cells found for operation.</v>
      </c>
      <c r="V64" s="15" t="str">
        <f>#REF!</f>
        <v>#VALUE!:noResult:No valid cells found for operation.</v>
      </c>
      <c r="W64" s="15" t="str">
        <f>#REF!</f>
        <v>#VALUE!:noResult:No valid cells found for operation.</v>
      </c>
      <c r="X64" s="15" t="str">
        <f>#REF!</f>
        <v>#VALUE!:noResult:No valid cells found for operation.</v>
      </c>
      <c r="Y64" s="15" t="str">
        <f>#REF!</f>
        <v>#VALUE!:noResult:No valid cells found for operation.</v>
      </c>
      <c r="Z64" s="15" t="str">
        <f>#REF!</f>
        <v>#VALUE!:noResult:No valid cells found for operation.</v>
      </c>
      <c r="AA64" s="15" t="str">
        <f>#REF!</f>
        <v>#VALUE!:noResult:No valid cells found for operation.</v>
      </c>
      <c r="AB64" s="15" t="str">
        <f>#REF!</f>
        <v>#VALUE!:noResult:No valid cells found for operation.</v>
      </c>
      <c r="AC64" s="15" t="str">
        <f>#REF!</f>
        <v>#VALUE!:noResult:No valid cells found for operation.</v>
      </c>
      <c r="AD64" s="15" t="str">
        <f>#REF!</f>
        <v>#VALUE!:noResult:No valid cells found for operation.</v>
      </c>
      <c r="AE64" s="15" t="str">
        <f>#REF!</f>
        <v>#VALUE!:noResult:No valid cells found for operation.</v>
      </c>
      <c r="AF64" s="15" t="str">
        <f>#REF!</f>
        <v>#VALUE!:noResult:No valid cells found for operation.</v>
      </c>
      <c r="AG64" s="15" t="str">
        <f>#REF!</f>
        <v>#VALUE!:noResult:No valid cells found for operation.</v>
      </c>
      <c r="AH64" s="15" t="str">
        <f>#REF!</f>
        <v>#VALUE!:noResult:No valid cells found for operation.</v>
      </c>
      <c r="AI64" s="15" t="str">
        <f>#REF!</f>
        <v>#VALUE!:noResult:No valid cells found for operation.</v>
      </c>
      <c r="AJ64" s="15" t="str">
        <f>#REF!</f>
        <v>#REF!:refOutOfRange</v>
      </c>
      <c r="AK64" s="15" t="str">
        <f>#REF!</f>
        <v>#VALUE!:noResult:No valid cells found for operation.</v>
      </c>
      <c r="AL64" s="15" t="str">
        <f>#REF!</f>
        <v>#VALUE!:noResult:No valid cells found for operation.</v>
      </c>
      <c r="AM64" s="15" t="str">
        <f>#REF!</f>
        <v>#VALUE!:noResult:No valid cells found for operation.</v>
      </c>
      <c r="AN64" s="15" t="str">
        <f>#REF!</f>
        <v>#VALUE!:noResult:No valid cells found for operation.</v>
      </c>
      <c r="AO64" s="15" t="str">
        <f>#REF!</f>
        <v>#VALUE!:noResult:No valid cells found for operation.</v>
      </c>
      <c r="AP64" s="15" t="str">
        <f>#REF!</f>
        <v>#VALUE!:noResult:No valid cells found for operation.</v>
      </c>
      <c r="AQ64" s="15" t="str">
        <f>#REF!</f>
        <v>#VALUE!:noResult:No valid cells found for operation.</v>
      </c>
      <c r="AR64" s="15" t="str">
        <f>#REF!</f>
        <v>#VALUE!:noResult:No valid cells found for operation.</v>
      </c>
      <c r="AS64" s="15" t="str">
        <f>#REF!</f>
        <v>#VALUE!:noResult:No valid cells found for operation.</v>
      </c>
      <c r="AT64" s="15" t="str">
        <f>#REF!</f>
        <v>#VALUE!:noResult:No valid cells found for operation.</v>
      </c>
      <c r="AU64" s="15" t="str">
        <f>#REF!</f>
        <v>#VALUE!:noResult:No valid cells found for operation.</v>
      </c>
      <c r="AV64" s="15" t="str">
        <f>#REF!</f>
        <v>#VALUE!:noResult:No valid cells found for operation.</v>
      </c>
      <c r="AW64" s="15" t="str">
        <f>#REF!</f>
        <v>#VALUE!:noResult:No valid cells found for operation.</v>
      </c>
      <c r="AX64" s="15" t="str">
        <f>#REF!</f>
        <v>#VALUE!:noResult:No valid cells found for operation.</v>
      </c>
      <c r="AY64" s="15" t="str">
        <f>#REF!</f>
        <v>#VALUE!:noResult:No valid cells found for operation.</v>
      </c>
      <c r="AZ64" s="15" t="str">
        <f>#REF!</f>
        <v>#REF!:refOutOfRange</v>
      </c>
      <c r="BA64" s="15" t="str">
        <f>#REF!</f>
        <v>#VALUE!:noResult:No valid cells found for operation.</v>
      </c>
      <c r="BB64" s="15" t="str">
        <f>#REF!</f>
        <v>#VALUE!:noResult:No valid cells found for operation.</v>
      </c>
      <c r="BC64" s="15" t="str">
        <f>#REF!</f>
        <v>#VALUE!:noResult:No valid cells found for operation.</v>
      </c>
      <c r="BD64" s="15" t="str">
        <f>#REF!</f>
        <v>#VALUE!:noResult:No valid cells found for operation.</v>
      </c>
      <c r="BE64" s="15" t="str">
        <f>#REF!</f>
        <v>#VALUE!:noResult:No valid cells found for operation.</v>
      </c>
      <c r="BF64" s="15" t="str">
        <f>#REF!</f>
        <v>#VALUE!:noResult:No valid cells found for operation.</v>
      </c>
      <c r="BG64" s="15" t="str">
        <f>#REF!</f>
        <v>#VALUE!:noResult:No valid cells found for operation.</v>
      </c>
      <c r="BH64" s="15" t="str">
        <f>#REF!</f>
        <v>#VALUE!:noResult:No valid cells found for operation.</v>
      </c>
      <c r="BI64" s="15" t="str">
        <f>#REF!</f>
        <v>#VALUE!:noResult:No valid cells found for operation.</v>
      </c>
      <c r="BJ64" s="15" t="str">
        <f>#REF!</f>
        <v>#VALUE!:noResult:No valid cells found for operation.</v>
      </c>
      <c r="BK64" s="15" t="str">
        <f>#REF!</f>
        <v>#VALUE!:noResult:No valid cells found for operation.</v>
      </c>
      <c r="BL64" s="15" t="str">
        <f>#REF!</f>
        <v>#VALUE!:noResult:No valid cells found for operation.</v>
      </c>
      <c r="BM64" s="15" t="str">
        <f>#REF!</f>
        <v>#VALUE!:noResult:No valid cells found for operation.</v>
      </c>
      <c r="BN64" s="15" t="str">
        <f>#REF!</f>
        <v>#VALUE!:noResult:No valid cells found for operation.</v>
      </c>
      <c r="BO64" s="15" t="str">
        <f>#REF!</f>
        <v>#VALUE!:noResult:No valid cells found for operation.</v>
      </c>
      <c r="BP64" s="15" t="str">
        <f>#REF!</f>
        <v>#REF!:refOutOfRange</v>
      </c>
      <c r="BQ64" s="15" t="str">
        <f>#REF!</f>
        <v>#VALUE!:noResult:No valid cells found for operation.</v>
      </c>
      <c r="BR64" s="15" t="str">
        <f>#REF!</f>
        <v>#VALUE!:noResult:No valid cells found for operation.</v>
      </c>
      <c r="BS64" s="15" t="str">
        <f>#REF!</f>
        <v>#VALUE!:noResult:No valid cells found for operation.</v>
      </c>
      <c r="BT64" s="15" t="str">
        <f>#REF!</f>
        <v>#VALUE!:noResult:No valid cells found for operation.</v>
      </c>
      <c r="BU64" s="15" t="str">
        <f>#REF!</f>
        <v>#VALUE!:noResult:No valid cells found for operation.</v>
      </c>
      <c r="BV64" s="15" t="str">
        <f>#REF!</f>
        <v>#VALUE!:noResult:No valid cells found for operation.</v>
      </c>
      <c r="BW64" s="15" t="str">
        <f>#REF!</f>
        <v>#VALUE!:noResult:No valid cells found for operation.</v>
      </c>
      <c r="BX64" s="15" t="str">
        <f>#REF!</f>
        <v>#VALUE!:noResult:No valid cells found for operation.</v>
      </c>
      <c r="BY64" s="15" t="str">
        <f>#REF!</f>
        <v>#VALUE!:noResult:No valid cells found for operation.</v>
      </c>
      <c r="BZ64" s="15" t="str">
        <f>#REF!</f>
        <v>#VALUE!:noResult:No valid cells found for operation.</v>
      </c>
      <c r="CA64" s="15" t="str">
        <f>#REF!</f>
        <v>#VALUE!:noResult:No valid cells found for operation.</v>
      </c>
      <c r="CB64" s="15" t="str">
        <f>#REF!</f>
        <v>#VALUE!:noResult:No valid cells found for operation.</v>
      </c>
      <c r="CC64" s="15" t="str">
        <f>#REF!</f>
        <v>#VALUE!:noResult:No valid cells found for operation.</v>
      </c>
      <c r="CD64" s="15" t="str">
        <f>#REF!</f>
        <v>#VALUE!:noResult:No valid cells found for operation.</v>
      </c>
      <c r="CE64" s="15" t="str">
        <f>#REF!</f>
        <v>#VALUE!:noResult:No valid cells found for operation.</v>
      </c>
      <c r="CF64" s="15" t="str">
        <f>#REF!</f>
        <v>#REF!:refOutOfRange</v>
      </c>
      <c r="CG64" s="15" t="str">
        <f>#REF!</f>
        <v>#VALUE!:noResult:No valid cells found for operation.</v>
      </c>
      <c r="CH64" s="15" t="str">
        <f>#REF!</f>
        <v>#VALUE!:noResult:No valid cells found for operation.</v>
      </c>
      <c r="CI64" s="15" t="str">
        <f>#REF!</f>
        <v>#VALUE!:noResult:No valid cells found for operation.</v>
      </c>
      <c r="CJ64" s="15" t="str">
        <f>#REF!</f>
        <v>#VALUE!:noResult:No valid cells found for operation.</v>
      </c>
      <c r="CK64" s="15" t="str">
        <f>#REF!</f>
        <v>#VALUE!:noResult:No valid cells found for operation.</v>
      </c>
      <c r="CL64" s="15" t="str">
        <f>#REF!</f>
        <v>#VALUE!:noResult:No valid cells found for operation.</v>
      </c>
      <c r="CM64" s="15" t="str">
        <f>#REF!</f>
        <v>#VALUE!:noResult:No valid cells found for operation.</v>
      </c>
      <c r="CN64" s="15" t="str">
        <f>#REF!</f>
        <v>#VALUE!:noResult:No valid cells found for operation.</v>
      </c>
      <c r="CO64" s="15" t="str">
        <f>#REF!</f>
        <v>#VALUE!:noResult:No valid cells found for operation.</v>
      </c>
      <c r="CP64" s="15" t="str">
        <f>#REF!</f>
        <v>#VALUE!:noResult:No valid cells found for operation.</v>
      </c>
      <c r="CQ64" s="15" t="str">
        <f>#REF!</f>
        <v>#VALUE!:noResult:No valid cells found for operation.</v>
      </c>
      <c r="CR64" s="15" t="str">
        <f>#REF!</f>
        <v>#VALUE!:noResult:No valid cells found for operation.</v>
      </c>
      <c r="CS64" s="15" t="str">
        <f>#REF!</f>
        <v>#VALUE!:noResult:No valid cells found for operation.</v>
      </c>
      <c r="CT64" s="15" t="str">
        <f>#REF!</f>
        <v>#VALUE!:noResult:No valid cells found for operation.</v>
      </c>
      <c r="CU64" s="15" t="str">
        <f>#REF!</f>
        <v>#VALUE!:noResult:No valid cells found for operation.</v>
      </c>
      <c r="CV64" s="15" t="str">
        <f>#REF!</f>
        <v>#REF!:refOutOfRange</v>
      </c>
      <c r="CW64" s="15" t="str">
        <f>#REF!</f>
        <v>#VALUE!:noResult:No valid cells found for operation.</v>
      </c>
      <c r="CX64" s="15" t="str">
        <f>#REF!</f>
        <v>#VALUE!:noResult:No valid cells found for operation.</v>
      </c>
      <c r="CY64" s="15" t="str">
        <f>#REF!</f>
        <v>#VALUE!:noResult:No valid cells found for operation.</v>
      </c>
      <c r="CZ64" s="15" t="str">
        <f>#REF!</f>
        <v>#VALUE!:noResult:No valid cells found for operation.</v>
      </c>
      <c r="DA64" s="15" t="str">
        <f>#REF!</f>
        <v>#VALUE!:noResult:No valid cells found for operation.</v>
      </c>
      <c r="DB64" s="15" t="str">
        <f>#REF!</f>
        <v>#VALUE!:noResult:No valid cells found for operation.</v>
      </c>
      <c r="DC64" s="15" t="str">
        <f>#REF!</f>
        <v>#VALUE!:noResult:No valid cells found for operation.</v>
      </c>
      <c r="DD64" s="15" t="str">
        <f>#REF!</f>
        <v>#VALUE!:noResult:No valid cells found for operation.</v>
      </c>
      <c r="DE64" s="15" t="str">
        <f>#REF!</f>
        <v>#VALUE!:noResult:No valid cells found for operation.</v>
      </c>
      <c r="DF64" s="15" t="str">
        <f>#REF!</f>
        <v>#VALUE!:noResult:No valid cells found for operation.</v>
      </c>
      <c r="DG64" s="15" t="str">
        <f>#REF!</f>
        <v>#VALUE!:noResult:No valid cells found for operation.</v>
      </c>
      <c r="DH64" s="15" t="str">
        <f>#REF!</f>
        <v>#VALUE!:noResult:No valid cells found for operation.</v>
      </c>
      <c r="DI64" s="15" t="str">
        <f>#REF!</f>
        <v>#VALUE!:noResult:No valid cells found for operation.</v>
      </c>
      <c r="DJ64" s="15" t="str">
        <f>#REF!</f>
        <v>#VALUE!:noResult:No valid cells found for operation.</v>
      </c>
      <c r="DK64" s="15" t="str">
        <f>#REF!</f>
        <v>#VALUE!:noResult:No valid cells found for operation.</v>
      </c>
      <c r="DL64" s="15" t="str">
        <f>#REF!</f>
        <v>#REF!:refOutOfRange</v>
      </c>
      <c r="DM64" s="15" t="str">
        <f>#REF!</f>
        <v>#VALUE!:noResult:No valid cells found for operation.</v>
      </c>
      <c r="DN64" s="15" t="str">
        <f>#REF!</f>
        <v>#VALUE!:noResult:No valid cells found for operation.</v>
      </c>
      <c r="DO64" s="15" t="str">
        <f>#REF!</f>
        <v>#VALUE!:noResult:No valid cells found for operation.</v>
      </c>
      <c r="DP64" s="15" t="str">
        <f>#REF!</f>
        <v>#VALUE!:noResult:No valid cells found for operation.</v>
      </c>
      <c r="DQ64" s="15" t="str">
        <f>#REF!</f>
        <v>#VALUE!:noResult:No valid cells found for operation.</v>
      </c>
      <c r="DR64" s="15" t="str">
        <f>#REF!</f>
        <v>#VALUE!:noResult:No valid cells found for operation.</v>
      </c>
      <c r="DS64" s="15" t="str">
        <f>#REF!</f>
        <v>#VALUE!:noResult:No valid cells found for operation.</v>
      </c>
      <c r="DT64" s="15" t="str">
        <f>#REF!</f>
        <v>#VALUE!:noResult:No valid cells found for operation.</v>
      </c>
      <c r="DU64" s="15" t="str">
        <f>#REF!</f>
        <v>#VALUE!:noResult:No valid cells found for operation.</v>
      </c>
      <c r="DV64" s="15" t="str">
        <f>#REF!</f>
        <v>#VALUE!:noResult:No valid cells found for operation.</v>
      </c>
      <c r="DW64" s="15" t="str">
        <f>#REF!</f>
        <v>#VALUE!:noResult:No valid cells found for operation.</v>
      </c>
      <c r="DX64" s="15" t="str">
        <f>#REF!</f>
        <v>#VALUE!:noResult:No valid cells found for operation.</v>
      </c>
      <c r="DY64" s="15" t="str">
        <f>#REF!</f>
        <v>#VALUE!:noResult:No valid cells found for operation.</v>
      </c>
      <c r="DZ64" s="15" t="str">
        <f>#REF!</f>
        <v>#VALUE!:noResult:No valid cells found for operation.</v>
      </c>
      <c r="EA64" s="15" t="str">
        <f>#REF!</f>
        <v>#VALUE!:noResult:No valid cells found for operation.</v>
      </c>
      <c r="EB64" s="15" t="str">
        <f>#REF!</f>
        <v>#REF!:refOutOfRange</v>
      </c>
      <c r="EC64" s="15" t="str">
        <f>#REF!</f>
        <v>#VALUE!:noResult:No valid cells found for operation.</v>
      </c>
      <c r="ED64" s="15" t="str">
        <f>#REF!</f>
        <v>#VALUE!:noResult:No valid cells found for operation.</v>
      </c>
      <c r="EE64" s="15" t="str">
        <f>#REF!</f>
        <v>#VALUE!:noResult:No valid cells found for operation.</v>
      </c>
      <c r="EF64" s="15" t="str">
        <f>#REF!</f>
        <v>#VALUE!:noResult:No valid cells found for operation.</v>
      </c>
      <c r="EG64" s="15" t="str">
        <f>#REF!</f>
        <v>#VALUE!:noResult:No valid cells found for operation.</v>
      </c>
      <c r="EH64" s="15" t="str">
        <f>#REF!</f>
        <v>#VALUE!:noResult:No valid cells found for operation.</v>
      </c>
      <c r="EI64" s="15" t="str">
        <f>#REF!</f>
        <v>#VALUE!:noResult:No valid cells found for operation.</v>
      </c>
      <c r="EJ64" s="15" t="str">
        <f>#REF!</f>
        <v>#VALUE!:noResult:No valid cells found for operation.</v>
      </c>
      <c r="EK64" s="15" t="str">
        <f>#REF!</f>
        <v>#VALUE!:noResult:No valid cells found for operation.</v>
      </c>
      <c r="EL64" s="15" t="str">
        <f>#REF!</f>
        <v>#VALUE!:noResult:No valid cells found for operation.</v>
      </c>
      <c r="EM64" s="15" t="str">
        <f>#REF!</f>
        <v>#VALUE!:noResult:No valid cells found for operation.</v>
      </c>
      <c r="EN64" s="15" t="str">
        <f>#REF!</f>
        <v>#VALUE!:noResult:No valid cells found for operation.</v>
      </c>
      <c r="EO64" s="15" t="str">
        <f>#REF!</f>
        <v>#VALUE!:noResult:No valid cells found for operation.</v>
      </c>
      <c r="EP64" s="15" t="str">
        <f>#REF!</f>
        <v>#VALUE!:noResult:No valid cells found for operation.</v>
      </c>
      <c r="EQ64" s="15" t="str">
        <f>#REF!</f>
        <v>#VALUE!:noResult:No valid cells found for operation.</v>
      </c>
      <c r="ER64" s="15" t="str">
        <f>#REF!</f>
        <v>#REF!:refOutOfRange</v>
      </c>
      <c r="ES64" s="15" t="str">
        <f>#REF!</f>
        <v>#VALUE!:noResult:No valid cells found for operation.</v>
      </c>
      <c r="ET64" s="15" t="str">
        <f>#REF!</f>
        <v>#VALUE!:noResult:No valid cells found for operation.</v>
      </c>
      <c r="EU64" s="15" t="str">
        <f>#REF!</f>
        <v>#VALUE!:noResult:No valid cells found for operation.</v>
      </c>
      <c r="EV64" s="15" t="str">
        <f>#REF!</f>
        <v>#VALUE!:noResult:No valid cells found for operation.</v>
      </c>
      <c r="EW64" s="15" t="str">
        <f>#REF!</f>
        <v>#VALUE!:noResult:No valid cells found for operation.</v>
      </c>
      <c r="EX64" s="15" t="str">
        <f>#REF!</f>
        <v>#VALUE!:noResult:No valid cells found for operation.</v>
      </c>
      <c r="EY64" s="15" t="str">
        <f>#REF!</f>
        <v>#VALUE!:noResult:No valid cells found for operation.</v>
      </c>
      <c r="EZ64" s="15" t="str">
        <f>#REF!</f>
        <v>#VALUE!:noResult:No valid cells found for operation.</v>
      </c>
      <c r="FA64" s="15" t="str">
        <f>#REF!</f>
        <v>#VALUE!:noResult:No valid cells found for operation.</v>
      </c>
      <c r="FB64" s="15" t="str">
        <f>#REF!</f>
        <v>#VALUE!:noResult:No valid cells found for operation.</v>
      </c>
      <c r="FC64" s="15" t="str">
        <f>#REF!</f>
        <v>#VALUE!:noResult:No valid cells found for operation.</v>
      </c>
      <c r="FD64" s="15" t="str">
        <f>#REF!</f>
        <v>#VALUE!:noResult:No valid cells found for operation.</v>
      </c>
      <c r="FE64" s="15" t="str">
        <f>#REF!</f>
        <v>#VALUE!:noResult:No valid cells found for operation.</v>
      </c>
      <c r="FF64" s="15" t="str">
        <f>#REF!</f>
        <v>#VALUE!:noResult:No valid cells found for operation.</v>
      </c>
      <c r="FG64" s="15" t="str">
        <f>#REF!</f>
        <v>#VALUE!:noResult:No valid cells found for operation.</v>
      </c>
      <c r="FH64" s="15" t="str">
        <f>#REF!</f>
        <v>#REF!:refOutOfRange</v>
      </c>
      <c r="FI64" s="15" t="str">
        <f>#REF!</f>
        <v>#VALUE!:noResult:No valid cells found for operation.</v>
      </c>
      <c r="FJ64" s="15" t="str">
        <f>#REF!</f>
        <v>#VALUE!:noResult:No valid cells found for operation.</v>
      </c>
      <c r="FK64" s="15" t="str">
        <f>#REF!</f>
        <v>#VALUE!:noResult:No valid cells found for operation.</v>
      </c>
      <c r="FL64" s="15" t="str">
        <f>#REF!</f>
        <v>#VALUE!:noResult:No valid cells found for operation.</v>
      </c>
      <c r="FM64" s="15" t="str">
        <f>#REF!</f>
        <v>#VALUE!:noResult:No valid cells found for operation.</v>
      </c>
      <c r="FN64" s="15" t="str">
        <f>#REF!</f>
        <v>#VALUE!:noResult:No valid cells found for operation.</v>
      </c>
      <c r="FO64" s="15" t="str">
        <f>#REF!</f>
        <v>#VALUE!:noResult:No valid cells found for operation.</v>
      </c>
      <c r="FP64" s="15" t="str">
        <f>#REF!</f>
        <v>#VALUE!:noResult:No valid cells found for operation.</v>
      </c>
      <c r="FQ64" s="15" t="str">
        <f>#REF!</f>
        <v>#VALUE!:noResult:No valid cells found for operation.</v>
      </c>
      <c r="FR64" s="15" t="str">
        <f>#REF!</f>
        <v>#VALUE!:noResult:No valid cells found for operation.</v>
      </c>
      <c r="FS64" s="15" t="str">
        <f>#REF!</f>
        <v>#VALUE!:noResult:No valid cells found for operation.</v>
      </c>
      <c r="FT64" s="15" t="str">
        <f>#REF!</f>
        <v>#VALUE!:noResult:No valid cells found for operation.</v>
      </c>
      <c r="FU64" s="15" t="str">
        <f>#REF!</f>
        <v>#VALUE!:noResult:No valid cells found for operation.</v>
      </c>
      <c r="FV64" s="15" t="str">
        <f>#REF!</f>
        <v>#VALUE!:noResult:No valid cells found for operation.</v>
      </c>
      <c r="FW64" s="15" t="str">
        <f>#REF!</f>
        <v>#VALUE!:noResult:No valid cells found for operation.</v>
      </c>
      <c r="FX64" s="15" t="str">
        <f>#REF!</f>
        <v>#REF!:refOutOfRange</v>
      </c>
      <c r="FY64" s="15" t="str">
        <f>#REF!</f>
        <v>#VALUE!:noResult:No valid cells found for operation.</v>
      </c>
      <c r="FZ64" s="15" t="str">
        <f>#REF!</f>
        <v>#VALUE!:noResult:No valid cells found for operation.</v>
      </c>
      <c r="GA64" s="15" t="str">
        <f>#REF!</f>
        <v>#VALUE!:noResult:No valid cells found for operation.</v>
      </c>
      <c r="GB64" s="15" t="str">
        <f>#REF!</f>
        <v>#VALUE!:noResult:No valid cells found for operation.</v>
      </c>
      <c r="GC64" s="15" t="str">
        <f>#REF!</f>
        <v>#VALUE!:noResult:No valid cells found for operation.</v>
      </c>
      <c r="GD64" s="15" t="str">
        <f>#REF!</f>
        <v>#VALUE!:noResult:No valid cells found for operation.</v>
      </c>
      <c r="GE64" s="15" t="str">
        <f>#REF!</f>
        <v>#VALUE!:noResult:No valid cells found for operation.</v>
      </c>
      <c r="GF64" s="15" t="str">
        <f>#REF!</f>
        <v>#VALUE!:noResult:No valid cells found for operation.</v>
      </c>
      <c r="GG64" s="15" t="str">
        <f>#REF!</f>
        <v>#VALUE!:noResult:No valid cells found for operation.</v>
      </c>
      <c r="GH64" s="15" t="str">
        <f>#REF!</f>
        <v>#VALUE!:noResult:No valid cells found for operation.</v>
      </c>
      <c r="GI64" s="15" t="str">
        <f>#REF!</f>
        <v>#VALUE!:noResult:No valid cells found for operation.</v>
      </c>
      <c r="GJ64" s="15" t="str">
        <f>#REF!</f>
        <v>#VALUE!:noResult:No valid cells found for operation.</v>
      </c>
      <c r="GK64" s="15" t="str">
        <f>#REF!</f>
        <v>#VALUE!:noResult:No valid cells found for operation.</v>
      </c>
      <c r="GL64" s="15" t="str">
        <f>#REF!</f>
        <v>#VALUE!:noResult:No valid cells found for operation.</v>
      </c>
      <c r="GM64" s="15" t="str">
        <f>#REF!</f>
        <v>#VALUE!:noResult:No valid cells found for operation.</v>
      </c>
      <c r="GN64" s="15" t="str">
        <f>#REF!</f>
        <v>#REF!:refOutOfRange</v>
      </c>
      <c r="GO64" s="15" t="str">
        <f>#REF!</f>
        <v>#VALUE!:noResult:No valid cells found for operation.</v>
      </c>
      <c r="GP64" s="15" t="str">
        <f>#REF!</f>
        <v>#VALUE!:noResult:No valid cells found for operation.</v>
      </c>
      <c r="GQ64" s="15" t="str">
        <f>#REF!</f>
        <v>#VALUE!:noResult:No valid cells found for operation.</v>
      </c>
      <c r="GR64" s="15" t="str">
        <f>#REF!</f>
        <v>#VALUE!:noResult:No valid cells found for operation.</v>
      </c>
      <c r="GS64" s="15" t="str">
        <f>#REF!</f>
        <v>#VALUE!:noResult:No valid cells found for operation.</v>
      </c>
      <c r="GT64" s="15" t="str">
        <f>#REF!</f>
        <v>#VALUE!:noResult:No valid cells found for operation.</v>
      </c>
      <c r="GU64" s="15" t="str">
        <f>#REF!</f>
        <v>#VALUE!:noResult:No valid cells found for operation.</v>
      </c>
      <c r="GV64" s="15" t="str">
        <f>#REF!</f>
        <v>#VALUE!:noResult:No valid cells found for operation.</v>
      </c>
      <c r="GW64" s="15" t="str">
        <f>#REF!</f>
        <v>#VALUE!:noResult:No valid cells found for operation.</v>
      </c>
      <c r="GX64" s="15" t="str">
        <f>#REF!</f>
        <v>#VALUE!:noResult:No valid cells found for operation.</v>
      </c>
      <c r="GY64" s="15" t="str">
        <f>#REF!</f>
        <v>#VALUE!:noResult:No valid cells found for operation.</v>
      </c>
      <c r="GZ64" s="15" t="str">
        <f>#REF!</f>
        <v>#VALUE!:noResult:No valid cells found for operation.</v>
      </c>
      <c r="HA64" s="15" t="str">
        <f>#REF!</f>
        <v>#VALUE!:noResult:No valid cells found for operation.</v>
      </c>
      <c r="HB64" s="15" t="str">
        <f>#REF!</f>
        <v>#VALUE!:noResult:No valid cells found for operation.</v>
      </c>
      <c r="HC64" s="15" t="str">
        <f>#REF!</f>
        <v>#VALUE!:noResult:No valid cells found for operation.</v>
      </c>
      <c r="HD64" s="15" t="str">
        <f>#REF!</f>
        <v>#REF!:refOutOfRange</v>
      </c>
      <c r="HE64" s="15" t="str">
        <f>#REF!</f>
        <v>#VALUE!:noResult:No valid cells found for operation.</v>
      </c>
      <c r="HF64" s="15" t="str">
        <f>#REF!</f>
        <v>#VALUE!:noResult:No valid cells found for operation.</v>
      </c>
      <c r="HG64" s="15" t="str">
        <f>#REF!</f>
        <v>#VALUE!:noResult:No valid cells found for operation.</v>
      </c>
      <c r="HH64" s="15" t="str">
        <f>#REF!</f>
        <v>#VALUE!:noResult:No valid cells found for operation.</v>
      </c>
      <c r="HI64" s="15" t="str">
        <f>#REF!</f>
        <v>#VALUE!:noResult:No valid cells found for operation.</v>
      </c>
      <c r="HJ64" s="15" t="str">
        <f>#REF!</f>
        <v>#VALUE!:noResult:No valid cells found for operation.</v>
      </c>
      <c r="HK64" s="15" t="str">
        <f>#REF!</f>
        <v>#VALUE!:noResult:No valid cells found for operation.</v>
      </c>
      <c r="HL64" s="15" t="str">
        <f>#REF!</f>
        <v>#VALUE!:noResult:No valid cells found for operation.</v>
      </c>
      <c r="HM64" s="15" t="str">
        <f>#REF!</f>
        <v>#VALUE!:noResult:No valid cells found for operation.</v>
      </c>
      <c r="HN64" s="15" t="str">
        <f>#REF!</f>
        <v>#VALUE!:noResult:No valid cells found for operation.</v>
      </c>
      <c r="HO64" s="15" t="str">
        <f>#REF!</f>
        <v>#VALUE!:noResult:No valid cells found for operation.</v>
      </c>
      <c r="HP64" s="15" t="str">
        <f>#REF!</f>
        <v>#VALUE!:noResult:No valid cells found for operation.</v>
      </c>
      <c r="HQ64" s="15" t="str">
        <f>#REF!</f>
        <v>#VALUE!:noResult:No valid cells found for operation.</v>
      </c>
      <c r="HR64" s="15" t="str">
        <f>#REF!</f>
        <v>#VALUE!:noResult:No valid cells found for operation.</v>
      </c>
      <c r="HS64" s="15" t="str">
        <f>#REF!</f>
        <v>#VALUE!:noResult:No valid cells found for operation.</v>
      </c>
      <c r="HT64" s="15" t="str">
        <f>#REF!</f>
        <v>#REF!:refOutOfRange</v>
      </c>
      <c r="HU64" s="15" t="str">
        <f>#REF!</f>
        <v>#VALUE!:noResult:No valid cells found for operation.</v>
      </c>
      <c r="HV64" s="15" t="str">
        <f>#REF!</f>
        <v>#VALUE!:noResult:No valid cells found for operation.</v>
      </c>
      <c r="HW64" s="15" t="str">
        <f>#REF!</f>
        <v>#VALUE!:noResult:No valid cells found for operation.</v>
      </c>
      <c r="HX64" s="15" t="str">
        <f>#REF!</f>
        <v>#VALUE!:noResult:No valid cells found for operation.</v>
      </c>
      <c r="HY64" s="15" t="str">
        <f>#REF!</f>
        <v>#VALUE!:noResult:No valid cells found for operation.</v>
      </c>
      <c r="HZ64" s="15" t="str">
        <f>#REF!</f>
        <v>#VALUE!:noResult:No valid cells found for operation.</v>
      </c>
      <c r="IA64" s="15" t="str">
        <f>#REF!</f>
        <v>#VALUE!:noResult:No valid cells found for operation.</v>
      </c>
      <c r="IB64" s="15" t="str">
        <f>#REF!</f>
        <v>#VALUE!:noResult:No valid cells found for operation.</v>
      </c>
      <c r="IC64" s="15" t="str">
        <f>#REF!</f>
        <v>#VALUE!:noResult:No valid cells found for operation.</v>
      </c>
      <c r="ID64" s="15" t="str">
        <f>#REF!</f>
        <v>#VALUE!:noResult:No valid cells found for operation.</v>
      </c>
      <c r="IE64" s="15" t="str">
        <f>#REF!</f>
        <v>#VALUE!:noResult:No valid cells found for operation.</v>
      </c>
      <c r="IF64" s="15" t="str">
        <f>#REF!</f>
        <v>#VALUE!:noResult:No valid cells found for operation.</v>
      </c>
      <c r="IG64" s="15" t="str">
        <f>#REF!</f>
        <v>#VALUE!:noResult:No valid cells found for operation.</v>
      </c>
      <c r="IH64" s="15" t="str">
        <f>#REF!</f>
        <v>#VALUE!:noResult:No valid cells found for operation.</v>
      </c>
      <c r="II64" s="15" t="str">
        <f>#REF!</f>
        <v>#VALUE!:noResult:No valid cells found for operation.</v>
      </c>
      <c r="IJ64" s="15" t="str">
        <f>#REF!</f>
        <v>#REF!:refOutOfRange</v>
      </c>
      <c r="IK64" s="15" t="str">
        <f>#REF!</f>
        <v>#VALUE!:noResult:No valid cells found for operation.</v>
      </c>
      <c r="IL64" s="15" t="str">
        <f>#REF!</f>
        <v>#VALUE!:noResult:No valid cells found for operation.</v>
      </c>
      <c r="IM64" s="15" t="str">
        <f>#REF!</f>
        <v>#VALUE!:noResult:No valid cells found for operation.</v>
      </c>
      <c r="IN64" s="15" t="str">
        <f>#REF!</f>
        <v>#VALUE!:noResult:No valid cells found for operation.</v>
      </c>
      <c r="IO64" s="15" t="str">
        <f>#REF!</f>
        <v>#VALUE!:noResult:No valid cells found for operation.</v>
      </c>
      <c r="IP64" s="15" t="str">
        <f>#REF!</f>
        <v>#VALUE!:noResult:No valid cells found for operation.</v>
      </c>
      <c r="IQ64" s="15" t="str">
        <f>#REF!</f>
        <v>#VALUE!:noResult:No valid cells found for operation.</v>
      </c>
      <c r="IR64" s="15" t="str">
        <f>#REF!</f>
        <v>#VALUE!:noResult:No valid cells found for operation.</v>
      </c>
      <c r="IS64" s="15" t="str">
        <f>#REF!</f>
        <v>#VALUE!:noResult:No valid cells found for operation.</v>
      </c>
      <c r="IT64" s="15" t="str">
        <f>#REF!</f>
        <v>#VALUE!:noResult:No valid cells found for operation.</v>
      </c>
      <c r="IU64" s="15" t="str">
        <f>#REF!</f>
        <v>#VALUE!:noResult:No valid cells found for operation.</v>
      </c>
      <c r="IV64" s="15" t="str">
        <f>#REF!</f>
        <v>#VALUE!:noResult:No valid cells found for operation.</v>
      </c>
    </row>
    <row r="65">
      <c r="A65" s="15" t="str">
        <f>#REF!</f>
        <v>#VALUE!:noResult:No valid cells found for operation.</v>
      </c>
      <c r="B65" s="15" t="str">
        <f>#REF!</f>
        <v>#VALUE!:noResult:No valid cells found for operation.</v>
      </c>
      <c r="C65" s="15" t="str">
        <f>#REF!</f>
        <v>#VALUE!:noResult:No valid cells found for operation.</v>
      </c>
      <c r="D65" s="15" t="str">
        <f>#REF!</f>
        <v>#REF!:refOutOfRange</v>
      </c>
      <c r="E65" s="15" t="str">
        <f>#REF!</f>
        <v>#VALUE!:noResult:No valid cells found for operation.</v>
      </c>
      <c r="F65" s="15" t="str">
        <f>#REF!</f>
        <v>#VALUE!:noResult:No valid cells found for operation.</v>
      </c>
      <c r="G65" s="15" t="str">
        <f>#REF!</f>
        <v>#VALUE!:noResult:No valid cells found for operation.</v>
      </c>
      <c r="H65" s="15" t="str">
        <f>#REF!</f>
        <v>#VALUE!:noResult:No valid cells found for operation.</v>
      </c>
      <c r="I65" s="15" t="str">
        <f>#REF!</f>
        <v>#VALUE!:noResult:No valid cells found for operation.</v>
      </c>
      <c r="J65" s="15" t="str">
        <f>#REF!</f>
        <v>#VALUE!:noResult:No valid cells found for operation.</v>
      </c>
      <c r="K65" s="15" t="str">
        <f>#REF!</f>
        <v>#VALUE!:noResult:No valid cells found for operation.</v>
      </c>
      <c r="L65" s="15" t="str">
        <f>#REF!</f>
        <v>#VALUE!:noResult:No valid cells found for operation.</v>
      </c>
      <c r="M65" s="15" t="str">
        <f>#REF!</f>
        <v>#VALUE!:noResult:No valid cells found for operation.</v>
      </c>
      <c r="N65" s="15" t="str">
        <f>#REF!</f>
        <v>#VALUE!:noResult:No valid cells found for operation.</v>
      </c>
      <c r="O65" s="15" t="str">
        <f>#REF!</f>
        <v>#VALUE!:noResult:No valid cells found for operation.</v>
      </c>
      <c r="P65" s="15" t="str">
        <f>#REF!</f>
        <v>#VALUE!:noResult:No valid cells found for operation.</v>
      </c>
      <c r="Q65" s="15" t="str">
        <f>#REF!</f>
        <v>#VALUE!:noResult:No valid cells found for operation.</v>
      </c>
      <c r="R65" s="15" t="str">
        <f>#REF!</f>
        <v>#VALUE!:noResult:No valid cells found for operation.</v>
      </c>
      <c r="S65" s="15" t="str">
        <f>#REF!</f>
        <v>#VALUE!:noResult:No valid cells found for operation.</v>
      </c>
      <c r="T65" s="15" t="str">
        <f>#REF!</f>
        <v>#REF!:refOutOfRange</v>
      </c>
      <c r="U65" s="15" t="str">
        <f>#REF!</f>
        <v>#VALUE!:noResult:No valid cells found for operation.</v>
      </c>
      <c r="V65" s="15" t="str">
        <f>#REF!</f>
        <v>#VALUE!:noResult:No valid cells found for operation.</v>
      </c>
      <c r="W65" s="15" t="str">
        <f>#REF!</f>
        <v>#VALUE!:noResult:No valid cells found for operation.</v>
      </c>
      <c r="X65" s="15" t="str">
        <f>#REF!</f>
        <v>#VALUE!:noResult:No valid cells found for operation.</v>
      </c>
      <c r="Y65" s="15" t="str">
        <f>#REF!</f>
        <v>#VALUE!:noResult:No valid cells found for operation.</v>
      </c>
      <c r="Z65" s="15" t="str">
        <f>#REF!</f>
        <v>#VALUE!:noResult:No valid cells found for operation.</v>
      </c>
      <c r="AA65" s="15" t="str">
        <f>#REF!</f>
        <v>#VALUE!:noResult:No valid cells found for operation.</v>
      </c>
      <c r="AB65" s="15" t="str">
        <f>#REF!</f>
        <v>#VALUE!:noResult:No valid cells found for operation.</v>
      </c>
      <c r="AC65" s="15" t="str">
        <f>#REF!</f>
        <v>#VALUE!:noResult:No valid cells found for operation.</v>
      </c>
      <c r="AD65" s="15" t="str">
        <f>#REF!</f>
        <v>#VALUE!:noResult:No valid cells found for operation.</v>
      </c>
      <c r="AE65" s="15" t="str">
        <f>#REF!</f>
        <v>#VALUE!:noResult:No valid cells found for operation.</v>
      </c>
      <c r="AF65" s="15" t="str">
        <f>#REF!</f>
        <v>#VALUE!:noResult:No valid cells found for operation.</v>
      </c>
      <c r="AG65" s="15" t="str">
        <f>#REF!</f>
        <v>#VALUE!:noResult:No valid cells found for operation.</v>
      </c>
      <c r="AH65" s="15" t="str">
        <f>#REF!</f>
        <v>#VALUE!:noResult:No valid cells found for operation.</v>
      </c>
      <c r="AI65" s="15" t="str">
        <f>#REF!</f>
        <v>#VALUE!:noResult:No valid cells found for operation.</v>
      </c>
      <c r="AJ65" s="15" t="str">
        <f>#REF!</f>
        <v>#REF!:refOutOfRange</v>
      </c>
      <c r="AK65" s="15" t="str">
        <f>#REF!</f>
        <v>#VALUE!:noResult:No valid cells found for operation.</v>
      </c>
      <c r="AL65" s="15" t="str">
        <f>#REF!</f>
        <v>#VALUE!:noResult:No valid cells found for operation.</v>
      </c>
      <c r="AM65" s="15" t="str">
        <f>#REF!</f>
        <v>#VALUE!:noResult:No valid cells found for operation.</v>
      </c>
      <c r="AN65" s="15" t="str">
        <f>#REF!</f>
        <v>#VALUE!:noResult:No valid cells found for operation.</v>
      </c>
      <c r="AO65" s="15" t="str">
        <f>#REF!</f>
        <v>#VALUE!:noResult:No valid cells found for operation.</v>
      </c>
      <c r="AP65" s="15" t="str">
        <f>#REF!</f>
        <v>#VALUE!:noResult:No valid cells found for operation.</v>
      </c>
      <c r="AQ65" s="15" t="str">
        <f>#REF!</f>
        <v>#VALUE!:noResult:No valid cells found for operation.</v>
      </c>
      <c r="AR65" s="15" t="str">
        <f>#REF!</f>
        <v>#VALUE!:noResult:No valid cells found for operation.</v>
      </c>
      <c r="AS65" s="15" t="str">
        <f>#REF!</f>
        <v>#VALUE!:noResult:No valid cells found for operation.</v>
      </c>
      <c r="AT65" s="15" t="str">
        <f>#REF!</f>
        <v>#VALUE!:noResult:No valid cells found for operation.</v>
      </c>
      <c r="AU65" s="15" t="str">
        <f>#REF!</f>
        <v>#VALUE!:noResult:No valid cells found for operation.</v>
      </c>
      <c r="AV65" s="15" t="str">
        <f>#REF!</f>
        <v>#VALUE!:noResult:No valid cells found for operation.</v>
      </c>
      <c r="AW65" s="15" t="str">
        <f>#REF!</f>
        <v>#VALUE!:noResult:No valid cells found for operation.</v>
      </c>
      <c r="AX65" s="15" t="str">
        <f>#REF!</f>
        <v>#VALUE!:noResult:No valid cells found for operation.</v>
      </c>
      <c r="AY65" s="15" t="str">
        <f>#REF!</f>
        <v>#VALUE!:noResult:No valid cells found for operation.</v>
      </c>
      <c r="AZ65" s="15" t="str">
        <f>#REF!</f>
        <v>#REF!:refOutOfRange</v>
      </c>
      <c r="BA65" s="15" t="str">
        <f>#REF!</f>
        <v>#VALUE!:noResult:No valid cells found for operation.</v>
      </c>
      <c r="BB65" s="15" t="str">
        <f>#REF!</f>
        <v>#VALUE!:noResult:No valid cells found for operation.</v>
      </c>
      <c r="BC65" s="15" t="str">
        <f>#REF!</f>
        <v>#VALUE!:noResult:No valid cells found for operation.</v>
      </c>
      <c r="BD65" s="15" t="str">
        <f>#REF!</f>
        <v>#VALUE!:noResult:No valid cells found for operation.</v>
      </c>
      <c r="BE65" s="15" t="str">
        <f>#REF!</f>
        <v>#VALUE!:noResult:No valid cells found for operation.</v>
      </c>
      <c r="BF65" s="15" t="str">
        <f>#REF!</f>
        <v>#VALUE!:noResult:No valid cells found for operation.</v>
      </c>
      <c r="BG65" s="15" t="str">
        <f>#REF!</f>
        <v>#VALUE!:noResult:No valid cells found for operation.</v>
      </c>
      <c r="BH65" s="15" t="str">
        <f>#REF!</f>
        <v>#VALUE!:noResult:No valid cells found for operation.</v>
      </c>
      <c r="BI65" s="15" t="str">
        <f>#REF!</f>
        <v>#VALUE!:noResult:No valid cells found for operation.</v>
      </c>
      <c r="BJ65" s="15" t="str">
        <f>#REF!</f>
        <v>#VALUE!:noResult:No valid cells found for operation.</v>
      </c>
      <c r="BK65" s="15" t="str">
        <f>#REF!</f>
        <v>#VALUE!:noResult:No valid cells found for operation.</v>
      </c>
      <c r="BL65" s="15" t="str">
        <f>#REF!</f>
        <v>#VALUE!:noResult:No valid cells found for operation.</v>
      </c>
      <c r="BM65" s="15" t="str">
        <f>#REF!</f>
        <v>#VALUE!:noResult:No valid cells found for operation.</v>
      </c>
      <c r="BN65" s="15" t="str">
        <f>#REF!</f>
        <v>#VALUE!:noResult:No valid cells found for operation.</v>
      </c>
      <c r="BO65" s="15" t="str">
        <f>#REF!</f>
        <v>#VALUE!:noResult:No valid cells found for operation.</v>
      </c>
      <c r="BP65" s="15" t="str">
        <f>#REF!</f>
        <v>#REF!:refOutOfRange</v>
      </c>
      <c r="BQ65" s="15" t="str">
        <f>#REF!</f>
        <v>#VALUE!:noResult:No valid cells found for operation.</v>
      </c>
      <c r="BR65" s="15" t="str">
        <f>#REF!</f>
        <v>#VALUE!:noResult:No valid cells found for operation.</v>
      </c>
      <c r="BS65" s="15" t="str">
        <f>#REF!</f>
        <v>#VALUE!:noResult:No valid cells found for operation.</v>
      </c>
      <c r="BT65" s="15" t="str">
        <f>#REF!</f>
        <v>#VALUE!:noResult:No valid cells found for operation.</v>
      </c>
      <c r="BU65" s="15" t="str">
        <f>#REF!</f>
        <v>#VALUE!:noResult:No valid cells found for operation.</v>
      </c>
      <c r="BV65" s="15" t="str">
        <f>#REF!</f>
        <v>#VALUE!:noResult:No valid cells found for operation.</v>
      </c>
      <c r="BW65" s="15" t="str">
        <f>#REF!</f>
        <v>#VALUE!:noResult:No valid cells found for operation.</v>
      </c>
      <c r="BX65" s="15" t="str">
        <f>#REF!</f>
        <v>#VALUE!:noResult:No valid cells found for operation.</v>
      </c>
      <c r="BY65" s="15" t="str">
        <f>#REF!</f>
        <v>#VALUE!:noResult:No valid cells found for operation.</v>
      </c>
      <c r="BZ65" s="15" t="str">
        <f>#REF!</f>
        <v>#VALUE!:noResult:No valid cells found for operation.</v>
      </c>
      <c r="CA65" s="15" t="str">
        <f>#REF!</f>
        <v>#VALUE!:noResult:No valid cells found for operation.</v>
      </c>
      <c r="CB65" s="15" t="str">
        <f>#REF!</f>
        <v>#VALUE!:noResult:No valid cells found for operation.</v>
      </c>
      <c r="CC65" s="15" t="str">
        <f>#REF!</f>
        <v>#VALUE!:noResult:No valid cells found for operation.</v>
      </c>
      <c r="CD65" s="15" t="str">
        <f>#REF!</f>
        <v>#VALUE!:noResult:No valid cells found for operation.</v>
      </c>
      <c r="CE65" s="15" t="str">
        <f>#REF!</f>
        <v>#VALUE!:noResult:No valid cells found for operation.</v>
      </c>
      <c r="CF65" s="15" t="str">
        <f>#REF!</f>
        <v>#REF!:refOutOfRange</v>
      </c>
      <c r="CG65" s="15" t="str">
        <f>#REF!</f>
        <v>#VALUE!:noResult:No valid cells found for operation.</v>
      </c>
      <c r="CH65" s="15" t="str">
        <f>#REF!</f>
        <v>#VALUE!:noResult:No valid cells found for operation.</v>
      </c>
      <c r="CI65" s="15" t="str">
        <f>#REF!</f>
        <v>#VALUE!:noResult:No valid cells found for operation.</v>
      </c>
      <c r="CJ65" s="15" t="str">
        <f>#REF!</f>
        <v>#VALUE!:noResult:No valid cells found for operation.</v>
      </c>
      <c r="CK65" s="15" t="str">
        <f>#REF!</f>
        <v>#VALUE!:noResult:No valid cells found for operation.</v>
      </c>
      <c r="CL65" s="15" t="str">
        <f>#REF!</f>
        <v>#VALUE!:noResult:No valid cells found for operation.</v>
      </c>
      <c r="CM65" s="15" t="str">
        <f>#REF!</f>
        <v>#VALUE!:noResult:No valid cells found for operation.</v>
      </c>
      <c r="CN65" s="15" t="str">
        <f>#REF!</f>
        <v>#VALUE!:noResult:No valid cells found for operation.</v>
      </c>
      <c r="CO65" s="15" t="str">
        <f>#REF!</f>
        <v>#VALUE!:noResult:No valid cells found for operation.</v>
      </c>
      <c r="CP65" s="15" t="str">
        <f>#REF!</f>
        <v>#VALUE!:noResult:No valid cells found for operation.</v>
      </c>
      <c r="CQ65" s="15" t="str">
        <f>#REF!</f>
        <v>#VALUE!:noResult:No valid cells found for operation.</v>
      </c>
      <c r="CR65" s="15" t="str">
        <f>#REF!</f>
        <v>#VALUE!:noResult:No valid cells found for operation.</v>
      </c>
      <c r="CS65" s="15" t="str">
        <f>#REF!</f>
        <v>#VALUE!:noResult:No valid cells found for operation.</v>
      </c>
      <c r="CT65" s="15" t="str">
        <f>#REF!</f>
        <v>#VALUE!:noResult:No valid cells found for operation.</v>
      </c>
      <c r="CU65" s="15" t="str">
        <f>#REF!</f>
        <v>#VALUE!:noResult:No valid cells found for operation.</v>
      </c>
      <c r="CV65" s="15" t="str">
        <f>#REF!</f>
        <v>#REF!:refOutOfRange</v>
      </c>
      <c r="CW65" s="15" t="str">
        <f>#REF!</f>
        <v>#VALUE!:noResult:No valid cells found for operation.</v>
      </c>
      <c r="CX65" s="15" t="str">
        <f>#REF!</f>
        <v>#VALUE!:noResult:No valid cells found for operation.</v>
      </c>
      <c r="CY65" s="15" t="str">
        <f>#REF!</f>
        <v>#VALUE!:noResult:No valid cells found for operation.</v>
      </c>
      <c r="CZ65" s="15" t="str">
        <f>#REF!</f>
        <v>#VALUE!:noResult:No valid cells found for operation.</v>
      </c>
      <c r="DA65" s="15" t="str">
        <f>#REF!</f>
        <v>#VALUE!:noResult:No valid cells found for operation.</v>
      </c>
      <c r="DB65" s="15" t="str">
        <f>#REF!</f>
        <v>#VALUE!:noResult:No valid cells found for operation.</v>
      </c>
      <c r="DC65" s="15" t="str">
        <f>#REF!</f>
        <v>#VALUE!:noResult:No valid cells found for operation.</v>
      </c>
      <c r="DD65" s="15" t="str">
        <f>#REF!</f>
        <v>#VALUE!:noResult:No valid cells found for operation.</v>
      </c>
      <c r="DE65" s="15" t="str">
        <f>#REF!</f>
        <v>#VALUE!:noResult:No valid cells found for operation.</v>
      </c>
      <c r="DF65" s="15" t="str">
        <f>#REF!</f>
        <v>#VALUE!:noResult:No valid cells found for operation.</v>
      </c>
      <c r="DG65" s="15" t="str">
        <f>#REF!</f>
        <v>#VALUE!:noResult:No valid cells found for operation.</v>
      </c>
      <c r="DH65" s="15" t="str">
        <f>#REF!</f>
        <v>#VALUE!:noResult:No valid cells found for operation.</v>
      </c>
      <c r="DI65" s="15" t="str">
        <f>#REF!</f>
        <v>#VALUE!:noResult:No valid cells found for operation.</v>
      </c>
      <c r="DJ65" s="15" t="str">
        <f>#REF!</f>
        <v>#VALUE!:noResult:No valid cells found for operation.</v>
      </c>
      <c r="DK65" s="15" t="str">
        <f>#REF!</f>
        <v>#VALUE!:noResult:No valid cells found for operation.</v>
      </c>
      <c r="DL65" s="15" t="str">
        <f>#REF!</f>
        <v>#REF!:refOutOfRange</v>
      </c>
      <c r="DM65" s="15" t="str">
        <f>#REF!</f>
        <v>#VALUE!:noResult:No valid cells found for operation.</v>
      </c>
      <c r="DN65" s="15" t="str">
        <f>#REF!</f>
        <v>#VALUE!:noResult:No valid cells found for operation.</v>
      </c>
      <c r="DO65" s="15" t="str">
        <f>#REF!</f>
        <v>#VALUE!:noResult:No valid cells found for operation.</v>
      </c>
      <c r="DP65" s="15" t="str">
        <f>#REF!</f>
        <v>#VALUE!:noResult:No valid cells found for operation.</v>
      </c>
      <c r="DQ65" s="15" t="str">
        <f>#REF!</f>
        <v>#VALUE!:noResult:No valid cells found for operation.</v>
      </c>
      <c r="DR65" s="15" t="str">
        <f>#REF!</f>
        <v>#VALUE!:noResult:No valid cells found for operation.</v>
      </c>
      <c r="DS65" s="15" t="str">
        <f>#REF!</f>
        <v>#VALUE!:noResult:No valid cells found for operation.</v>
      </c>
      <c r="DT65" s="15" t="str">
        <f>#REF!</f>
        <v>#VALUE!:noResult:No valid cells found for operation.</v>
      </c>
      <c r="DU65" s="15" t="str">
        <f>#REF!</f>
        <v>#VALUE!:noResult:No valid cells found for operation.</v>
      </c>
      <c r="DV65" s="15" t="str">
        <f>#REF!</f>
        <v>#VALUE!:noResult:No valid cells found for operation.</v>
      </c>
      <c r="DW65" s="15" t="str">
        <f>#REF!</f>
        <v>#VALUE!:noResult:No valid cells found for operation.</v>
      </c>
      <c r="DX65" s="15" t="str">
        <f>#REF!</f>
        <v>#VALUE!:noResult:No valid cells found for operation.</v>
      </c>
      <c r="DY65" s="15" t="str">
        <f>#REF!</f>
        <v>#VALUE!:noResult:No valid cells found for operation.</v>
      </c>
      <c r="DZ65" s="15" t="str">
        <f>#REF!</f>
        <v>#VALUE!:noResult:No valid cells found for operation.</v>
      </c>
      <c r="EA65" s="15" t="str">
        <f>#REF!</f>
        <v>#VALUE!:noResult:No valid cells found for operation.</v>
      </c>
      <c r="EB65" s="15" t="str">
        <f>#REF!</f>
        <v>#REF!:refOutOfRange</v>
      </c>
      <c r="EC65" s="15" t="str">
        <f>#REF!</f>
        <v>#VALUE!:noResult:No valid cells found for operation.</v>
      </c>
      <c r="ED65" s="15" t="str">
        <f>#REF!</f>
        <v>#VALUE!:noResult:No valid cells found for operation.</v>
      </c>
      <c r="EE65" s="15" t="str">
        <f>#REF!</f>
        <v>#REF!:refOutOfRange</v>
      </c>
      <c r="EF65" s="15" t="str">
        <f>#REF!</f>
        <v>#VALUE!:noResult:No valid cells found for operation.</v>
      </c>
      <c r="EG65" s="15" t="str">
        <f>#REF!</f>
        <v>#VALUE!:noResult:No valid cells found for operation.</v>
      </c>
      <c r="EH65" s="15" t="str">
        <f>#REF!</f>
        <v>#REF!:refOutOfRange</v>
      </c>
      <c r="EI65" s="15" t="str">
        <f>#REF!</f>
        <v>#VALUE!:noResult:No valid cells found for operation.</v>
      </c>
      <c r="EJ65" s="15" t="str">
        <f>#REF!</f>
        <v>#VALUE!:noResult:No valid cells found for operation.</v>
      </c>
      <c r="EK65" s="15" t="str">
        <f>#REF!</f>
        <v>#REF!:refOutOfRange</v>
      </c>
      <c r="EL65" s="15" t="str">
        <f>#REF!</f>
        <v>#VALUE!:noResult:No valid cells found for operation.</v>
      </c>
      <c r="EM65" s="15" t="str">
        <f>#REF!</f>
        <v>#VALUE!:noResult:No valid cells found for operation.</v>
      </c>
      <c r="EN65" s="15" t="str">
        <f>#REF!</f>
        <v>#REF!:refOutOfRange</v>
      </c>
      <c r="EO65" s="15" t="str">
        <f>#REF!</f>
        <v>#VALUE!:noResult:No valid cells found for operation.</v>
      </c>
      <c r="EP65" s="15" t="str">
        <f>#REF!</f>
        <v>#VALUE!:noResult:No valid cells found for operation.</v>
      </c>
      <c r="EQ65" s="15" t="str">
        <f>#REF!</f>
        <v>#REF!:refOutOfRange</v>
      </c>
      <c r="ER65" s="15" t="str">
        <f>#REF!</f>
        <v>#VALUE!:noResult:No valid cells found for operation.</v>
      </c>
      <c r="ES65" s="15" t="str">
        <f>#REF!</f>
        <v>#VALUE!:noResult:No valid cells found for operation.</v>
      </c>
      <c r="ET65" s="15" t="str">
        <f>#REF!</f>
        <v>#REF!:refOutOfRange</v>
      </c>
      <c r="EU65" s="15" t="str">
        <f>#REF!</f>
        <v>#VALUE!:noResult:No valid cells found for operation.</v>
      </c>
      <c r="EV65" s="15" t="str">
        <f>#REF!</f>
        <v>#VALUE!:noResult:No valid cells found for operation.</v>
      </c>
      <c r="EW65" s="15" t="str">
        <f>#REF!</f>
        <v>#REF!:refOutOfRange</v>
      </c>
      <c r="EX65" s="15" t="str">
        <f>#REF!</f>
        <v>#VALUE!:noResult:No valid cells found for operation.</v>
      </c>
      <c r="EY65" s="15" t="str">
        <f>#REF!</f>
        <v>#VALUE!:noResult:No valid cells found for operation.</v>
      </c>
      <c r="EZ65" s="15" t="str">
        <f>#REF!</f>
        <v>#REF!:refOutOfRange</v>
      </c>
      <c r="FA65" s="15" t="str">
        <f>#REF!</f>
        <v>#VALUE!:noResult:No valid cells found for operation.</v>
      </c>
      <c r="FB65" s="15" t="str">
        <f>#REF!</f>
        <v>#VALUE!:noResult:No valid cells found for operation.</v>
      </c>
      <c r="FC65" s="15" t="str">
        <f>#REF!</f>
        <v>#REF!:refOutOfRange</v>
      </c>
      <c r="FD65" s="15" t="str">
        <f>#REF!</f>
        <v>#VALUE!:noResult:No valid cells found for operation.</v>
      </c>
      <c r="FE65" s="15" t="str">
        <f>#REF!</f>
        <v>#VALUE!:noResult:No valid cells found for operation.</v>
      </c>
      <c r="FF65" s="15" t="str">
        <f>#REF!</f>
        <v>#REF!:refOutOfRange</v>
      </c>
      <c r="FG65" s="15" t="str">
        <f>#REF!</f>
        <v>#VALUE!:noResult:No valid cells found for operation.</v>
      </c>
      <c r="FH65" s="15" t="str">
        <f>#REF!</f>
        <v>#VALUE!:noResult:No valid cells found for operation.</v>
      </c>
      <c r="FI65" s="15" t="str">
        <f>#REF!</f>
        <v>#REF!:refOutOfRange</v>
      </c>
      <c r="FJ65" s="15" t="str">
        <f>#REF!</f>
        <v>#VALUE!:noResult:No valid cells found for operation.</v>
      </c>
      <c r="FK65" s="15" t="str">
        <f>#REF!</f>
        <v>#VALUE!:noResult:No valid cells found for operation.</v>
      </c>
      <c r="FL65" s="15" t="str">
        <f>#REF!</f>
        <v>#REF!:refOutOfRange</v>
      </c>
      <c r="FM65" s="15" t="str">
        <f>#REF!</f>
        <v>#VALUE!:noResult:No valid cells found for operation.</v>
      </c>
      <c r="FN65" s="15" t="str">
        <f>#REF!</f>
        <v>#VALUE!:noResult:No valid cells found for operation.</v>
      </c>
      <c r="FO65" s="15" t="str">
        <f>#REF!</f>
        <v>#REF!:refOutOfRange</v>
      </c>
      <c r="FP65" s="15" t="str">
        <f>#REF!</f>
        <v>#VALUE!:noResult:No valid cells found for operation.</v>
      </c>
      <c r="FQ65" s="15" t="str">
        <f>#REF!</f>
        <v>#VALUE!:noResult:No valid cells found for operation.</v>
      </c>
      <c r="FR65" s="15" t="str">
        <f>#REF!</f>
        <v>#REF!:refOutOfRange</v>
      </c>
      <c r="FS65" s="15" t="str">
        <f>#REF!</f>
        <v>#VALUE!:noResult:No valid cells found for operation.</v>
      </c>
      <c r="FT65" s="15" t="str">
        <f>#REF!</f>
        <v>#VALUE!:noResult:No valid cells found for operation.</v>
      </c>
      <c r="FU65" s="15" t="str">
        <f>#REF!</f>
        <v>#REF!:refOutOfRange</v>
      </c>
      <c r="FV65" s="15" t="str">
        <f>#REF!</f>
        <v>#VALUE!:noResult:No valid cells found for operation.</v>
      </c>
      <c r="FW65" s="15" t="str">
        <f>#REF!</f>
        <v>#VALUE!:noResult:No valid cells found for operation.</v>
      </c>
      <c r="FX65" s="15" t="str">
        <f>#REF!</f>
        <v>#REF!:refOutOfRange</v>
      </c>
      <c r="FY65" s="15" t="str">
        <f>#REF!</f>
        <v>#VALUE!:noResult:No valid cells found for operation.</v>
      </c>
      <c r="FZ65" s="15" t="str">
        <f>#REF!</f>
        <v>#VALUE!:noResult:No valid cells found for operation.</v>
      </c>
      <c r="GA65" s="15" t="str">
        <f>#REF!</f>
        <v>#REF!:refOutOfRange</v>
      </c>
      <c r="GB65" s="15" t="str">
        <f>#REF!</f>
        <v>#VALUE!:noResult:No valid cells found for operation.</v>
      </c>
      <c r="GC65" s="15" t="str">
        <f>#REF!</f>
        <v>#VALUE!:noResult:No valid cells found for operation.</v>
      </c>
      <c r="GD65" s="15" t="str">
        <f>#REF!</f>
        <v>#REF!:refOutOfRange</v>
      </c>
      <c r="GE65" s="15" t="str">
        <f>#REF!</f>
        <v>#VALUE!:noResult:No valid cells found for operation.</v>
      </c>
      <c r="GF65" s="15" t="str">
        <f>#REF!</f>
        <v>#VALUE!:noResult:No valid cells found for operation.</v>
      </c>
      <c r="GG65" s="15" t="str">
        <f>#REF!</f>
        <v>#REF!:refOutOfRange</v>
      </c>
      <c r="GH65" s="15" t="str">
        <f>#REF!</f>
        <v>#VALUE!:noResult:No valid cells found for operation.</v>
      </c>
      <c r="GI65" s="15" t="str">
        <f>#REF!</f>
        <v>#VALUE!:noResult:No valid cells found for operation.</v>
      </c>
      <c r="GJ65" s="15" t="str">
        <f>#REF!</f>
        <v>#REF!:refOutOfRange</v>
      </c>
      <c r="GK65" s="15" t="str">
        <f>#REF!</f>
        <v>#VALUE!:noResult:No valid cells found for operation.</v>
      </c>
      <c r="GL65" s="15" t="str">
        <f>#REF!</f>
        <v>#VALUE!:noResult:No valid cells found for operation.</v>
      </c>
      <c r="GM65" s="15" t="str">
        <f>#REF!</f>
        <v>#REF!:refOutOfRange</v>
      </c>
      <c r="GN65" s="15" t="str">
        <f>#REF!</f>
        <v>#VALUE!:noResult:No valid cells found for operation.</v>
      </c>
      <c r="GO65" s="15" t="str">
        <f>#REF!</f>
        <v>#VALUE!:noResult:No valid cells found for operation.</v>
      </c>
      <c r="GP65" s="15" t="str">
        <f>#REF!</f>
        <v>#REF!:refOutOfRange</v>
      </c>
      <c r="GQ65" s="15" t="str">
        <f>#REF!</f>
        <v>#VALUE!:noResult:No valid cells found for operation.</v>
      </c>
      <c r="GR65" s="15" t="str">
        <f>#REF!</f>
        <v>#VALUE!:noResult:No valid cells found for operation.</v>
      </c>
      <c r="GS65" s="15" t="str">
        <f>#REF!</f>
        <v>#REF!:refOutOfRange</v>
      </c>
      <c r="GT65" s="15" t="str">
        <f>#REF!</f>
        <v>#VALUE!:noResult:No valid cells found for operation.</v>
      </c>
      <c r="GU65" s="15" t="str">
        <f>#REF!</f>
        <v>#VALUE!:noResult:No valid cells found for operation.</v>
      </c>
      <c r="GV65" s="15" t="str">
        <f>#REF!</f>
        <v>#REF!:refOutOfRange</v>
      </c>
      <c r="GW65" s="15" t="str">
        <f>#REF!</f>
        <v>#VALUE!:noResult:No valid cells found for operation.</v>
      </c>
      <c r="GX65" s="15" t="str">
        <f>#REF!</f>
        <v>#VALUE!:noResult:No valid cells found for operation.</v>
      </c>
      <c r="GY65" s="15" t="str">
        <f>#REF!</f>
        <v>#REF!:refOutOfRange</v>
      </c>
      <c r="GZ65" s="15" t="str">
        <f>#REF!</f>
        <v>#VALUE!:noResult:No valid cells found for operation.</v>
      </c>
      <c r="HA65" s="15" t="str">
        <f>#REF!</f>
        <v>#VALUE!:noResult:No valid cells found for operation.</v>
      </c>
      <c r="HB65" s="15" t="str">
        <f>#REF!</f>
        <v>#REF!:refOutOfRange</v>
      </c>
      <c r="HC65" s="15" t="str">
        <f>#REF!</f>
        <v>#VALUE!:noResult:No valid cells found for operation.</v>
      </c>
      <c r="HD65" s="15" t="str">
        <f>#REF!</f>
        <v>#VALUE!:noResult:No valid cells found for operation.</v>
      </c>
      <c r="HE65" s="15" t="str">
        <f>#REF!</f>
        <v>#REF!:refOutOfRange</v>
      </c>
      <c r="HF65" s="15" t="str">
        <f>#REF!</f>
        <v>#VALUE!:noResult:No valid cells found for operation.</v>
      </c>
      <c r="HG65" s="15" t="str">
        <f>#REF!</f>
        <v>#VALUE!:noResult:No valid cells found for operation.</v>
      </c>
      <c r="HH65" s="15" t="str">
        <f>#REF!</f>
        <v>#REF!:refOutOfRange</v>
      </c>
      <c r="HI65" s="15" t="str">
        <f>#REF!</f>
        <v>#VALUE!:noResult:No valid cells found for operation.</v>
      </c>
      <c r="HJ65" s="15" t="str">
        <f>#REF!</f>
        <v>#VALUE!:noResult:No valid cells found for operation.</v>
      </c>
      <c r="HK65" s="15" t="str">
        <f>#REF!</f>
        <v>#REF!:refOutOfRange</v>
      </c>
      <c r="HL65" s="15" t="str">
        <f>#REF!</f>
        <v>#VALUE!:noResult:No valid cells found for operation.</v>
      </c>
      <c r="HM65" s="15" t="str">
        <f>#REF!</f>
        <v>#VALUE!:noResult:No valid cells found for operation.</v>
      </c>
      <c r="HN65" s="15" t="str">
        <f>#REF!</f>
        <v>#REF!:refOutOfRange</v>
      </c>
      <c r="HO65" s="15" t="str">
        <f>#REF!</f>
        <v>#VALUE!:noResult:No valid cells found for operation.</v>
      </c>
      <c r="HP65" s="15" t="str">
        <f>#REF!</f>
        <v>#VALUE!:noResult:No valid cells found for operation.</v>
      </c>
      <c r="HQ65" s="15" t="str">
        <f>#REF!</f>
        <v>#REF!:refOutOfRange</v>
      </c>
      <c r="HR65" s="15" t="str">
        <f>#REF!</f>
        <v>#VALUE!:noResult:No valid cells found for operation.</v>
      </c>
      <c r="HS65" s="15" t="str">
        <f>#REF!</f>
        <v>#VALUE!:noResult:No valid cells found for operation.</v>
      </c>
      <c r="HT65" s="15" t="str">
        <f>#REF!</f>
        <v>#REF!:refOutOfRange</v>
      </c>
      <c r="HU65" s="15" t="str">
        <f>#REF!</f>
        <v>#VALUE!:noResult:No valid cells found for operation.</v>
      </c>
      <c r="HV65" s="15" t="str">
        <f>#REF!</f>
        <v>#VALUE!:noResult:No valid cells found for operation.</v>
      </c>
      <c r="HW65" s="15" t="str">
        <f>#REF!</f>
        <v>#REF!:refOutOfRange</v>
      </c>
      <c r="HX65" s="15" t="str">
        <f>#REF!</f>
        <v>#VALUE!:noResult:No valid cells found for operation.</v>
      </c>
      <c r="HY65" s="15" t="str">
        <f>#REF!</f>
        <v>#VALUE!:noResult:No valid cells found for operation.</v>
      </c>
      <c r="HZ65" s="15" t="str">
        <f>#REF!</f>
        <v>#REF!:refOutOfRange</v>
      </c>
      <c r="IA65" s="15" t="str">
        <f>#REF!</f>
        <v>#VALUE!:noResult:No valid cells found for operation.</v>
      </c>
      <c r="IB65" s="15" t="str">
        <f>#REF!</f>
        <v>#VALUE!:noResult:No valid cells found for operation.</v>
      </c>
      <c r="IC65" s="15" t="str">
        <f>#REF!</f>
        <v>#REF!:refOutOfRange</v>
      </c>
      <c r="ID65" s="15" t="str">
        <f>#REF!</f>
        <v>#VALUE!:noResult:No valid cells found for operation.</v>
      </c>
      <c r="IE65" s="15" t="str">
        <f>#REF!</f>
        <v>#VALUE!:noResult:No valid cells found for operation.</v>
      </c>
      <c r="IF65" s="15" t="str">
        <f>#REF!</f>
        <v>#REF!:refOutOfRange</v>
      </c>
      <c r="IG65" s="15" t="str">
        <f>#REF!</f>
        <v>#VALUE!:noResult:No valid cells found for operation.</v>
      </c>
      <c r="IH65" s="15" t="str">
        <f>#REF!</f>
        <v>#VALUE!:noResult:No valid cells found for operation.</v>
      </c>
      <c r="II65" s="15" t="str">
        <f>#REF!</f>
        <v>#REF!:refOutOfRange</v>
      </c>
      <c r="IJ65" s="15" t="str">
        <f>#REF!</f>
        <v>#VALUE!:noResult:No valid cells found for operation.</v>
      </c>
      <c r="IK65" s="15" t="str">
        <f>#REF!</f>
        <v>#VALUE!:noResult:No valid cells found for operation.</v>
      </c>
      <c r="IL65" s="15" t="str">
        <f>#REF!</f>
        <v>#REF!:refOutOfRange</v>
      </c>
      <c r="IM65" s="15" t="str">
        <f>#REF!</f>
        <v>#VALUE!:noResult:No valid cells found for operation.</v>
      </c>
      <c r="IN65" s="15" t="str">
        <f>#REF!</f>
        <v>#VALUE!:noResult:No valid cells found for operation.</v>
      </c>
      <c r="IO65" s="15" t="str">
        <f>#REF!</f>
        <v>#REF!:refOutOfRange</v>
      </c>
      <c r="IP65" s="15" t="str">
        <f>#REF!</f>
        <v>#VALUE!:noResult:No valid cells found for operation.</v>
      </c>
      <c r="IQ65" s="15" t="str">
        <f>#REF!</f>
        <v>#VALUE!:noResult:No valid cells found for operation.</v>
      </c>
      <c r="IR65" s="15" t="str">
        <f>#REF!</f>
        <v>#REF!:refOutOfRange</v>
      </c>
      <c r="IS65" s="15" t="str">
        <f>#REF!</f>
        <v>#VALUE!:noResult:No valid cells found for operation.</v>
      </c>
      <c r="IT65" s="15" t="str">
        <f>#REF!</f>
        <v>#VALUE!:noResult:No valid cells found for operation.</v>
      </c>
      <c r="IU65" s="15" t="str">
        <f>#REF!</f>
        <v>#REF!:refOutOfRange</v>
      </c>
      <c r="IV65" s="15" t="str">
        <f>#REF!</f>
        <v>#VALUE!:noResult:No valid cells found for operation.</v>
      </c>
    </row>
    <row r="66">
      <c r="A66" s="15" t="str">
        <f>#REF!</f>
        <v>#VALUE!:noResult:No valid cells found for operation.</v>
      </c>
      <c r="B66" s="15" t="str">
        <f>#REF!</f>
        <v>#REF!:refOutOfRange</v>
      </c>
      <c r="C66" s="15" t="str">
        <f>#REF!</f>
        <v>#VALUE!:noResult:No valid cells found for operation.</v>
      </c>
      <c r="D66" s="15" t="str">
        <f>#REF!</f>
        <v>#VALUE!:noResult:No valid cells found for operation.</v>
      </c>
      <c r="E66" s="15" t="str">
        <f>#REF!</f>
        <v>#REF!:refOutOfRange</v>
      </c>
      <c r="F66" s="15" t="str">
        <f>#REF!</f>
        <v>#VALUE!:noResult:No valid cells found for operation.</v>
      </c>
      <c r="G66" s="15" t="str">
        <f>#REF!</f>
        <v>#VALUE!:noResult:No valid cells found for operation.</v>
      </c>
      <c r="H66" s="15" t="str">
        <f>#REF!</f>
        <v>#REF!:refOutOfRange</v>
      </c>
      <c r="I66" s="15" t="str">
        <f>#REF!</f>
        <v>#VALUE!:noResult:No valid cells found for operation.</v>
      </c>
      <c r="J66" s="15" t="str">
        <f>#REF!</f>
        <v>#VALUE!:noResult:No valid cells found for operation.</v>
      </c>
      <c r="K66" s="15" t="str">
        <f>#REF!</f>
        <v>#REF!:refOutOfRange</v>
      </c>
      <c r="L66" s="15" t="str">
        <f>#REF!</f>
        <v>#VALUE!:noResult:No valid cells found for operation.</v>
      </c>
      <c r="M66" s="15" t="str">
        <f>#REF!</f>
        <v>#VALUE!:noResult:No valid cells found for operation.</v>
      </c>
      <c r="N66" s="15" t="str">
        <f>#REF!</f>
        <v>#REF!:refOutOfRange</v>
      </c>
      <c r="O66" s="15" t="str">
        <f>#REF!</f>
        <v>#VALUE!:noResult:No valid cells found for operation.</v>
      </c>
      <c r="P66" s="15" t="str">
        <f>#REF!</f>
        <v>#VALUE!:noResult:No valid cells found for operation.</v>
      </c>
      <c r="Q66" s="15" t="str">
        <f>#REF!</f>
        <v>#REF!:refOutOfRange</v>
      </c>
      <c r="R66" s="15" t="str">
        <f>#REF!</f>
        <v>#VALUE!:noResult:No valid cells found for operation.</v>
      </c>
      <c r="S66" s="15" t="str">
        <f>#REF!</f>
        <v>#VALUE!:noResult:No valid cells found for operation.</v>
      </c>
      <c r="T66" s="15" t="str">
        <f>#REF!</f>
        <v>#REF!:refOutOfRange</v>
      </c>
      <c r="U66" s="15" t="str">
        <f>#REF!</f>
        <v>#VALUE!:noResult:No valid cells found for operation.</v>
      </c>
      <c r="V66" s="15" t="str">
        <f>#REF!</f>
        <v>#VALUE!:noResult:No valid cells found for operation.</v>
      </c>
      <c r="W66" s="15" t="str">
        <f>#REF!</f>
        <v>#REF!:refOutOfRange</v>
      </c>
      <c r="X66" s="15" t="str">
        <f>#REF!</f>
        <v>#VALUE!:noResult:No valid cells found for operation.</v>
      </c>
      <c r="Y66" s="15" t="str">
        <f>#REF!</f>
        <v>#VALUE!:noResult:No valid cells found for operation.</v>
      </c>
      <c r="Z66" s="15" t="str">
        <f>#REF!</f>
        <v>#REF!:refOutOfRange</v>
      </c>
      <c r="AA66" s="15" t="str">
        <f>#REF!</f>
        <v>#VALUE!:noResult:No valid cells found for operation.</v>
      </c>
      <c r="AB66" s="15" t="str">
        <f>#REF!</f>
        <v>#VALUE!:noResult:No valid cells found for operation.</v>
      </c>
      <c r="AC66" s="15" t="str">
        <f>#REF!</f>
        <v>#REF!:refOutOfRange</v>
      </c>
      <c r="AD66" s="15" t="str">
        <f>#REF!</f>
        <v>#VALUE!:noResult:No valid cells found for operation.</v>
      </c>
      <c r="AE66" s="15" t="str">
        <f>#REF!</f>
        <v>#VALUE!:noResult:No valid cells found for operation.</v>
      </c>
      <c r="AF66" s="15" t="str">
        <f>#REF!</f>
        <v>#REF!:refOutOfRange</v>
      </c>
      <c r="AG66" s="15" t="str">
        <f>#REF!</f>
        <v>#VALUE!:noResult:No valid cells found for operation.</v>
      </c>
      <c r="AH66" s="15" t="str">
        <f>#REF!</f>
        <v>#VALUE!:noResult:No valid cells found for operation.</v>
      </c>
      <c r="AI66" s="15" t="str">
        <f>#REF!</f>
        <v>#REF!:refOutOfRange</v>
      </c>
      <c r="AJ66" s="15" t="str">
        <f>#REF!</f>
        <v>#VALUE!:noResult:No valid cells found for operation.</v>
      </c>
      <c r="AK66" s="15" t="str">
        <f>#REF!</f>
        <v>#VALUE!:noResult:No valid cells found for operation.</v>
      </c>
      <c r="AL66" s="15" t="str">
        <f>#REF!</f>
        <v>#REF!:refOutOfRange</v>
      </c>
      <c r="AM66" s="15" t="str">
        <f>#REF!</f>
        <v>#VALUE!:noResult:No valid cells found for operation.</v>
      </c>
      <c r="AN66" s="15" t="str">
        <f>#REF!</f>
        <v>#VALUE!:noResult:No valid cells found for operation.</v>
      </c>
      <c r="AO66" s="15" t="str">
        <f>#REF!</f>
        <v>#REF!:refOutOfRange</v>
      </c>
      <c r="AP66" s="15" t="str">
        <f>#REF!</f>
        <v>#VALUE!:noResult:No valid cells found for operation.</v>
      </c>
      <c r="AQ66" s="15" t="str">
        <f>#REF!</f>
        <v>#VALUE!:noResult:No valid cells found for operation.</v>
      </c>
      <c r="AR66" s="15" t="str">
        <f>#REF!</f>
        <v>#REF!:refOutOfRange</v>
      </c>
      <c r="AS66" s="15" t="str">
        <f>#REF!</f>
        <v>#VALUE!:noResult:No valid cells found for operation.</v>
      </c>
      <c r="AT66" s="15" t="str">
        <f>#REF!</f>
        <v>#VALUE!:noResult:No valid cells found for operation.</v>
      </c>
      <c r="AU66" s="15" t="str">
        <f>#REF!</f>
        <v>#REF!:refOutOfRange</v>
      </c>
      <c r="AV66" s="15" t="str">
        <f>#REF!</f>
        <v>#VALUE!:noResult:No valid cells found for operation.</v>
      </c>
      <c r="AW66" s="15" t="str">
        <f>#REF!</f>
        <v>#VALUE!:noResult:No valid cells found for operation.</v>
      </c>
      <c r="AX66" s="15" t="str">
        <f>#REF!</f>
        <v>#REF!:refOutOfRange</v>
      </c>
      <c r="AY66" s="15" t="str">
        <f>#REF!</f>
        <v>#VALUE!:noResult:No valid cells found for operation.</v>
      </c>
      <c r="AZ66" s="15" t="str">
        <f>#REF!</f>
        <v>#VALUE!:noResult:No valid cells found for operation.</v>
      </c>
      <c r="BA66" s="15" t="str">
        <f>#REF!</f>
        <v>#REF!:refOutOfRange</v>
      </c>
      <c r="BB66" s="15" t="str">
        <f>#REF!</f>
        <v>#VALUE!:noResult:No valid cells found for operation.</v>
      </c>
      <c r="BC66" s="15" t="str">
        <f>#REF!</f>
        <v>#VALUE!:noResult:No valid cells found for operation.</v>
      </c>
      <c r="BD66" s="15" t="str">
        <f>#REF!</f>
        <v>#REF!:refOutOfRange</v>
      </c>
      <c r="BE66" s="15" t="str">
        <f>#REF!</f>
        <v>#VALUE!:noResult:No valid cells found for operation.</v>
      </c>
      <c r="BF66" s="15" t="str">
        <f>#REF!</f>
        <v>#VALUE!:noResult:No valid cells found for operation.</v>
      </c>
      <c r="BG66" s="15" t="str">
        <f>#REF!</f>
        <v>#REF!:refOutOfRange</v>
      </c>
      <c r="BH66" s="15" t="str">
        <f>#REF!</f>
        <v>#VALUE!:noResult:No valid cells found for operation.</v>
      </c>
      <c r="BI66" s="15" t="str">
        <f>#REF!</f>
        <v>#VALUE!:noResult:No valid cells found for operation.</v>
      </c>
      <c r="BJ66" s="15" t="str">
        <f>#REF!</f>
        <v>#REF!:refOutOfRange</v>
      </c>
      <c r="BK66" s="15" t="str">
        <f>#REF!</f>
        <v>#VALUE!:noResult:No valid cells found for operation.</v>
      </c>
      <c r="BL66" s="15" t="str">
        <f>#REF!</f>
        <v>#VALUE!:noResult:No valid cells found for operation.</v>
      </c>
      <c r="BM66" s="15" t="str">
        <f>#REF!</f>
        <v>#REF!:refOutOfRange</v>
      </c>
      <c r="BN66" s="15" t="str">
        <f>#REF!</f>
        <v>#VALUE!:noResult:No valid cells found for operation.</v>
      </c>
      <c r="BO66" s="15" t="str">
        <f>#REF!</f>
        <v>#VALUE!:noResult:No valid cells found for operation.</v>
      </c>
      <c r="BP66" s="15" t="str">
        <f>#REF!</f>
        <v>#REF!:refOutOfRange</v>
      </c>
      <c r="BQ66" s="15" t="str">
        <f>#REF!</f>
        <v>#VALUE!:noResult:No valid cells found for operation.</v>
      </c>
      <c r="BR66" s="15" t="str">
        <f>#REF!</f>
        <v>#VALUE!:noResult:No valid cells found for operation.</v>
      </c>
      <c r="BS66" s="15" t="str">
        <f>#REF!</f>
        <v>#REF!:refOutOfRange</v>
      </c>
      <c r="BT66" s="15" t="str">
        <f>#REF!</f>
        <v>#VALUE!:noResult:No valid cells found for operation.</v>
      </c>
      <c r="BU66" s="15" t="str">
        <f>#REF!</f>
        <v>#VALUE!:noResult:No valid cells found for operation.</v>
      </c>
      <c r="BV66" s="15" t="str">
        <f>#REF!</f>
        <v>#REF!:refOutOfRange</v>
      </c>
      <c r="BW66" s="15" t="str">
        <f>#REF!</f>
        <v>#VALUE!:noResult:No valid cells found for operation.</v>
      </c>
      <c r="BX66" s="15" t="str">
        <f>#REF!</f>
        <v>#VALUE!:noResult:No valid cells found for operation.</v>
      </c>
      <c r="BY66" s="15" t="str">
        <f>#REF!</f>
        <v>#REF!:refOutOfRange</v>
      </c>
      <c r="BZ66" s="15" t="str">
        <f>#REF!</f>
        <v>#VALUE!:noResult:No valid cells found for operation.</v>
      </c>
      <c r="CA66" s="15" t="str">
        <f>#REF!</f>
        <v>#VALUE!:noResult:No valid cells found for operation.</v>
      </c>
      <c r="CB66" s="15" t="str">
        <f>#REF!</f>
        <v>#REF!:refOutOfRange</v>
      </c>
      <c r="CC66" s="15" t="str">
        <f>#REF!</f>
        <v>#VALUE!:noResult:No valid cells found for operation.</v>
      </c>
      <c r="CD66" s="15" t="str">
        <f>#REF!</f>
        <v>#VALUE!:noResult:No valid cells found for operation.</v>
      </c>
      <c r="CE66" s="15" t="str">
        <f>#REF!</f>
        <v>#REF!:refOutOfRange</v>
      </c>
      <c r="CF66" s="15" t="str">
        <f>#REF!</f>
        <v>#VALUE!:noResult:No valid cells found for operation.</v>
      </c>
      <c r="CG66" s="15" t="str">
        <f>#REF!</f>
        <v>#VALUE!:noResult:No valid cells found for operation.</v>
      </c>
      <c r="CH66" s="15" t="str">
        <f>#REF!</f>
        <v>#REF!:refOutOfRange</v>
      </c>
      <c r="CI66" s="15" t="str">
        <f>#REF!</f>
        <v>#VALUE!:noResult:No valid cells found for operation.</v>
      </c>
      <c r="CJ66" s="15" t="str">
        <f>#REF!</f>
        <v>#VALUE!:noResult:No valid cells found for operation.</v>
      </c>
      <c r="CK66" s="15" t="str">
        <f>#REF!</f>
        <v>#REF!:refOutOfRange</v>
      </c>
      <c r="CL66" s="15" t="str">
        <f>#REF!</f>
        <v>#VALUE!:noResult:No valid cells found for operation.</v>
      </c>
      <c r="CM66" s="15" t="str">
        <f>#REF!</f>
        <v>#VALUE!:noResult:No valid cells found for operation.</v>
      </c>
      <c r="CN66" s="15" t="str">
        <f>#REF!</f>
        <v>#REF!:refOutOfRange</v>
      </c>
      <c r="CO66" s="15" t="str">
        <f>#REF!</f>
        <v>#VALUE!:noResult:No valid cells found for operation.</v>
      </c>
      <c r="CP66" s="15" t="str">
        <f>#REF!</f>
        <v>#VALUE!:noResult:No valid cells found for operation.</v>
      </c>
      <c r="CQ66" s="15" t="str">
        <f>#REF!</f>
        <v>#REF!:refOutOfRange</v>
      </c>
      <c r="CR66" s="15" t="str">
        <f>#REF!</f>
        <v>#VALUE!:noResult:No valid cells found for operation.</v>
      </c>
      <c r="CS66" s="15" t="str">
        <f>#REF!</f>
        <v>#VALUE!:noResult:No valid cells found for operation.</v>
      </c>
      <c r="CT66" s="15" t="str">
        <f>#REF!</f>
        <v>#REF!:refOutOfRange</v>
      </c>
      <c r="CU66" s="15" t="str">
        <f>#REF!</f>
        <v>#VALUE!:noResult:No valid cells found for operation.</v>
      </c>
      <c r="CV66" s="15" t="str">
        <f>#REF!</f>
        <v>#VALUE!:noResult:No valid cells found for operation.</v>
      </c>
      <c r="CW66" s="15" t="str">
        <f>#REF!</f>
        <v>#REF!:refOutOfRange</v>
      </c>
      <c r="CX66" s="15" t="str">
        <f>#REF!</f>
        <v>#VALUE!:noResult:No valid cells found for operation.</v>
      </c>
      <c r="CY66" s="15" t="str">
        <f>#REF!</f>
        <v>#VALUE!:noResult:No valid cells found for operation.</v>
      </c>
      <c r="CZ66" s="15" t="str">
        <f>#REF!</f>
        <v>#REF!:refOutOfRange</v>
      </c>
      <c r="DA66" s="15" t="str">
        <f>#REF!</f>
        <v>#VALUE!:noResult:No valid cells found for operation.</v>
      </c>
      <c r="DB66" s="15" t="str">
        <f>#REF!</f>
        <v>#VALUE!:noResult:No valid cells found for operation.</v>
      </c>
      <c r="DC66" s="15" t="str">
        <f>#REF!</f>
        <v>#REF!:refOutOfRange</v>
      </c>
      <c r="DD66" s="15" t="str">
        <f>#REF!</f>
        <v>#VALUE!:noResult:No valid cells found for operation.</v>
      </c>
      <c r="DE66" s="15" t="str">
        <f>#REF!</f>
        <v>#VALUE!:noResult:No valid cells found for operation.</v>
      </c>
      <c r="DF66" s="15" t="str">
        <f>#REF!</f>
        <v>#REF!:refOutOfRange</v>
      </c>
      <c r="DG66" s="15" t="str">
        <f>#REF!</f>
        <v>#VALUE!:noResult:No valid cells found for operation.</v>
      </c>
      <c r="DH66" s="15" t="str">
        <f>#REF!</f>
        <v>#VALUE!:noResult:No valid cells found for operation.</v>
      </c>
      <c r="DI66" s="15" t="str">
        <f>#REF!</f>
        <v>#REF!:refOutOfRange</v>
      </c>
      <c r="DJ66" s="15" t="str">
        <f>#REF!</f>
        <v>#VALUE!:noResult:No valid cells found for operation.</v>
      </c>
      <c r="DK66" s="15" t="str">
        <f>#REF!</f>
        <v>#VALUE!:noResult:No valid cells found for operation.</v>
      </c>
      <c r="DL66" s="15" t="str">
        <f>#REF!</f>
        <v>#REF!:refOutOfRange</v>
      </c>
      <c r="DM66" s="15" t="str">
        <f>#REF!</f>
        <v>#VALUE!:noResult:No valid cells found for operation.</v>
      </c>
      <c r="DN66" s="15" t="str">
        <f>#REF!</f>
        <v>#VALUE!:noResult:No valid cells found for operation.</v>
      </c>
      <c r="DO66" s="15" t="str">
        <f>#REF!</f>
        <v>#REF!:refOutOfRange</v>
      </c>
      <c r="DP66" s="15" t="str">
        <f>#REF!</f>
        <v>#VALUE!:noResult:No valid cells found for operation.</v>
      </c>
      <c r="DQ66" s="15" t="str">
        <f>#REF!</f>
        <v>#VALUE!:noResult:No valid cells found for operation.</v>
      </c>
      <c r="DR66" s="15" t="str">
        <f>#REF!</f>
        <v>#REF!:refOutOfRange</v>
      </c>
      <c r="DS66" s="15" t="str">
        <f>#REF!</f>
        <v>#VALUE!:noResult:No valid cells found for operation.</v>
      </c>
      <c r="DT66" s="15" t="str">
        <f>#REF!</f>
        <v>#VALUE!:noResult:No valid cells found for operation.</v>
      </c>
      <c r="DU66" s="15" t="str">
        <f>#REF!</f>
        <v>#REF!:refOutOfRange</v>
      </c>
      <c r="DV66" s="15" t="str">
        <f>#REF!</f>
        <v>#VALUE!:noResult:No valid cells found for operation.</v>
      </c>
      <c r="DW66" s="15" t="str">
        <f>#REF!</f>
        <v>#VALUE!:noResult:No valid cells found for operation.</v>
      </c>
      <c r="DX66" s="15" t="str">
        <f>#REF!</f>
        <v>#REF!:refOutOfRange</v>
      </c>
      <c r="DY66" s="15" t="str">
        <f>#REF!</f>
        <v>#VALUE!:noResult:No valid cells found for operation.</v>
      </c>
      <c r="DZ66" s="15" t="str">
        <f>#REF!</f>
        <v>#VALUE!:noResult:No valid cells found for operation.</v>
      </c>
      <c r="EA66" s="15" t="str">
        <f>#REF!</f>
        <v>#REF!:refOutOfRange</v>
      </c>
      <c r="EB66" s="15" t="str">
        <f>#REF!</f>
        <v>#VALUE!:noResult:No valid cells found for operation.</v>
      </c>
      <c r="EC66" s="15" t="str">
        <f>#REF!</f>
        <v>#VALUE!:noResult:No valid cells found for operation.</v>
      </c>
      <c r="ED66" s="15" t="str">
        <f>#REF!</f>
        <v>#REF!:refOutOfRange</v>
      </c>
      <c r="EE66" s="15" t="str">
        <f>#REF!</f>
        <v>#VALUE!:noResult:No valid cells found for operation.</v>
      </c>
      <c r="EF66" s="15" t="str">
        <f>#REF!</f>
        <v>#VALUE!:noResult:No valid cells found for operation.</v>
      </c>
      <c r="EG66" s="15" t="str">
        <f>#REF!</f>
        <v>#REF!:refOutOfRange</v>
      </c>
      <c r="EH66" s="15" t="str">
        <f>#REF!</f>
        <v>#VALUE!:noResult:No valid cells found for operation.</v>
      </c>
      <c r="EI66" s="15" t="str">
        <f>#REF!</f>
        <v>#VALUE!:noResult:No valid cells found for operation.</v>
      </c>
      <c r="EJ66" s="15" t="str">
        <f>#REF!</f>
        <v>#REF!:refOutOfRange</v>
      </c>
      <c r="EK66" s="15" t="str">
        <f>#REF!</f>
        <v>#VALUE!:noResult:No valid cells found for operation.</v>
      </c>
      <c r="EL66" s="15" t="str">
        <f>#REF!</f>
        <v>#VALUE!:noResult:No valid cells found for operation.</v>
      </c>
      <c r="EM66" s="15" t="str">
        <f>#REF!</f>
        <v>#REF!:refOutOfRange</v>
      </c>
      <c r="EN66" s="15" t="str">
        <f>#REF!</f>
        <v>#VALUE!:noResult:No valid cells found for operation.</v>
      </c>
      <c r="EO66" s="15" t="str">
        <f>#REF!</f>
        <v>#VALUE!:noResult:No valid cells found for operation.</v>
      </c>
      <c r="EP66" s="15" t="str">
        <f>#REF!</f>
        <v>#REF!:refOutOfRange</v>
      </c>
      <c r="EQ66" s="15" t="str">
        <f>#REF!</f>
        <v>#VALUE!:noResult:No valid cells found for operation.</v>
      </c>
      <c r="ER66" s="15" t="str">
        <f>#REF!</f>
        <v>#VALUE!:noResult:No valid cells found for operation.</v>
      </c>
      <c r="ES66" s="15" t="str">
        <f>#REF!</f>
        <v>#REF!:refOutOfRange</v>
      </c>
      <c r="ET66" s="15" t="str">
        <f>#REF!</f>
        <v>#VALUE!:noResult:No valid cells found for operation.</v>
      </c>
      <c r="EU66" s="15" t="str">
        <f>#REF!</f>
        <v>#VALUE!:noResult:No valid cells found for operation.</v>
      </c>
      <c r="EV66" s="15" t="str">
        <f>#REF!</f>
        <v>#REF!:refOutOfRange</v>
      </c>
      <c r="EW66" s="15" t="str">
        <f>#REF!</f>
        <v>#VALUE!:noResult:No valid cells found for operation.</v>
      </c>
      <c r="EX66" s="15" t="str">
        <f>#REF!</f>
        <v>#VALUE!:noResult:No valid cells found for operation.</v>
      </c>
      <c r="EY66" s="15" t="str">
        <f>#REF!</f>
        <v>#REF!:refOutOfRange</v>
      </c>
      <c r="EZ66" s="15" t="str">
        <f>#REF!</f>
        <v>#VALUE!:noResult:No valid cells found for operation.</v>
      </c>
      <c r="FA66" s="15" t="str">
        <f>#REF!</f>
        <v>#VALUE!:noResult:No valid cells found for operation.</v>
      </c>
      <c r="FB66" s="15" t="str">
        <f>#REF!</f>
        <v>#REF!:refOutOfRange</v>
      </c>
      <c r="FC66" s="15" t="str">
        <f>#REF!</f>
        <v>#VALUE!:noResult:No valid cells found for operation.</v>
      </c>
      <c r="FD66" s="15" t="str">
        <f>#REF!</f>
        <v>#VALUE!:noResult:No valid cells found for operation.</v>
      </c>
      <c r="FE66" s="15" t="str">
        <f>#REF!</f>
        <v>#REF!:refOutOfRange</v>
      </c>
      <c r="FF66" s="15" t="str">
        <f>#REF!</f>
        <v>#VALUE!:noResult:No valid cells found for operation.</v>
      </c>
      <c r="FG66" s="15" t="str">
        <f>#REF!</f>
        <v>#VALUE!:noResult:No valid cells found for operation.</v>
      </c>
      <c r="FH66" s="15" t="str">
        <f>#REF!</f>
        <v>#REF!:refOutOfRange</v>
      </c>
      <c r="FI66" s="15" t="str">
        <f>#REF!</f>
        <v>#VALUE!:noResult:No valid cells found for operation.</v>
      </c>
      <c r="FJ66" s="15" t="str">
        <f>#REF!</f>
        <v>#VALUE!:noResult:No valid cells found for operation.</v>
      </c>
      <c r="FK66" s="15" t="str">
        <f>#REF!</f>
        <v>#REF!:refOutOfRange</v>
      </c>
      <c r="FL66" s="15" t="str">
        <f>#REF!</f>
        <v>#VALUE!:noResult:No valid cells found for operation.</v>
      </c>
      <c r="FM66" s="15" t="str">
        <f>#REF!</f>
        <v>#VALUE!:noResult:No valid cells found for operation.</v>
      </c>
      <c r="FN66" s="15" t="str">
        <f>#REF!</f>
        <v>#REF!:refOutOfRange</v>
      </c>
      <c r="FO66" s="15" t="str">
        <f>#REF!</f>
        <v>#VALUE!:noResult:No valid cells found for operation.</v>
      </c>
      <c r="FP66" s="15" t="str">
        <f>#REF!</f>
        <v>#VALUE!:noResult:No valid cells found for operation.</v>
      </c>
      <c r="FQ66" s="15" t="str">
        <f>#REF!</f>
        <v>#REF!:refOutOfRange</v>
      </c>
      <c r="FR66" s="15" t="str">
        <f>#REF!</f>
        <v>#VALUE!:noResult:No valid cells found for operation.</v>
      </c>
      <c r="FS66" s="15" t="str">
        <f>#REF!</f>
        <v>#VALUE!:noResult:No valid cells found for operation.</v>
      </c>
      <c r="FT66" s="15" t="str">
        <f>#REF!</f>
        <v>#REF!:refOutOfRange</v>
      </c>
      <c r="FU66" s="15" t="str">
        <f>#REF!</f>
        <v>#VALUE!:noResult:No valid cells found for operation.</v>
      </c>
      <c r="FV66" s="15" t="str">
        <f>#REF!</f>
        <v>#VALUE!:noResult:No valid cells found for operation.</v>
      </c>
      <c r="FW66" s="15" t="str">
        <f>#REF!</f>
        <v>#REF!:refOutOfRange</v>
      </c>
      <c r="FX66" s="15" t="str">
        <f>#REF!</f>
        <v>#VALUE!:noResult:No valid cells found for operation.</v>
      </c>
      <c r="FY66" s="15" t="str">
        <f>#REF!</f>
        <v>#VALUE!:noResult:No valid cells found for operation.</v>
      </c>
      <c r="FZ66" s="15" t="str">
        <f>#REF!</f>
        <v>#REF!:refOutOfRange</v>
      </c>
      <c r="GA66" s="15" t="str">
        <f>#REF!</f>
        <v>#VALUE!:noResult:No valid cells found for operation.</v>
      </c>
      <c r="GB66" s="15" t="str">
        <f>#REF!</f>
        <v>#VALUE!:noResult:No valid cells found for operation.</v>
      </c>
      <c r="GC66" s="15" t="str">
        <f>#REF!</f>
        <v>#REF!:refOutOfRange</v>
      </c>
      <c r="GD66" s="15" t="str">
        <f>#REF!</f>
        <v>#VALUE!:noResult:No valid cells found for operation.</v>
      </c>
      <c r="GE66" s="15" t="str">
        <f>#REF!</f>
        <v>#VALUE!:noResult:No valid cells found for operation.</v>
      </c>
      <c r="GF66" s="15" t="str">
        <f>#REF!</f>
        <v>#REF!:refOutOfRange</v>
      </c>
      <c r="GG66" s="15" t="str">
        <f>#REF!</f>
        <v>#VALUE!:noResult:No valid cells found for operation.</v>
      </c>
      <c r="GH66" s="15" t="str">
        <f>#REF!</f>
        <v>#VALUE!:noResult:No valid cells found for operation.</v>
      </c>
      <c r="GI66" s="15" t="str">
        <f>#REF!</f>
        <v>#REF!:refOutOfRange</v>
      </c>
      <c r="GJ66" s="15" t="str">
        <f>#REF!</f>
        <v>#VALUE!:noResult:No valid cells found for operation.</v>
      </c>
      <c r="GK66" s="15" t="str">
        <f>#REF!</f>
        <v>#VALUE!:noResult:No valid cells found for operation.</v>
      </c>
      <c r="GL66" s="15" t="str">
        <f>#REF!</f>
        <v>#REF!:refOutOfRange</v>
      </c>
      <c r="GM66" s="15" t="str">
        <f>#REF!</f>
        <v>#VALUE!:noResult:No valid cells found for operation.</v>
      </c>
      <c r="GN66" s="15" t="str">
        <f>#REF!</f>
        <v>#VALUE!:noResult:No valid cells found for operation.</v>
      </c>
      <c r="GO66" s="15" t="str">
        <f>#REF!</f>
        <v>#REF!:refOutOfRange</v>
      </c>
      <c r="GP66" s="15" t="str">
        <f>#REF!</f>
        <v>#VALUE!:noResult:No valid cells found for operation.</v>
      </c>
      <c r="GQ66" s="15" t="str">
        <f>#REF!</f>
        <v>#VALUE!:noResult:No valid cells found for operation.</v>
      </c>
      <c r="GR66" s="15" t="str">
        <f>#REF!</f>
        <v>#REF!:refOutOfRange</v>
      </c>
      <c r="GS66" s="15" t="str">
        <f>#REF!</f>
        <v>#VALUE!:noResult:No valid cells found for operation.</v>
      </c>
      <c r="GT66" s="15" t="str">
        <f>#REF!</f>
        <v>#VALUE!:noResult:No valid cells found for operation.</v>
      </c>
      <c r="GU66" s="15" t="str">
        <f>#REF!</f>
        <v>#REF!:refOutOfRange</v>
      </c>
      <c r="GV66" s="15" t="str">
        <f>#REF!</f>
        <v>#VALUE!:noResult:No valid cells found for operation.</v>
      </c>
      <c r="GW66" s="15" t="str">
        <f>#REF!</f>
        <v>#VALUE!:noResult:No valid cells found for operation.</v>
      </c>
      <c r="GX66" s="15" t="str">
        <f>#REF!</f>
        <v>#REF!:refOutOfRange</v>
      </c>
      <c r="GY66" s="15" t="str">
        <f>#REF!</f>
        <v>#VALUE!:noResult:No valid cells found for operation.</v>
      </c>
      <c r="GZ66" s="15" t="str">
        <f>#REF!</f>
        <v>#VALUE!:noResult:No valid cells found for operation.</v>
      </c>
      <c r="HA66" s="15" t="str">
        <f>#REF!</f>
        <v>#REF!:refOutOfRange</v>
      </c>
      <c r="HB66" s="15" t="str">
        <f>#REF!</f>
        <v>#VALUE!:noResult:No valid cells found for operation.</v>
      </c>
      <c r="HC66" s="15" t="str">
        <f>#REF!</f>
        <v>#VALUE!:noResult:No valid cells found for operation.</v>
      </c>
      <c r="HD66" s="15" t="str">
        <f>#REF!</f>
        <v>#REF!:refOutOfRange</v>
      </c>
      <c r="HE66" s="15" t="str">
        <f>#REF!</f>
        <v>#VALUE!:noResult:No valid cells found for operation.</v>
      </c>
      <c r="HF66" s="15" t="str">
        <f>#REF!</f>
        <v>#VALUE!:noResult:No valid cells found for operation.</v>
      </c>
      <c r="HG66" s="15" t="str">
        <f>#REF!</f>
        <v>#REF!:refOutOfRange</v>
      </c>
      <c r="HH66" s="15" t="str">
        <f>#REF!</f>
        <v>#VALUE!:noResult:No valid cells found for operation.</v>
      </c>
      <c r="HI66" s="15" t="str">
        <f>#REF!</f>
        <v>#VALUE!:noResult:No valid cells found for operation.</v>
      </c>
      <c r="HJ66" s="15" t="str">
        <f>#REF!</f>
        <v>#REF!:refOutOfRange</v>
      </c>
      <c r="HK66" s="15" t="str">
        <f>#REF!</f>
        <v>#VALUE!:noResult:No valid cells found for operation.</v>
      </c>
      <c r="HL66" s="15" t="str">
        <f>#REF!</f>
        <v>#VALUE!:noResult:No valid cells found for operation.</v>
      </c>
      <c r="HM66" s="15" t="str">
        <f>#REF!</f>
        <v>#REF!:refOutOfRange</v>
      </c>
      <c r="HN66" s="15" t="str">
        <f>#REF!</f>
        <v>#VALUE!:noResult:No valid cells found for operation.</v>
      </c>
      <c r="HO66" s="15" t="str">
        <f>#REF!</f>
        <v>#VALUE!:noResult:No valid cells found for operation.</v>
      </c>
      <c r="HP66" s="15" t="str">
        <f>#REF!</f>
        <v>#REF!:refOutOfRange</v>
      </c>
      <c r="HQ66" s="15" t="str">
        <f>#REF!</f>
        <v>#VALUE!:noResult:No valid cells found for operation.</v>
      </c>
      <c r="HR66" s="15" t="str">
        <f>#REF!</f>
        <v>#VALUE!:noResult:No valid cells found for operation.</v>
      </c>
      <c r="HS66" s="15" t="str">
        <f>#REF!</f>
        <v>#REF!:refOutOfRange</v>
      </c>
      <c r="HT66" s="15" t="str">
        <f>#REF!</f>
        <v>#VALUE!:noResult:No valid cells found for operation.</v>
      </c>
      <c r="HU66" s="15" t="str">
        <f>#REF!</f>
        <v>#VALUE!:noResult:No valid cells found for operation.</v>
      </c>
      <c r="HV66" s="15" t="str">
        <f>#REF!</f>
        <v>#REF!:refOutOfRange</v>
      </c>
      <c r="HW66" s="15" t="str">
        <f>#REF!</f>
        <v>#VALUE!:noResult:No valid cells found for operation.</v>
      </c>
      <c r="HX66" s="15" t="str">
        <f>#REF!</f>
        <v>#VALUE!:noResult:No valid cells found for operation.</v>
      </c>
      <c r="HY66" s="15" t="str">
        <f>#REF!</f>
        <v>#REF!:refOutOfRange</v>
      </c>
      <c r="HZ66" s="15" t="str">
        <f>#REF!</f>
        <v>#VALUE!:noResult:No valid cells found for operation.</v>
      </c>
      <c r="IA66" s="15" t="str">
        <f>#REF!</f>
        <v>#VALUE!:noResult:No valid cells found for operation.</v>
      </c>
      <c r="IB66" s="15" t="str">
        <f>#REF!</f>
        <v>#REF!:refOutOfRange</v>
      </c>
      <c r="IC66" s="15" t="str">
        <f>#REF!</f>
        <v>#VALUE!:noResult:No valid cells found for operation.</v>
      </c>
      <c r="ID66" s="15" t="str">
        <f>#REF!</f>
        <v>#VALUE!:noResult:No valid cells found for operation.</v>
      </c>
      <c r="IE66" s="15" t="str">
        <f>#REF!</f>
        <v>#REF!:refOutOfRange</v>
      </c>
      <c r="IF66" s="15" t="str">
        <f>#REF!</f>
        <v>#VALUE!:noResult:No valid cells found for operation.</v>
      </c>
      <c r="IG66" s="15" t="str">
        <f>#REF!</f>
        <v>#VALUE!:noResult:No valid cells found for operation.</v>
      </c>
      <c r="IH66" s="15" t="str">
        <f>#REF!</f>
        <v>#REF!:refOutOfRange</v>
      </c>
      <c r="II66" s="15" t="str">
        <f>#REF!</f>
        <v>#VALUE!:noResult:No valid cells found for operation.</v>
      </c>
      <c r="IJ66" s="15" t="str">
        <f>#REF!</f>
        <v>#VALUE!:noResult:No valid cells found for operation.</v>
      </c>
      <c r="IK66" s="15" t="str">
        <f>#REF!</f>
        <v>#REF!:refOutOfRange</v>
      </c>
      <c r="IL66" s="15" t="str">
        <f>#REF!</f>
        <v>#VALUE!:noResult:No valid cells found for operation.</v>
      </c>
      <c r="IM66" s="15" t="str">
        <f>#REF!</f>
        <v>#VALUE!:noResult:No valid cells found for operation.</v>
      </c>
      <c r="IN66" s="15" t="str">
        <f>#REF!</f>
        <v>#REF!:refOutOfRange</v>
      </c>
      <c r="IO66" s="15" t="str">
        <f>#REF!</f>
        <v>#VALUE!:noResult:No valid cells found for operation.</v>
      </c>
      <c r="IP66" s="15" t="str">
        <f>#REF!</f>
        <v>#VALUE!:noResult:No valid cells found for operation.</v>
      </c>
      <c r="IQ66" s="15" t="str">
        <f>#REF!</f>
        <v>#REF!:refOutOfRange</v>
      </c>
      <c r="IR66" s="15" t="str">
        <f>#REF!</f>
        <v>#VALUE!:noResult:No valid cells found for operation.</v>
      </c>
      <c r="IS66" s="15" t="str">
        <f>#REF!</f>
        <v>#VALUE!:noResult:No valid cells found for operation.</v>
      </c>
      <c r="IT66" s="15" t="str">
        <f>#REF!</f>
        <v>#REF!:refOutOfRange</v>
      </c>
      <c r="IU66" s="15" t="str">
        <f>#REF!</f>
        <v>#VALUE!:noResult:No valid cells found for operation.</v>
      </c>
      <c r="IV66" s="15" t="str">
        <f>#REF!</f>
        <v>#VALUE!:noResult:No valid cells found for operation.</v>
      </c>
    </row>
    <row r="67">
      <c r="A67" s="15" t="str">
        <f>#REF!</f>
        <v>#REF!:refOutOfRange</v>
      </c>
      <c r="B67" s="15" t="str">
        <f>#REF!</f>
        <v>#VALUE!:noResult:No valid cells found for operation.</v>
      </c>
      <c r="C67" s="15" t="str">
        <f>#REF!</f>
        <v>#VALUE!:noResult:No valid cells found for operation.</v>
      </c>
      <c r="D67" s="15" t="str">
        <f>#REF!</f>
        <v>#REF!:refOutOfRange</v>
      </c>
      <c r="E67" s="15" t="str">
        <f>#REF!</f>
        <v>#VALUE!:noResult:No valid cells found for operation.</v>
      </c>
      <c r="F67" s="15" t="str">
        <f>#REF!</f>
        <v>#VALUE!:noResult:No valid cells found for operation.</v>
      </c>
      <c r="G67" s="15" t="str">
        <f>#REF!</f>
        <v>#REF!:refOutOfRange</v>
      </c>
      <c r="H67" s="15" t="str">
        <f>#REF!</f>
        <v>#VALUE!:noResult:No valid cells found for operation.</v>
      </c>
      <c r="I67" s="15" t="str">
        <f>#REF!</f>
        <v>#VALUE!:noResult:No valid cells found for operation.</v>
      </c>
      <c r="J67" s="15" t="str">
        <f>#REF!</f>
        <v>#REF!:refOutOfRange</v>
      </c>
      <c r="K67" s="15" t="str">
        <f>#REF!</f>
        <v>#VALUE!:noResult:No valid cells found for operation.</v>
      </c>
      <c r="L67" s="15" t="str">
        <f>#REF!</f>
        <v>#VALUE!:noResult:No valid cells found for operation.</v>
      </c>
      <c r="M67" s="15" t="str">
        <f>#REF!</f>
        <v>#REF!:refOutOfRange</v>
      </c>
      <c r="N67" s="15" t="str">
        <f>#REF!</f>
        <v>#VALUE!:noResult:No valid cells found for operation.</v>
      </c>
      <c r="O67" s="15" t="str">
        <f>#REF!</f>
        <v>#VALUE!:noResult:No valid cells found for operation.</v>
      </c>
      <c r="P67" s="15" t="str">
        <f>#REF!</f>
        <v>#REF!:refOutOfRange</v>
      </c>
      <c r="Q67" s="15" t="str">
        <f>#REF!</f>
        <v>#VALUE!:noResult:No valid cells found for operation.</v>
      </c>
      <c r="R67" s="15" t="str">
        <f>#REF!</f>
        <v>#VALUE!:noResult:No valid cells found for operation.</v>
      </c>
      <c r="S67" s="15" t="str">
        <f>#REF!</f>
        <v>#REF!:refOutOfRange</v>
      </c>
      <c r="T67" s="15" t="str">
        <f>#REF!</f>
        <v>#VALUE!:noResult:No valid cells found for operation.</v>
      </c>
      <c r="U67" s="15" t="str">
        <f>#REF!</f>
        <v>#VALUE!:noResult:No valid cells found for operation.</v>
      </c>
      <c r="V67" s="15" t="str">
        <f>#REF!</f>
        <v>#REF!:refOutOfRange</v>
      </c>
      <c r="W67" s="15" t="str">
        <f>#REF!</f>
        <v>#VALUE!:noResult:No valid cells found for operation.</v>
      </c>
      <c r="X67" s="15" t="str">
        <f>#REF!</f>
        <v>#VALUE!:noResult:No valid cells found for operation.</v>
      </c>
      <c r="Y67" s="15" t="str">
        <f>#REF!</f>
        <v>#REF!:refOutOfRange</v>
      </c>
      <c r="Z67" s="15" t="str">
        <f>#REF!</f>
        <v>#VALUE!:noResult:No valid cells found for operation.</v>
      </c>
      <c r="AA67" s="15" t="str">
        <f>#REF!</f>
        <v>#VALUE!:noResult:No valid cells found for operation.</v>
      </c>
      <c r="AB67" s="15" t="str">
        <f>#REF!</f>
        <v>#REF!:refOutOfRange</v>
      </c>
      <c r="AC67" s="15" t="str">
        <f>#REF!</f>
        <v>#VALUE!:noResult:No valid cells found for operation.</v>
      </c>
      <c r="AD67" s="15" t="str">
        <f>#REF!</f>
        <v>#VALUE!:noResult:No valid cells found for operation.</v>
      </c>
      <c r="AE67" s="15" t="str">
        <f>#REF!</f>
        <v>#REF!:refOutOfRange</v>
      </c>
      <c r="AF67" s="15" t="str">
        <f>#REF!</f>
        <v>#VALUE!:noResult:No valid cells found for operation.</v>
      </c>
      <c r="AG67" s="15" t="str">
        <f>#REF!</f>
        <v>#VALUE!:noResult:No valid cells found for operation.</v>
      </c>
      <c r="AH67" s="15" t="str">
        <f>#REF!</f>
        <v>#REF!:refOutOfRange</v>
      </c>
      <c r="AI67" s="15" t="str">
        <f>#REF!</f>
        <v>#VALUE!:noResult:No valid cells found for operation.</v>
      </c>
      <c r="AJ67" s="15" t="str">
        <f>#REF!</f>
        <v>#VALUE!:noResult:No valid cells found for operation.</v>
      </c>
      <c r="AK67" s="15" t="str">
        <f>#REF!</f>
        <v>#REF!:refOutOfRange</v>
      </c>
      <c r="AL67" s="15" t="str">
        <f>#REF!</f>
        <v>#VALUE!:noResult:No valid cells found for operation.</v>
      </c>
      <c r="AM67" s="15" t="str">
        <f>#REF!</f>
        <v>#VALUE!:noResult:No valid cells found for operation.</v>
      </c>
      <c r="AN67" s="15" t="str">
        <f>#REF!</f>
        <v>#REF!:refOutOfRange</v>
      </c>
      <c r="AO67" s="15" t="str">
        <f>#REF!</f>
        <v>#VALUE!:noResult:No valid cells found for operation.</v>
      </c>
      <c r="AP67" s="15" t="str">
        <f>#REF!</f>
        <v>#VALUE!:noResult:No valid cells found for operation.</v>
      </c>
      <c r="AQ67" s="15" t="str">
        <f>#REF!</f>
        <v>#REF!:refOutOfRange</v>
      </c>
      <c r="AR67" s="15" t="str">
        <f>#REF!</f>
        <v>#VALUE!:noResult:No valid cells found for operation.</v>
      </c>
      <c r="AS67" s="15" t="str">
        <f>#REF!</f>
        <v>#VALUE!:noResult:No valid cells found for operation.</v>
      </c>
      <c r="AT67" s="15" t="str">
        <f>#REF!</f>
        <v>#REF!:refOutOfRange</v>
      </c>
      <c r="AU67" s="15" t="str">
        <f>#REF!</f>
        <v>#VALUE!:noResult:No valid cells found for operation.</v>
      </c>
      <c r="AV67" s="15" t="str">
        <f>#REF!</f>
        <v>#VALUE!:noResult:No valid cells found for operation.</v>
      </c>
      <c r="AW67" s="15" t="str">
        <f>#REF!</f>
        <v>#REF!:refOutOfRange</v>
      </c>
      <c r="AX67" s="15" t="str">
        <f>#REF!</f>
        <v>#VALUE!:noResult:No valid cells found for operation.</v>
      </c>
      <c r="AY67" s="15" t="str">
        <f>#REF!</f>
        <v>#VALUE!:noResult:No valid cells found for operation.</v>
      </c>
      <c r="AZ67" s="15" t="str">
        <f>#REF!</f>
        <v>#REF!:refOutOfRange</v>
      </c>
      <c r="BA67" s="15" t="str">
        <f>#REF!</f>
        <v>#VALUE!:noResult:No valid cells found for operation.</v>
      </c>
      <c r="BB67" s="15" t="str">
        <f>#REF!</f>
        <v>#VALUE!:noResult:No valid cells found for operation.</v>
      </c>
      <c r="BC67" s="15" t="str">
        <f>#REF!</f>
        <v>#REF!:refOutOfRange</v>
      </c>
      <c r="BD67" s="15" t="str">
        <f>#REF!</f>
        <v>#VALUE!:noResult:No valid cells found for operation.</v>
      </c>
      <c r="BE67" s="15" t="str">
        <f>#REF!</f>
        <v>#VALUE!:noResult:No valid cells found for operation.</v>
      </c>
      <c r="BF67" s="15" t="str">
        <f>#REF!</f>
        <v>#REF!:refOutOfRange</v>
      </c>
      <c r="BG67" s="15" t="str">
        <f>#REF!</f>
        <v>#VALUE!:noResult:No valid cells found for operation.</v>
      </c>
      <c r="BH67" s="15" t="str">
        <f>#REF!</f>
        <v>#VALUE!:noResult:No valid cells found for operation.</v>
      </c>
      <c r="BI67" s="15" t="str">
        <f>#REF!</f>
        <v>#REF!:refOutOfRange</v>
      </c>
      <c r="BJ67" s="15" t="str">
        <f>#REF!</f>
        <v>#VALUE!:noResult:No valid cells found for operation.</v>
      </c>
      <c r="BK67" s="15" t="str">
        <f>#REF!</f>
        <v>#VALUE!:noResult:No valid cells found for operation.</v>
      </c>
      <c r="BL67" s="15" t="str">
        <f>#REF!</f>
        <v>#REF!:refOutOfRange</v>
      </c>
      <c r="BM67" s="15" t="str">
        <f>#REF!</f>
        <v>#VALUE!:noResult:No valid cells found for operation.</v>
      </c>
      <c r="BN67" s="15" t="str">
        <f>#REF!</f>
        <v>#VALUE!:noResult:No valid cells found for operation.</v>
      </c>
      <c r="BO67" s="15" t="str">
        <f>#REF!</f>
        <v>#REF!:refOutOfRange</v>
      </c>
      <c r="BP67" s="15" t="str">
        <f>#REF!</f>
        <v>#VALUE!:noResult:No valid cells found for operation.</v>
      </c>
      <c r="BQ67" s="15" t="str">
        <f>#REF!</f>
        <v>#VALUE!:noResult:No valid cells found for operation.</v>
      </c>
      <c r="BR67" s="15" t="str">
        <f>#REF!</f>
        <v>#REF!:refOutOfRange</v>
      </c>
      <c r="BS67" s="15" t="str">
        <f>#REF!</f>
        <v>#VALUE!:noResult:No valid cells found for operation.</v>
      </c>
      <c r="BT67" s="15" t="str">
        <f>#REF!</f>
        <v>#VALUE!:noResult:No valid cells found for operation.</v>
      </c>
      <c r="BU67" s="15" t="str">
        <f>#REF!</f>
        <v>#REF!:refOutOfRange</v>
      </c>
      <c r="BV67" s="15" t="str">
        <f>#REF!</f>
        <v>#VALUE!:noResult:No valid cells found for operation.</v>
      </c>
      <c r="BW67" s="15" t="str">
        <f>#REF!</f>
        <v>#VALUE!:noResult:No valid cells found for operation.</v>
      </c>
      <c r="BX67" s="15" t="str">
        <f>#REF!</f>
        <v>#REF!:refOutOfRange</v>
      </c>
      <c r="BY67" s="15" t="str">
        <f>#REF!</f>
        <v>#VALUE!:noResult:No valid cells found for operation.</v>
      </c>
      <c r="BZ67" s="15" t="str">
        <f>#REF!</f>
        <v>#VALUE!:noResult:No valid cells found for operation.</v>
      </c>
      <c r="CA67" s="15" t="str">
        <f>#REF!</f>
        <v>#REF!:refOutOfRange</v>
      </c>
      <c r="CB67" s="15" t="str">
        <f>#REF!</f>
        <v>#VALUE!:noResult:No valid cells found for operation.</v>
      </c>
      <c r="CC67" s="15" t="str">
        <f>#REF!</f>
        <v>#VALUE!:noResult:No valid cells found for operation.</v>
      </c>
      <c r="CD67" s="15" t="str">
        <f>#REF!</f>
        <v>#REF!:refOutOfRange</v>
      </c>
      <c r="CE67" s="15" t="str">
        <f>#REF!</f>
        <v>#VALUE!:noResult:No valid cells found for operation.</v>
      </c>
      <c r="CF67" s="15" t="str">
        <f>#REF!</f>
        <v>#VALUE!:noResult:No valid cells found for operation.</v>
      </c>
      <c r="CG67" s="15" t="str">
        <f>#REF!</f>
        <v>#REF!:refOutOfRange</v>
      </c>
      <c r="CH67" s="15" t="str">
        <f>#REF!</f>
        <v>#VALUE!:noResult:No valid cells found for operation.</v>
      </c>
      <c r="CI67" s="15" t="str">
        <f>#REF!</f>
        <v>#VALUE!:noResult:No valid cells found for operation.</v>
      </c>
      <c r="CJ67" s="15" t="str">
        <f>#REF!</f>
        <v>#REF!:refOutOfRange</v>
      </c>
      <c r="CK67" s="15" t="str">
        <f>#REF!</f>
        <v>#VALUE!:noResult:No valid cells found for operation.</v>
      </c>
      <c r="CL67" s="15" t="str">
        <f>#REF!</f>
        <v>#VALUE!:noResult:No valid cells found for operation.</v>
      </c>
      <c r="CM67" s="15" t="str">
        <f>#REF!</f>
        <v>#REF!:refOutOfRange</v>
      </c>
      <c r="CN67" s="15" t="str">
        <f>#REF!</f>
        <v>#VALUE!:noResult:No valid cells found for operation.</v>
      </c>
      <c r="CO67" s="15" t="str">
        <f>#REF!</f>
        <v>#VALUE!:noResult:No valid cells found for operation.</v>
      </c>
      <c r="CP67" s="15" t="str">
        <f>#REF!</f>
        <v>#REF!:refOutOfRange</v>
      </c>
      <c r="CQ67" s="15" t="str">
        <f>#REF!</f>
        <v>#VALUE!:noResult:No valid cells found for operation.</v>
      </c>
      <c r="CR67" s="15" t="str">
        <f>#REF!</f>
        <v>#VALUE!:noResult:No valid cells found for operation.</v>
      </c>
      <c r="CS67" s="15" t="str">
        <f>#REF!</f>
        <v>#REF!:refOutOfRange</v>
      </c>
      <c r="CT67" s="15" t="str">
        <f>#REF!</f>
        <v>#VALUE!:noResult:No valid cells found for operation.</v>
      </c>
      <c r="CU67" s="15" t="str">
        <f>#REF!</f>
        <v>#VALUE!:noResult:No valid cells found for operation.</v>
      </c>
      <c r="CV67" s="15" t="str">
        <f>#REF!</f>
        <v>#REF!:refOutOfRange</v>
      </c>
      <c r="CW67" s="15" t="str">
        <f>#REF!</f>
        <v>#VALUE!:noResult:No valid cells found for operation.</v>
      </c>
      <c r="CX67" s="15" t="str">
        <f>#REF!</f>
        <v>#VALUE!:noResult:No valid cells found for operation.</v>
      </c>
      <c r="CY67" s="15" t="str">
        <f>#REF!</f>
        <v>#REF!:refOutOfRange</v>
      </c>
      <c r="CZ67" s="15" t="str">
        <f>#REF!</f>
        <v>#VALUE!:noResult:No valid cells found for operation.</v>
      </c>
      <c r="DA67" s="15" t="str">
        <f>#REF!</f>
        <v>#VALUE!:noResult:No valid cells found for operation.</v>
      </c>
      <c r="DB67" s="15" t="str">
        <f>#REF!</f>
        <v>#REF!:refOutOfRange</v>
      </c>
      <c r="DC67" s="15" t="str">
        <f>#REF!</f>
        <v>#VALUE!:noResult:No valid cells found for operation.</v>
      </c>
      <c r="DD67" s="15" t="str">
        <f>#REF!</f>
        <v>#VALUE!:noResult:No valid cells found for operation.</v>
      </c>
      <c r="DE67" s="15" t="str">
        <f>#REF!</f>
        <v>#REF!:refOutOfRange</v>
      </c>
      <c r="DF67" s="15" t="str">
        <f>#REF!</f>
        <v>#VALUE!:noResult:No valid cells found for operation.</v>
      </c>
      <c r="DG67" s="15" t="str">
        <f>#REF!</f>
        <v>#VALUE!:noResult:No valid cells found for operation.</v>
      </c>
      <c r="DH67" s="15" t="str">
        <f>#REF!</f>
        <v>#REF!:refOutOfRange</v>
      </c>
      <c r="DI67" s="15" t="str">
        <f>#REF!</f>
        <v>#VALUE!:noResult:No valid cells found for operation.</v>
      </c>
      <c r="DJ67" s="15" t="str">
        <f>#REF!</f>
        <v>#VALUE!:noResult:No valid cells found for operation.</v>
      </c>
      <c r="DK67" s="15" t="str">
        <f>#REF!</f>
        <v>#REF!:refOutOfRange</v>
      </c>
      <c r="DL67" s="15" t="str">
        <f>#REF!</f>
        <v>#VALUE!:noResult:No valid cells found for operation.</v>
      </c>
      <c r="DM67" s="15" t="str">
        <f>#REF!</f>
        <v>#VALUE!:noResult:No valid cells found for operation.</v>
      </c>
      <c r="DN67" s="15" t="str">
        <f>#REF!</f>
        <v>#REF!:refOutOfRange</v>
      </c>
      <c r="DO67" s="15" t="str">
        <f>#REF!</f>
        <v>#VALUE!:noResult:No valid cells found for operation.</v>
      </c>
      <c r="DP67" s="15" t="str">
        <f>#REF!</f>
        <v>#VALUE!:noResult:No valid cells found for operation.</v>
      </c>
      <c r="DQ67" s="15" t="str">
        <f>#REF!</f>
        <v>#REF!:refOutOfRange</v>
      </c>
      <c r="DR67" s="15" t="str">
        <f>#REF!</f>
        <v>#VALUE!:noResult:No valid cells found for operation.</v>
      </c>
      <c r="DS67" s="15" t="str">
        <f>#REF!</f>
        <v>#VALUE!:noResult:No valid cells found for operation.</v>
      </c>
      <c r="DT67" s="15" t="str">
        <f>#REF!</f>
        <v>#REF!:refOutOfRange</v>
      </c>
      <c r="DU67" s="15" t="str">
        <f>#REF!</f>
        <v>#VALUE!:noResult:No valid cells found for operation.</v>
      </c>
      <c r="DV67" s="15" t="str">
        <f>#REF!</f>
        <v>#VALUE!:noResult:No valid cells found for operation.</v>
      </c>
      <c r="DW67" s="15" t="str">
        <f>#REF!</f>
        <v>#REF!:refOutOfRange</v>
      </c>
      <c r="DX67" s="15" t="str">
        <f>#REF!</f>
        <v>#VALUE!:noResult:No valid cells found for operation.</v>
      </c>
      <c r="DY67" s="15" t="str">
        <f>#REF!</f>
        <v>#VALUE!:noResult:No valid cells found for operation.</v>
      </c>
      <c r="DZ67" s="15" t="str">
        <f>#REF!</f>
        <v>#REF!:refOutOfRange</v>
      </c>
      <c r="EA67" s="15" t="str">
        <f>#REF!</f>
        <v>#VALUE!:noResult:No valid cells found for operation.</v>
      </c>
      <c r="EB67" s="15" t="str">
        <f>#REF!</f>
        <v>#VALUE!:noResult:No valid cells found for operation.</v>
      </c>
      <c r="EC67" s="15" t="str">
        <f>#REF!</f>
        <v>#REF!:refOutOfRange</v>
      </c>
      <c r="ED67" s="15" t="str">
        <f>#REF!</f>
        <v>#VALUE!:noResult:No valid cells found for operation.</v>
      </c>
      <c r="EE67" s="15" t="str">
        <f>#REF!</f>
        <v>#VALUE!:noResult:No valid cells found for operation.</v>
      </c>
      <c r="EF67" s="15" t="str">
        <f>#REF!</f>
        <v>#REF!:refOutOfRange</v>
      </c>
      <c r="EG67" s="15" t="str">
        <f>#REF!</f>
        <v>#VALUE!:noResult:No valid cells found for operation.</v>
      </c>
      <c r="EH67" s="15" t="str">
        <f>#REF!</f>
        <v>#VALUE!:noResult:No valid cells found for operation.</v>
      </c>
      <c r="EI67" s="15" t="str">
        <f>#REF!</f>
        <v>#REF!:refOutOfRange</v>
      </c>
      <c r="EJ67" s="15" t="str">
        <f>#REF!</f>
        <v>#VALUE!:noResult:No valid cells found for operation.</v>
      </c>
      <c r="EK67" s="15" t="str">
        <f>#REF!</f>
        <v>#VALUE!:noResult:No valid cells found for operation.</v>
      </c>
      <c r="EL67" s="15" t="str">
        <f>#REF!</f>
        <v>#REF!:refOutOfRange</v>
      </c>
      <c r="EM67" s="15" t="str">
        <f>#REF!</f>
        <v>#VALUE!:noResult:No valid cells found for operation.</v>
      </c>
      <c r="EN67" s="15" t="str">
        <f>#REF!</f>
        <v>#VALUE!:noResult:No valid cells found for operation.</v>
      </c>
      <c r="EO67" s="15" t="str">
        <f>#REF!</f>
        <v>#REF!:refOutOfRange</v>
      </c>
      <c r="EP67" s="15" t="str">
        <f>#REF!</f>
        <v>#VALUE!:noResult:No valid cells found for operation.</v>
      </c>
      <c r="EQ67" s="15" t="str">
        <f>#REF!</f>
        <v>#VALUE!:noResult:No valid cells found for operation.</v>
      </c>
      <c r="ER67" s="15" t="str">
        <f>#REF!</f>
        <v>#REF!:refOutOfRange</v>
      </c>
      <c r="ES67" s="15" t="str">
        <f>#REF!</f>
        <v>#VALUE!:noResult:No valid cells found for operation.</v>
      </c>
      <c r="ET67" s="15" t="str">
        <f>#REF!</f>
        <v>#VALUE!:noResult:No valid cells found for operation.</v>
      </c>
      <c r="EU67" s="15" t="str">
        <f>#REF!</f>
        <v>#REF!:refOutOfRange</v>
      </c>
      <c r="EV67" s="15" t="str">
        <f>#REF!</f>
        <v>#VALUE!:noResult:No valid cells found for operation.</v>
      </c>
      <c r="EW67" s="15" t="str">
        <f>#REF!</f>
        <v>#VALUE!:noResult:No valid cells found for operation.</v>
      </c>
      <c r="EX67" s="15" t="str">
        <f>#REF!</f>
        <v>#REF!:refOutOfRange</v>
      </c>
      <c r="EY67" s="15" t="str">
        <f>#REF!</f>
        <v>#VALUE!:noResult:No valid cells found for operation.</v>
      </c>
      <c r="EZ67" s="15" t="str">
        <f>#REF!</f>
        <v>#VALUE!:noResult:No valid cells found for operation.</v>
      </c>
      <c r="FA67" s="15" t="str">
        <f>#REF!</f>
        <v>#REF!:refOutOfRange</v>
      </c>
      <c r="FB67" s="15" t="str">
        <f>#REF!</f>
        <v>#VALUE!:noResult:No valid cells found for operation.</v>
      </c>
      <c r="FC67" s="15" t="str">
        <f>#REF!</f>
        <v>#VALUE!:noResult:No valid cells found for operation.</v>
      </c>
      <c r="FD67" s="15" t="str">
        <f>#REF!</f>
        <v>#REF!:refOutOfRange</v>
      </c>
      <c r="FE67" s="15" t="str">
        <f>#REF!</f>
        <v>#VALUE!:noResult:No valid cells found for operation.</v>
      </c>
      <c r="FF67" s="15" t="str">
        <f>#REF!</f>
        <v>#VALUE!:noResult:No valid cells found for operation.</v>
      </c>
      <c r="FG67" s="15" t="str">
        <f>#REF!</f>
        <v>#REF!:refOutOfRange</v>
      </c>
      <c r="FH67" s="15" t="str">
        <f>#REF!</f>
        <v>#VALUE!:noResult:No valid cells found for operation.</v>
      </c>
      <c r="FI67" s="15" t="str">
        <f>#REF!</f>
        <v>#VALUE!:noResult:No valid cells found for operation.</v>
      </c>
      <c r="FJ67" s="15" t="str">
        <f>#REF!</f>
        <v>#REF!:refOutOfRange</v>
      </c>
      <c r="FK67" s="15" t="str">
        <f>#REF!</f>
        <v>#VALUE!:noResult:No valid cells found for operation.</v>
      </c>
      <c r="FL67" s="15" t="str">
        <f>#REF!</f>
        <v>#VALUE!:noResult:No valid cells found for operation.</v>
      </c>
      <c r="FM67" s="15" t="str">
        <f>#REF!</f>
        <v>#REF!:refOutOfRange</v>
      </c>
      <c r="FN67" s="15" t="str">
        <f>#REF!</f>
        <v>#VALUE!:noResult:No valid cells found for operation.</v>
      </c>
      <c r="FO67" s="15" t="str">
        <f>#REF!</f>
        <v>#VALUE!:noResult:No valid cells found for operation.</v>
      </c>
      <c r="FP67" s="15" t="str">
        <f>#REF!</f>
        <v>#REF!:refOutOfRange</v>
      </c>
      <c r="FQ67" s="15" t="str">
        <f>#REF!</f>
        <v>#VALUE!:noResult:No valid cells found for operation.</v>
      </c>
      <c r="FR67" s="15" t="str">
        <f>#REF!</f>
        <v>#VALUE!:noResult:No valid cells found for operation.</v>
      </c>
      <c r="FS67" s="15" t="str">
        <f>#REF!</f>
        <v>#REF!:refOutOfRange</v>
      </c>
      <c r="FT67" s="15" t="str">
        <f>#REF!</f>
        <v>#VALUE!:noResult:No valid cells found for operation.</v>
      </c>
      <c r="FU67" s="15" t="str">
        <f>#REF!</f>
        <v>#VALUE!:noResult:No valid cells found for operation.</v>
      </c>
      <c r="FV67" s="15" t="str">
        <f>#REF!</f>
        <v>#REF!:refOutOfRange</v>
      </c>
      <c r="FW67" s="15" t="str">
        <f>#REF!</f>
        <v>#VALUE!:noResult:No valid cells found for operation.</v>
      </c>
      <c r="FX67" s="15" t="str">
        <f>#REF!</f>
        <v>#VALUE!:noResult:No valid cells found for operation.</v>
      </c>
      <c r="FY67" s="15" t="str">
        <f>#REF!</f>
        <v>#REF!:refOutOfRange</v>
      </c>
      <c r="FZ67" s="15" t="str">
        <f>#REF!</f>
        <v>#VALUE!:noResult:No valid cells found for operation.</v>
      </c>
      <c r="GA67" s="15" t="str">
        <f>#REF!</f>
        <v>#VALUE!:noResult:No valid cells found for operation.</v>
      </c>
      <c r="GB67" s="15" t="str">
        <f>#REF!</f>
        <v>#REF!:refOutOfRange</v>
      </c>
      <c r="GC67" s="15" t="str">
        <f>#REF!</f>
        <v>#VALUE!:noResult:No valid cells found for operation.</v>
      </c>
      <c r="GD67" s="15" t="str">
        <f>#REF!</f>
        <v>#VALUE!:noResult:No valid cells found for operation.</v>
      </c>
      <c r="GE67" s="15" t="str">
        <f>#REF!</f>
        <v>#REF!:refOutOfRange</v>
      </c>
      <c r="GF67" s="15" t="str">
        <f>#REF!</f>
        <v>#VALUE!:noResult:No valid cells found for operation.</v>
      </c>
      <c r="GG67" s="15" t="str">
        <f>#REF!</f>
        <v>#VALUE!:noResult:No valid cells found for operation.</v>
      </c>
      <c r="GH67" s="15" t="str">
        <f>#REF!</f>
        <v>#REF!:refOutOfRange</v>
      </c>
      <c r="GI67" s="15" t="str">
        <f>#REF!</f>
        <v>#VALUE!:noResult:No valid cells found for operation.</v>
      </c>
      <c r="GJ67" s="15" t="str">
        <f>#REF!</f>
        <v>#VALUE!:noResult:No valid cells found for operation.</v>
      </c>
      <c r="GK67" s="15" t="str">
        <f>#REF!</f>
        <v>#REF!:refOutOfRange</v>
      </c>
      <c r="GL67" s="15" t="str">
        <f>#REF!</f>
        <v>#VALUE!:noResult:No valid cells found for operation.</v>
      </c>
      <c r="GM67" s="15" t="str">
        <f>#REF!</f>
        <v>#VALUE!:noResult:No valid cells found for operation.</v>
      </c>
      <c r="GN67" s="15" t="str">
        <f>#REF!</f>
        <v>#REF!:refOutOfRange</v>
      </c>
      <c r="GO67" s="15" t="str">
        <f>#REF!</f>
        <v>#VALUE!:noResult:No valid cells found for operation.</v>
      </c>
      <c r="GP67" s="15" t="str">
        <f>#REF!</f>
        <v>#VALUE!:noResult:No valid cells found for operation.</v>
      </c>
      <c r="GQ67" s="15" t="str">
        <f>#REF!</f>
        <v>#REF!:refOutOfRange</v>
      </c>
      <c r="GR67" s="15" t="str">
        <f>#REF!</f>
        <v>#VALUE!:noResult:No valid cells found for operation.</v>
      </c>
      <c r="GS67" s="15" t="str">
        <f>#REF!</f>
        <v>#VALUE!:noResult:No valid cells found for operation.</v>
      </c>
      <c r="GT67" s="15" t="str">
        <f>#REF!</f>
        <v>#REF!:refOutOfRange</v>
      </c>
      <c r="GU67" s="15" t="str">
        <f>#REF!</f>
        <v>#VALUE!:noResult:No valid cells found for operation.</v>
      </c>
      <c r="GV67" s="15" t="str">
        <f>#REF!</f>
        <v>#VALUE!:noResult:No valid cells found for operation.</v>
      </c>
      <c r="GW67" s="15" t="str">
        <f>#REF!</f>
        <v>#REF!:refOutOfRange</v>
      </c>
      <c r="GX67" s="15" t="str">
        <f>#REF!</f>
        <v>#VALUE!:noResult:No valid cells found for operation.</v>
      </c>
      <c r="GY67" s="15" t="str">
        <f>#REF!</f>
        <v>#VALUE!:noResult:No valid cells found for operation.</v>
      </c>
      <c r="GZ67" s="15" t="str">
        <f>#REF!</f>
        <v>#REF!:refOutOfRange</v>
      </c>
      <c r="HA67" s="15" t="str">
        <f>#REF!</f>
        <v>#VALUE!:noResult:No valid cells found for operation.</v>
      </c>
      <c r="HB67" s="15" t="str">
        <f>#REF!</f>
        <v>#VALUE!:noResult:No valid cells found for operation.</v>
      </c>
      <c r="HC67" s="15" t="str">
        <f>#REF!</f>
        <v>#REF!:refOutOfRange</v>
      </c>
      <c r="HD67" s="15" t="str">
        <f>#REF!</f>
        <v>#VALUE!:noResult:No valid cells found for operation.</v>
      </c>
      <c r="HE67" s="15" t="str">
        <f>#REF!</f>
        <v>#VALUE!:noResult:No valid cells found for operation.</v>
      </c>
      <c r="HF67" s="15" t="str">
        <f>#REF!</f>
        <v>#REF!:refOutOfRange</v>
      </c>
      <c r="HG67" s="15" t="str">
        <f>#REF!</f>
        <v>#VALUE!:noResult:No valid cells found for operation.</v>
      </c>
      <c r="HH67" s="15" t="str">
        <f>#REF!</f>
        <v>#VALUE!:noResult:No valid cells found for operation.</v>
      </c>
      <c r="HI67" s="15" t="str">
        <f>#REF!</f>
        <v>#REF!:refOutOfRange</v>
      </c>
      <c r="HJ67" s="15" t="str">
        <f>#REF!</f>
        <v>#VALUE!:noResult:No valid cells found for operation.</v>
      </c>
      <c r="HK67" s="15" t="str">
        <f>#REF!</f>
        <v>#VALUE!:noResult:No valid cells found for operation.</v>
      </c>
      <c r="HL67" s="15" t="str">
        <f>#REF!</f>
        <v>#REF!:refOutOfRange</v>
      </c>
      <c r="HM67" s="15" t="str">
        <f>#REF!</f>
        <v>#VALUE!:noResult:No valid cells found for operation.</v>
      </c>
      <c r="HN67" s="15" t="str">
        <f>#REF!</f>
        <v>#VALUE!:noResult:No valid cells found for operation.</v>
      </c>
      <c r="HO67" s="15" t="str">
        <f>#REF!</f>
        <v>#REF!:refOutOfRange</v>
      </c>
      <c r="HP67" s="15" t="str">
        <f>#REF!</f>
        <v>#VALUE!:noResult:No valid cells found for operation.</v>
      </c>
      <c r="HQ67" s="15" t="str">
        <f>#REF!</f>
        <v>#VALUE!:noResult:No valid cells found for operation.</v>
      </c>
      <c r="HR67" s="15" t="str">
        <f>#REF!</f>
        <v>#REF!:refOutOfRange</v>
      </c>
      <c r="HS67" s="15" t="str">
        <f>#REF!</f>
        <v>#VALUE!:noResult:No valid cells found for operation.</v>
      </c>
      <c r="HT67" s="15" t="str">
        <f>#REF!</f>
        <v>#VALUE!:noResult:No valid cells found for operation.</v>
      </c>
      <c r="HU67" s="15" t="str">
        <f>#REF!</f>
        <v>#REF!:refOutOfRange</v>
      </c>
      <c r="HV67" s="15" t="str">
        <f>#REF!</f>
        <v>#VALUE!:noResult:No valid cells found for operation.</v>
      </c>
      <c r="HW67" s="15" t="str">
        <f>#REF!</f>
        <v>#VALUE!:noResult:No valid cells found for operation.</v>
      </c>
      <c r="HX67" s="15" t="str">
        <f>#REF!</f>
        <v>#REF!:refOutOfRange</v>
      </c>
      <c r="HY67" s="15" t="str">
        <f>#REF!</f>
        <v>#VALUE!:noResult:No valid cells found for operation.</v>
      </c>
      <c r="HZ67" s="15" t="str">
        <f>#REF!</f>
        <v>#VALUE!:noResult:No valid cells found for operation.</v>
      </c>
      <c r="IA67" s="15" t="str">
        <f>#REF!</f>
        <v>#REF!:refOutOfRange</v>
      </c>
      <c r="IB67" s="15" t="str">
        <f>#REF!</f>
        <v>#VALUE!:noResult:No valid cells found for operation.</v>
      </c>
      <c r="IC67" s="15" t="str">
        <f>#REF!</f>
        <v>#VALUE!:noResult:No valid cells found for operation.</v>
      </c>
      <c r="ID67" s="15" t="str">
        <f>#REF!</f>
        <v>#REF!:refOutOfRange</v>
      </c>
      <c r="IE67" s="15" t="str">
        <f>#REF!</f>
        <v>#VALUE!:noResult:No valid cells found for operation.</v>
      </c>
      <c r="IF67" s="15" t="str">
        <f>#REF!</f>
        <v>#VALUE!:noResult:No valid cells found for operation.</v>
      </c>
      <c r="IG67" s="15" t="str">
        <f>#REF!</f>
        <v>#REF!:refOutOfRange</v>
      </c>
      <c r="IH67" s="15" t="str">
        <f>#REF!</f>
        <v>#VALUE!:noResult:No valid cells found for operation.</v>
      </c>
      <c r="II67" s="15" t="str">
        <f>#REF!</f>
        <v>#VALUE!:noResult:No valid cells found for operation.</v>
      </c>
      <c r="IJ67" s="15" t="str">
        <f>#REF!</f>
        <v>#REF!:refOutOfRange</v>
      </c>
      <c r="IK67" s="15" t="str">
        <f>#REF!</f>
        <v>#VALUE!:noResult:No valid cells found for operation.</v>
      </c>
      <c r="IL67" s="15" t="str">
        <f>#REF!</f>
        <v>#VALUE!:noResult:No valid cells found for operation.</v>
      </c>
      <c r="IM67" s="15" t="str">
        <f>#REF!</f>
        <v>#REF!:refOutOfRange</v>
      </c>
      <c r="IN67" s="15" t="str">
        <f>#REF!</f>
        <v>#VALUE!:noResult:No valid cells found for operation.</v>
      </c>
      <c r="IO67" s="15" t="str">
        <f>#REF!</f>
        <v>#VALUE!:noResult:No valid cells found for operation.</v>
      </c>
      <c r="IP67" s="15" t="str">
        <f>#REF!</f>
        <v>#REF!:refOutOfRange</v>
      </c>
      <c r="IQ67" s="15" t="str">
        <f>#REF!</f>
        <v>#VALUE!:noResult:No valid cells found for operation.</v>
      </c>
      <c r="IR67" s="15" t="str">
        <f>#REF!</f>
        <v>#VALUE!:noResult:No valid cells found for operation.</v>
      </c>
      <c r="IS67" s="15" t="str">
        <f>#REF!</f>
        <v>#REF!:refOutOfRange</v>
      </c>
      <c r="IT67" s="15" t="str">
        <f>#REF!</f>
        <v>#VALUE!:noResult:No valid cells found for operation.</v>
      </c>
      <c r="IU67" s="15" t="str">
        <f>#REF!</f>
        <v>#VALUE!:noResult:No valid cells found for operation.</v>
      </c>
      <c r="IV67" s="15" t="str">
        <f>#REF!</f>
        <v>#REF!:refOutOfRange</v>
      </c>
    </row>
    <row r="68">
      <c r="A68" s="15" t="str">
        <f>#REF!</f>
        <v>#VALUE!:noResult:No valid cells found for operation.</v>
      </c>
      <c r="B68" s="15" t="str">
        <f>#REF!</f>
        <v>#VALUE!:noResult:No valid cells found for operation.</v>
      </c>
      <c r="C68" s="15" t="str">
        <f>#REF!</f>
        <v>#REF!:refOutOfRange</v>
      </c>
      <c r="D68" s="15" t="str">
        <f>#REF!</f>
        <v>#VALUE!:noResult:No valid cells found for operation.</v>
      </c>
      <c r="E68" s="15" t="str">
        <f>#REF!</f>
        <v>#VALUE!:noResult:No valid cells found for operation.</v>
      </c>
      <c r="F68" s="15" t="str">
        <f>#REF!</f>
        <v>#REF!:refOutOfRange</v>
      </c>
      <c r="G68" s="15" t="str">
        <f>#REF!</f>
        <v>#VALUE!:noResult:No valid cells found for operation.</v>
      </c>
      <c r="H68" s="15" t="str">
        <f>#REF!</f>
        <v>#VALUE!:noResult:No valid cells found for operation.</v>
      </c>
      <c r="I68" s="15" t="str">
        <f>#REF!</f>
        <v>#REF!:refOutOfRange</v>
      </c>
      <c r="J68" s="15" t="str">
        <f>#REF!</f>
        <v>#VALUE!:noResult:No valid cells found for operation.</v>
      </c>
      <c r="K68" s="15" t="str">
        <f>#REF!</f>
        <v>#VALUE!:noResult:No valid cells found for operation.</v>
      </c>
      <c r="L68" s="15" t="str">
        <f>#REF!</f>
        <v>#REF!:refOutOfRange</v>
      </c>
      <c r="M68" s="15" t="str">
        <f>#REF!</f>
        <v>#VALUE!:noResult:No valid cells found for operation.</v>
      </c>
      <c r="N68" s="15" t="str">
        <f>#REF!</f>
        <v>#VALUE!:noResult:No valid cells found for operation.</v>
      </c>
      <c r="O68" s="15" t="str">
        <f>#REF!</f>
        <v>#REF!:refOutOfRange</v>
      </c>
      <c r="P68" s="15" t="str">
        <f>#REF!</f>
        <v>#VALUE!:noResult:No valid cells found for operation.</v>
      </c>
      <c r="Q68" s="15" t="str">
        <f>#REF!</f>
        <v>#VALUE!:noResult:No valid cells found for operation.</v>
      </c>
      <c r="R68" s="15" t="str">
        <f>#REF!</f>
        <v>#REF!:refOutOfRange</v>
      </c>
      <c r="S68" s="15" t="str">
        <f>#REF!</f>
        <v>#VALUE!:noResult:No valid cells found for operation.</v>
      </c>
      <c r="T68" s="15" t="str">
        <f>#REF!</f>
        <v>#VALUE!:noResult:No valid cells found for operation.</v>
      </c>
      <c r="U68" s="15" t="str">
        <f>#REF!</f>
        <v>#REF!:refOutOfRange</v>
      </c>
      <c r="V68" s="15" t="str">
        <f>#REF!</f>
        <v>#VALUE!:noResult:No valid cells found for operation.</v>
      </c>
      <c r="W68" s="15" t="str">
        <f>#REF!</f>
        <v>#VALUE!:noResult:No valid cells found for operation.</v>
      </c>
      <c r="X68" s="15" t="str">
        <f>#REF!</f>
        <v>#REF!:refOutOfRange</v>
      </c>
      <c r="Y68" s="15" t="str">
        <f>#REF!</f>
        <v>#VALUE!:noResult:No valid cells found for operation.</v>
      </c>
      <c r="Z68" s="15" t="str">
        <f>#REF!</f>
        <v>#VALUE!:noResult:No valid cells found for operation.</v>
      </c>
      <c r="AA68" s="15" t="str">
        <f>#REF!</f>
        <v>#REF!:refOutOfRange</v>
      </c>
      <c r="AB68" s="15" t="str">
        <f>#REF!</f>
        <v>#VALUE!:noResult:No valid cells found for operation.</v>
      </c>
      <c r="AC68" s="15" t="str">
        <f>#REF!</f>
        <v>#VALUE!:noResult:No valid cells found for operation.</v>
      </c>
      <c r="AD68" s="15" t="str">
        <f>#REF!</f>
        <v>#REF!:refOutOfRange</v>
      </c>
      <c r="AE68" s="15" t="str">
        <f>#REF!</f>
        <v>#VALUE!:noResult:No valid cells found for operation.</v>
      </c>
      <c r="AF68" s="15" t="str">
        <f>#REF!</f>
        <v>#VALUE!:noResult:No valid cells found for operation.</v>
      </c>
      <c r="AG68" s="15" t="str">
        <f>#REF!</f>
        <v>#REF!:refOutOfRange</v>
      </c>
      <c r="AH68" s="15" t="str">
        <f>#REF!</f>
        <v>#VALUE!:noResult:No valid cells found for operation.</v>
      </c>
      <c r="AI68" s="15" t="str">
        <f>#REF!</f>
        <v>#VALUE!:noResult:No valid cells found for operation.</v>
      </c>
      <c r="AJ68" s="15" t="str">
        <f>#REF!</f>
        <v>#REF!:refOutOfRange</v>
      </c>
      <c r="AK68" s="15" t="str">
        <f>#REF!</f>
        <v>#VALUE!:noResult:No valid cells found for operation.</v>
      </c>
      <c r="AL68" s="15" t="str">
        <f>#REF!</f>
        <v>#VALUE!:noResult:No valid cells found for operation.</v>
      </c>
      <c r="AM68" s="15" t="str">
        <f>#REF!</f>
        <v>#REF!:refOutOfRange</v>
      </c>
      <c r="AN68" s="15" t="str">
        <f>#REF!</f>
        <v>#VALUE!:noResult:No valid cells found for operation.</v>
      </c>
      <c r="AO68" s="15" t="str">
        <f>#REF!</f>
        <v>#VALUE!:noResult:No valid cells found for operation.</v>
      </c>
      <c r="AP68" s="15" t="str">
        <f>#REF!</f>
        <v>#REF!:refOutOfRange</v>
      </c>
      <c r="AQ68" s="15" t="str">
        <f>#REF!</f>
        <v>#VALUE!:noResult:No valid cells found for operation.</v>
      </c>
      <c r="AR68" s="15" t="str">
        <f>#REF!</f>
        <v>#VALUE!:noResult:No valid cells found for operation.</v>
      </c>
      <c r="AS68" s="15" t="str">
        <f>#REF!</f>
        <v>#REF!:refOutOfRange</v>
      </c>
      <c r="AT68" s="15" t="str">
        <f>#REF!</f>
        <v>#VALUE!:noResult:No valid cells found for operation.</v>
      </c>
      <c r="AU68" s="15" t="str">
        <f>#REF!</f>
        <v>#VALUE!:noResult:No valid cells found for operation.</v>
      </c>
      <c r="AV68" s="15" t="str">
        <f>#REF!</f>
        <v>#REF!:refOutOfRange</v>
      </c>
      <c r="AW68" s="15" t="str">
        <f>#REF!</f>
        <v>#VALUE!:noResult:No valid cells found for operation.</v>
      </c>
      <c r="AX68" s="15" t="str">
        <f>#REF!</f>
        <v>#VALUE!:noResult:No valid cells found for operation.</v>
      </c>
      <c r="AY68" s="15" t="str">
        <f>#REF!</f>
        <v>#REF!:refOutOfRange</v>
      </c>
      <c r="AZ68" s="15" t="str">
        <f>#REF!</f>
        <v>#VALUE!:noResult:No valid cells found for operation.</v>
      </c>
      <c r="BA68" s="15" t="str">
        <f>#REF!</f>
        <v>#VALUE!:noResult:No valid cells found for operation.</v>
      </c>
      <c r="BB68" s="15" t="str">
        <f>#REF!</f>
        <v>#REF!:refOutOfRange</v>
      </c>
      <c r="BC68" s="15" t="str">
        <f>#REF!</f>
        <v>#VALUE!:noResult:No valid cells found for operation.</v>
      </c>
      <c r="BD68" s="15" t="str">
        <f>#REF!</f>
        <v>#VALUE!:noResult:No valid cells found for operation.</v>
      </c>
      <c r="BE68" s="15" t="str">
        <f>#REF!</f>
        <v>#REF!:refOutOfRange</v>
      </c>
      <c r="BF68" s="15" t="str">
        <f>#REF!</f>
        <v>#VALUE!:noResult:No valid cells found for operation.</v>
      </c>
      <c r="BG68" s="15" t="str">
        <f>#REF!</f>
        <v>#VALUE!:noResult:No valid cells found for operation.</v>
      </c>
      <c r="BH68" s="15" t="str">
        <f>#REF!</f>
        <v>#REF!:refOutOfRange</v>
      </c>
      <c r="BI68" s="15" t="str">
        <f>#REF!</f>
        <v>#VALUE!:noResult:No valid cells found for operation.</v>
      </c>
      <c r="BJ68" s="15" t="str">
        <f>#REF!</f>
        <v>#VALUE!:noResult:No valid cells found for operation.</v>
      </c>
      <c r="BK68" s="15" t="str">
        <f>#REF!</f>
        <v>#REF!:refOutOfRange</v>
      </c>
      <c r="BL68" s="15" t="str">
        <f>#REF!</f>
        <v>#VALUE!:noResult:No valid cells found for operation.</v>
      </c>
      <c r="BM68" s="15" t="str">
        <f>#REF!</f>
        <v>#VALUE!:noResult:No valid cells found for operation.</v>
      </c>
      <c r="BN68" s="15" t="str">
        <f>#REF!</f>
        <v>#REF!:refOutOfRange</v>
      </c>
      <c r="BO68" s="15" t="str">
        <f>#REF!</f>
        <v>#VALUE!:noResult:No valid cells found for operation.</v>
      </c>
      <c r="BP68" s="15" t="str">
        <f>#REF!</f>
        <v>#VALUE!:noResult:No valid cells found for operation.</v>
      </c>
      <c r="BQ68" s="15" t="str">
        <f>#REF!</f>
        <v>#REF!:refOutOfRange</v>
      </c>
      <c r="BR68" s="15" t="str">
        <f>#REF!</f>
        <v>#VALUE!:noResult:No valid cells found for operation.</v>
      </c>
      <c r="BS68" s="15" t="str">
        <f>#REF!</f>
        <v>#VALUE!:noResult:No valid cells found for operation.</v>
      </c>
      <c r="BT68" s="15" t="str">
        <f>#REF!</f>
        <v>#REF!:refOutOfRange</v>
      </c>
      <c r="BU68" s="15" t="str">
        <f>#REF!</f>
        <v>#VALUE!:noResult:No valid cells found for operation.</v>
      </c>
      <c r="BV68" s="15" t="str">
        <f>#REF!</f>
        <v>#VALUE!:noResult:No valid cells found for operation.</v>
      </c>
      <c r="BW68" s="15" t="str">
        <f>#REF!</f>
        <v>#REF!:refOutOfRange</v>
      </c>
      <c r="BX68" s="15" t="str">
        <f>#REF!</f>
        <v>#VALUE!:noResult:No valid cells found for operation.</v>
      </c>
      <c r="BY68" s="15" t="str">
        <f>#REF!</f>
        <v>#VALUE!:noResult:No valid cells found for operation.</v>
      </c>
      <c r="BZ68" s="15" t="str">
        <f>#REF!</f>
        <v>#REF!:refOutOfRange</v>
      </c>
      <c r="CA68" s="15" t="str">
        <f>#REF!</f>
        <v>#VALUE!:noResult:No valid cells found for operation.</v>
      </c>
      <c r="CB68" s="15" t="str">
        <f>#REF!</f>
        <v>#VALUE!:noResult:No valid cells found for operation.</v>
      </c>
      <c r="CC68" s="15" t="str">
        <f>#REF!</f>
        <v>#REF!:refOutOfRange</v>
      </c>
      <c r="CD68" s="15" t="str">
        <f>#REF!</f>
        <v>#VALUE!:noResult:No valid cells found for operation.</v>
      </c>
      <c r="CE68" s="15" t="str">
        <f>#REF!</f>
        <v>#VALUE!:noResult:No valid cells found for operation.</v>
      </c>
      <c r="CF68" s="15" t="str">
        <f>#REF!</f>
        <v>#REF!:refOutOfRange</v>
      </c>
      <c r="CG68" s="15" t="str">
        <f>#REF!</f>
        <v>#VALUE!:noResult:No valid cells found for operation.</v>
      </c>
      <c r="CH68" s="15" t="str">
        <f>#REF!</f>
        <v>#VALUE!:noResult:No valid cells found for operation.</v>
      </c>
      <c r="CI68" s="15" t="str">
        <f>#REF!</f>
        <v>#REF!:refOutOfRange</v>
      </c>
      <c r="CJ68" s="15" t="str">
        <f>#REF!</f>
        <v>#VALUE!:noResult:No valid cells found for operation.</v>
      </c>
      <c r="CK68" s="15" t="str">
        <f>#REF!</f>
        <v>#VALUE!:noResult:No valid cells found for operation.</v>
      </c>
      <c r="CL68" s="15" t="str">
        <f>#REF!</f>
        <v>#REF!:refOutOfRange</v>
      </c>
      <c r="CM68" s="15" t="str">
        <f>#REF!</f>
        <v>#VALUE!:noResult:No valid cells found for operation.</v>
      </c>
      <c r="CN68" s="15" t="str">
        <f>#REF!</f>
        <v>#VALUE!:noResult:No valid cells found for operation.</v>
      </c>
      <c r="CO68" s="15" t="str">
        <f>#REF!</f>
        <v>#REF!:refOutOfRange</v>
      </c>
      <c r="CP68" s="15" t="str">
        <f>#REF!</f>
        <v>#VALUE!:noResult:No valid cells found for operation.</v>
      </c>
      <c r="CQ68" s="15" t="str">
        <f>#REF!</f>
        <v>#VALUE!:noResult:No valid cells found for operation.</v>
      </c>
      <c r="CR68" s="15" t="str">
        <f>#REF!</f>
        <v>#REF!:refOutOfRange</v>
      </c>
      <c r="CS68" s="15" t="str">
        <f>#REF!</f>
        <v>#VALUE!:noResult:No valid cells found for operation.</v>
      </c>
      <c r="CT68" s="15" t="str">
        <f>#REF!</f>
        <v>#VALUE!:noResult:No valid cells found for operation.</v>
      </c>
      <c r="CU68" s="15" t="str">
        <f>#REF!</f>
        <v>#REF!:refOutOfRange</v>
      </c>
      <c r="CV68" s="15" t="str">
        <f>#REF!</f>
        <v>#VALUE!:noResult:No valid cells found for operation.</v>
      </c>
      <c r="CW68" s="15" t="str">
        <f>#REF!</f>
        <v>#VALUE!:noResult:No valid cells found for operation.</v>
      </c>
      <c r="CX68" s="15" t="str">
        <f>#REF!</f>
        <v>#REF!:refOutOfRange</v>
      </c>
      <c r="CY68" s="15" t="str">
        <f>#REF!</f>
        <v>#VALUE!:noResult:No valid cells found for operation.</v>
      </c>
      <c r="CZ68" s="15" t="str">
        <f>#REF!</f>
        <v>#VALUE!:noResult:No valid cells found for operation.</v>
      </c>
      <c r="DA68" s="15" t="str">
        <f>#REF!</f>
        <v>#REF!:refOutOfRange</v>
      </c>
      <c r="DB68" s="15" t="str">
        <f>#REF!</f>
        <v>#VALUE!:noResult:No valid cells found for operation.</v>
      </c>
      <c r="DC68" s="15" t="str">
        <f>#REF!</f>
        <v>#VALUE!:noResult:No valid cells found for operation.</v>
      </c>
      <c r="DD68" s="15" t="str">
        <f>#REF!</f>
        <v>#REF!:refOutOfRange</v>
      </c>
      <c r="DE68" s="15" t="str">
        <f>#REF!</f>
        <v>#VALUE!:noResult:No valid cells found for operation.</v>
      </c>
      <c r="DF68" s="15" t="str">
        <f>#REF!</f>
        <v>#VALUE!:noResult:No valid cells found for operation.</v>
      </c>
      <c r="DG68" s="15" t="str">
        <f>#REF!</f>
        <v>#REF!:refOutOfRange</v>
      </c>
      <c r="DH68" s="15" t="str">
        <f>#REF!</f>
        <v>#VALUE!:noResult:No valid cells found for operation.</v>
      </c>
      <c r="DI68" s="15" t="str">
        <f>#REF!</f>
        <v>#VALUE!:noResult:No valid cells found for operation.</v>
      </c>
      <c r="DJ68" s="15" t="str">
        <f>#REF!</f>
        <v>#REF!:refOutOfRange</v>
      </c>
      <c r="DK68" s="15" t="str">
        <f>#REF!</f>
        <v>#VALUE!:noResult:No valid cells found for operation.</v>
      </c>
      <c r="DL68" s="15" t="str">
        <f>#REF!</f>
        <v>#VALUE!:noResult:No valid cells found for operation.</v>
      </c>
      <c r="DM68" s="15" t="str">
        <f>#REF!</f>
        <v>#REF!:refOutOfRange</v>
      </c>
      <c r="DN68" s="15" t="str">
        <f>#REF!</f>
        <v>#VALUE!:noResult:No valid cells found for operation.</v>
      </c>
      <c r="DO68" s="15" t="str">
        <f>#REF!</f>
        <v>#VALUE!:noResult:No valid cells found for operation.</v>
      </c>
      <c r="DP68" s="15" t="str">
        <f>#REF!</f>
        <v>#REF!:refOutOfRange</v>
      </c>
      <c r="DQ68" s="15" t="str">
        <f>#REF!</f>
        <v>#VALUE!:noResult:No valid cells found for operation.</v>
      </c>
      <c r="DR68" s="15" t="str">
        <f>#REF!</f>
        <v>#VALUE!:noResult:No valid cells found for operation.</v>
      </c>
      <c r="DS68" s="15" t="str">
        <f>#REF!</f>
        <v>#REF!:refOutOfRange</v>
      </c>
      <c r="DT68" s="15" t="str">
        <f>#REF!</f>
        <v>#VALUE!:noResult:No valid cells found for operation.</v>
      </c>
      <c r="DU68" s="15" t="str">
        <f>#REF!</f>
        <v>#VALUE!:noResult:No valid cells found for operation.</v>
      </c>
      <c r="DV68" s="15" t="str">
        <f>#REF!</f>
        <v>#REF!:refOutOfRange</v>
      </c>
      <c r="DW68" s="15" t="str">
        <f>#REF!</f>
        <v>#VALUE!:noResult:No valid cells found for operation.</v>
      </c>
      <c r="DX68" s="15" t="str">
        <f>#REF!</f>
        <v>#VALUE!:noResult:No valid cells found for operation.</v>
      </c>
      <c r="DY68" s="15" t="str">
        <f>#REF!</f>
        <v>#REF!:refOutOfRange</v>
      </c>
      <c r="DZ68" s="15" t="str">
        <f>#REF!</f>
        <v>#VALUE!:noResult:No valid cells found for operation.</v>
      </c>
      <c r="EA68" s="15" t="str">
        <f>#REF!</f>
        <v>#VALUE!:noResult:No valid cells found for operation.</v>
      </c>
      <c r="EB68" s="15" t="str">
        <f>#REF!</f>
        <v>#REF!:refOutOfRange</v>
      </c>
      <c r="EC68" s="15" t="str">
        <f>#REF!</f>
        <v>#VALUE!:noResult:No valid cells found for operation.</v>
      </c>
      <c r="ED68" s="15" t="str">
        <f>#REF!</f>
        <v>#VALUE!:noResult:No valid cells found for operation.</v>
      </c>
      <c r="EE68" s="15" t="str">
        <f>#REF!</f>
        <v>#REF!:refOutOfRange</v>
      </c>
      <c r="EF68" s="15" t="str">
        <f>#REF!</f>
        <v>#VALUE!:noResult:No valid cells found for operation.</v>
      </c>
      <c r="EG68" s="15" t="str">
        <f>#REF!</f>
        <v>#VALUE!:noResult:No valid cells found for operation.</v>
      </c>
      <c r="EH68" s="15" t="str">
        <f>#REF!</f>
        <v>#REF!:refOutOfRange</v>
      </c>
      <c r="EI68" s="15" t="str">
        <f>#REF!</f>
        <v>#VALUE!:noResult:No valid cells found for operation.</v>
      </c>
      <c r="EJ68" s="15" t="str">
        <f>#REF!</f>
        <v>#VALUE!:noResult:No valid cells found for operation.</v>
      </c>
      <c r="EK68" s="15" t="str">
        <f>#REF!</f>
        <v>#REF!:refOutOfRange</v>
      </c>
      <c r="EL68" s="15" t="str">
        <f>#REF!</f>
        <v>#VALUE!:noResult:No valid cells found for operation.</v>
      </c>
      <c r="EM68" s="15" t="str">
        <f>#REF!</f>
        <v>#VALUE!:noResult:No valid cells found for operation.</v>
      </c>
      <c r="EN68" s="15" t="str">
        <f>#REF!</f>
        <v>#REF!:refOutOfRange</v>
      </c>
      <c r="EO68" s="15" t="str">
        <f>#REF!</f>
        <v>#VALUE!:noResult:No valid cells found for operation.</v>
      </c>
      <c r="EP68" s="15" t="str">
        <f>#REF!</f>
        <v>#VALUE!:noResult:No valid cells found for operation.</v>
      </c>
      <c r="EQ68" s="15" t="str">
        <f>#REF!</f>
        <v>#REF!:refOutOfRange</v>
      </c>
      <c r="ER68" s="15" t="str">
        <f>#REF!</f>
        <v>#VALUE!:noResult:No valid cells found for operation.</v>
      </c>
      <c r="ES68" s="15" t="str">
        <f>#REF!</f>
        <v>#VALUE!:noResult:No valid cells found for operation.</v>
      </c>
      <c r="ET68" s="15" t="str">
        <f>#REF!</f>
        <v>#REF!:refOutOfRange</v>
      </c>
      <c r="EU68" s="15" t="str">
        <f>#REF!</f>
        <v>#VALUE!:noResult:No valid cells found for operation.</v>
      </c>
      <c r="EV68" s="15" t="str">
        <f>#REF!</f>
        <v>#VALUE!:noResult:No valid cells found for operation.</v>
      </c>
      <c r="EW68" s="15" t="str">
        <f>#REF!</f>
        <v>#REF!:refOutOfRange</v>
      </c>
      <c r="EX68" s="15" t="str">
        <f>#REF!</f>
        <v>#VALUE!:noResult:No valid cells found for operation.</v>
      </c>
      <c r="EY68" s="15" t="str">
        <f>#REF!</f>
        <v>#VALUE!:noResult:No valid cells found for operation.</v>
      </c>
      <c r="EZ68" s="15" t="str">
        <f>#REF!</f>
        <v>#REF!:refOutOfRange</v>
      </c>
      <c r="FA68" s="15" t="str">
        <f>#REF!</f>
        <v>#VALUE!:noResult:No valid cells found for operation.</v>
      </c>
      <c r="FB68" s="15" t="str">
        <f>#REF!</f>
        <v>#VALUE!:noResult:No valid cells found for operation.</v>
      </c>
      <c r="FC68" s="15" t="str">
        <f>#REF!</f>
        <v>#REF!:refOutOfRange</v>
      </c>
      <c r="FD68" s="15" t="str">
        <f>#REF!</f>
        <v>#VALUE!:noResult:No valid cells found for operation.</v>
      </c>
      <c r="FE68" s="15" t="str">
        <f>#REF!</f>
        <v>#VALUE!:noResult:No valid cells found for operation.</v>
      </c>
      <c r="FF68" s="15" t="str">
        <f>#REF!</f>
        <v>#REF!:refOutOfRange</v>
      </c>
      <c r="FG68" s="15" t="str">
        <f>#REF!</f>
        <v>#VALUE!:noResult:No valid cells found for operation.</v>
      </c>
      <c r="FH68" s="15" t="str">
        <f>#REF!</f>
        <v>#VALUE!:noResult:No valid cells found for operation.</v>
      </c>
      <c r="FI68" s="15" t="str">
        <f>#REF!</f>
        <v>#REF!:refOutOfRange</v>
      </c>
      <c r="FJ68" s="15" t="str">
        <f>#REF!</f>
        <v>#VALUE!:noResult:No valid cells found for operation.</v>
      </c>
      <c r="FK68" s="15" t="str">
        <f>#REF!</f>
        <v>#VALUE!:noResult:No valid cells found for operation.</v>
      </c>
      <c r="FL68" s="15" t="str">
        <f>#REF!</f>
        <v>#REF!:refOutOfRange</v>
      </c>
      <c r="FM68" s="15" t="str">
        <f>#REF!</f>
        <v>#VALUE!:noResult:No valid cells found for operation.</v>
      </c>
      <c r="FN68" s="15" t="str">
        <f>#REF!</f>
        <v>#VALUE!:noResult:No valid cells found for operation.</v>
      </c>
      <c r="FO68" s="15" t="str">
        <f>#REF!</f>
        <v>#REF!:refOutOfRange</v>
      </c>
      <c r="FP68" s="15" t="str">
        <f>#REF!</f>
        <v>#VALUE!:noResult:No valid cells found for operation.</v>
      </c>
      <c r="FQ68" s="15" t="str">
        <f>#REF!</f>
        <v>#VALUE!:noResult:No valid cells found for operation.</v>
      </c>
      <c r="FR68" s="15" t="str">
        <f>#REF!</f>
        <v>#REF!:refOutOfRange</v>
      </c>
      <c r="FS68" s="15" t="str">
        <f>#REF!</f>
        <v>#VALUE!:noResult:No valid cells found for operation.</v>
      </c>
      <c r="FT68" s="15" t="str">
        <f>#REF!</f>
        <v>#VALUE!:noResult:No valid cells found for operation.</v>
      </c>
      <c r="FU68" s="15" t="str">
        <f>#REF!</f>
        <v>#REF!:refOutOfRange</v>
      </c>
      <c r="FV68" s="15" t="str">
        <f>#REF!</f>
        <v>#VALUE!:noResult:No valid cells found for operation.</v>
      </c>
      <c r="FW68" s="15" t="str">
        <f>#REF!</f>
        <v>#VALUE!:noResult:No valid cells found for operation.</v>
      </c>
      <c r="FX68" s="15" t="str">
        <f>#REF!</f>
        <v>#REF!:refOutOfRange</v>
      </c>
      <c r="FY68" s="15" t="str">
        <f>#REF!</f>
        <v>#VALUE!:noResult:No valid cells found for operation.</v>
      </c>
      <c r="FZ68" s="15" t="str">
        <f>#REF!</f>
        <v>#VALUE!:noResult:No valid cells found for operation.</v>
      </c>
      <c r="GA68" s="15" t="str">
        <f>#REF!</f>
        <v>#REF!:refOutOfRange</v>
      </c>
      <c r="GB68" s="15" t="str">
        <f>#REF!</f>
        <v>#VALUE!:noResult:No valid cells found for operation.</v>
      </c>
      <c r="GC68" s="15" t="str">
        <f>#REF!</f>
        <v>#VALUE!:noResult:No valid cells found for operation.</v>
      </c>
      <c r="GD68" s="15" t="str">
        <f>#REF!</f>
        <v>#REF!:refOutOfRange</v>
      </c>
      <c r="GE68" s="15" t="str">
        <f>#REF!</f>
        <v>#VALUE!:noResult:No valid cells found for operation.</v>
      </c>
      <c r="GF68" s="15" t="str">
        <f>#REF!</f>
        <v>#VALUE!:noResult:No valid cells found for operation.</v>
      </c>
      <c r="GG68" s="15" t="str">
        <f>#REF!</f>
        <v>#REF!:refOutOfRange</v>
      </c>
      <c r="GH68" s="15" t="str">
        <f>#REF!</f>
        <v>#VALUE!:noResult:No valid cells found for operation.</v>
      </c>
      <c r="GI68" s="15" t="str">
        <f>#REF!</f>
        <v>#VALUE!:noResult:No valid cells found for operation.</v>
      </c>
      <c r="GJ68" s="15" t="str">
        <f>#REF!</f>
        <v>#REF!:refOutOfRange</v>
      </c>
      <c r="GK68" s="15" t="str">
        <f>#REF!</f>
        <v>#VALUE!:noResult:No valid cells found for operation.</v>
      </c>
      <c r="GL68" s="15" t="str">
        <f>#REF!</f>
        <v>#VALUE!:noResult:No valid cells found for operation.</v>
      </c>
      <c r="GM68" s="15" t="str">
        <f>#REF!</f>
        <v>#REF!:refOutOfRange</v>
      </c>
      <c r="GN68" s="15" t="str">
        <f>#REF!</f>
        <v>#VALUE!:noResult:No valid cells found for operation.</v>
      </c>
      <c r="GO68" s="15" t="str">
        <f>#REF!</f>
        <v>#VALUE!:noResult:No valid cells found for operation.</v>
      </c>
      <c r="GP68" s="15" t="str">
        <f>#REF!</f>
        <v>#REF!:refOutOfRange</v>
      </c>
      <c r="GQ68" s="15" t="str">
        <f>#REF!</f>
        <v>#VALUE!:noResult:No valid cells found for operation.</v>
      </c>
      <c r="GR68" s="15" t="str">
        <f>#REF!</f>
        <v>#VALUE!:noResult:No valid cells found for operation.</v>
      </c>
      <c r="GS68" s="15" t="str">
        <f>#REF!</f>
        <v>#REF!:refOutOfRange</v>
      </c>
      <c r="GT68" s="15" t="str">
        <f>#REF!</f>
        <v>#VALUE!:noResult:No valid cells found for operation.</v>
      </c>
      <c r="GU68" s="15" t="str">
        <f>#REF!</f>
        <v>#VALUE!:noResult:No valid cells found for operation.</v>
      </c>
      <c r="GV68" s="15" t="str">
        <f>#REF!</f>
        <v>#REF!:refOutOfRange</v>
      </c>
      <c r="GW68" s="15" t="str">
        <f>#REF!</f>
        <v>#VALUE!:noResult:No valid cells found for operation.</v>
      </c>
      <c r="GX68" s="15" t="str">
        <f>#REF!</f>
        <v>#VALUE!:noResult:No valid cells found for operation.</v>
      </c>
      <c r="GY68" s="15" t="str">
        <f>#REF!</f>
        <v>#REF!:refOutOfRange</v>
      </c>
      <c r="GZ68" s="15" t="str">
        <f>#REF!</f>
        <v>#VALUE!:noResult:No valid cells found for operation.</v>
      </c>
      <c r="HA68" s="15" t="str">
        <f>#REF!</f>
        <v>#VALUE!:noResult:No valid cells found for operation.</v>
      </c>
      <c r="HB68" s="15" t="str">
        <f>#REF!</f>
        <v>#REF!:refOutOfRange</v>
      </c>
      <c r="HC68" s="15" t="str">
        <f>#REF!</f>
        <v>#VALUE!:noResult:No valid cells found for operation.</v>
      </c>
      <c r="HD68" s="15" t="str">
        <f>#REF!</f>
        <v>#VALUE!:noResult:No valid cells found for operation.</v>
      </c>
      <c r="HE68" s="15" t="str">
        <f>#REF!</f>
        <v>#REF!:refOutOfRange</v>
      </c>
      <c r="HF68" s="15" t="str">
        <f>#REF!</f>
        <v>#VALUE!:noResult:No valid cells found for operation.</v>
      </c>
      <c r="HG68" s="15" t="str">
        <f>#REF!</f>
        <v>#VALUE!:noResult:No valid cells found for operation.</v>
      </c>
      <c r="HH68" s="15" t="str">
        <f>#REF!</f>
        <v>#REF!:refOutOfRange</v>
      </c>
      <c r="HI68" s="15" t="str">
        <f>#REF!</f>
        <v>#VALUE!:noResult:No valid cells found for operation.</v>
      </c>
      <c r="HJ68" s="15" t="str">
        <f>#REF!</f>
        <v>#VALUE!:noResult:No valid cells found for operation.</v>
      </c>
      <c r="HK68" s="15" t="str">
        <f>#REF!</f>
        <v>#REF!:refOutOfRange</v>
      </c>
      <c r="HL68" s="15" t="str">
        <f>#REF!</f>
        <v>#VALUE!:noResult:No valid cells found for operation.</v>
      </c>
      <c r="HM68" s="15" t="str">
        <f>#REF!</f>
        <v>#VALUE!:noResult:No valid cells found for operation.</v>
      </c>
      <c r="HN68" s="15" t="str">
        <f>#REF!</f>
        <v>#REF!:refOutOfRange</v>
      </c>
      <c r="HO68" s="15" t="str">
        <f>#REF!</f>
        <v>#VALUE!:noResult:No valid cells found for operation.</v>
      </c>
      <c r="HP68" s="15" t="str">
        <f>#REF!</f>
        <v>#VALUE!:noResult:No valid cells found for operation.</v>
      </c>
      <c r="HQ68" s="15" t="str">
        <f>#REF!</f>
        <v>#REF!:refOutOfRange</v>
      </c>
      <c r="HR68" s="15" t="str">
        <f>#REF!</f>
        <v>#VALUE!:noResult:No valid cells found for operation.</v>
      </c>
      <c r="HS68" s="15" t="str">
        <f>#REF!</f>
        <v>#VALUE!:noResult:No valid cells found for operation.</v>
      </c>
      <c r="HT68" s="15" t="str">
        <f>#REF!</f>
        <v>#REF!:refOutOfRange</v>
      </c>
      <c r="HU68" s="15" t="str">
        <f>#REF!</f>
        <v>#VALUE!:noResult:No valid cells found for operation.</v>
      </c>
      <c r="HV68" s="15" t="str">
        <f>#REF!</f>
        <v>#VALUE!:noResult:No valid cells found for operation.</v>
      </c>
      <c r="HW68" s="15" t="str">
        <f>#REF!</f>
        <v>#REF!:refOutOfRange</v>
      </c>
      <c r="HX68" s="15" t="str">
        <f>#REF!</f>
        <v>#VALUE!:noResult:No valid cells found for operation.</v>
      </c>
      <c r="HY68" s="15" t="str">
        <f>#REF!</f>
        <v>#VALUE!:noResult:No valid cells found for operation.</v>
      </c>
      <c r="HZ68" s="15" t="str">
        <f>#REF!</f>
        <v>#REF!:refOutOfRange</v>
      </c>
      <c r="IA68" s="15" t="str">
        <f>#REF!</f>
        <v>#VALUE!:noResult:No valid cells found for operation.</v>
      </c>
      <c r="IB68" s="15" t="str">
        <f>#REF!</f>
        <v>#VALUE!:noResult:No valid cells found for operation.</v>
      </c>
      <c r="IC68" s="15" t="str">
        <f>#REF!</f>
        <v>#REF!:refOutOfRange</v>
      </c>
      <c r="ID68" s="15" t="str">
        <f>#REF!</f>
        <v>#VALUE!:noResult:No valid cells found for operation.</v>
      </c>
      <c r="IE68" s="15" t="str">
        <f>#REF!</f>
        <v>#VALUE!:noResult:No valid cells found for operation.</v>
      </c>
      <c r="IF68" s="15" t="str">
        <f>#REF!</f>
        <v>#REF!:refOutOfRange</v>
      </c>
      <c r="IG68" s="15" t="str">
        <f>#REF!</f>
        <v>#VALUE!:noResult:No valid cells found for operation.</v>
      </c>
      <c r="IH68" s="15" t="str">
        <f>#REF!</f>
        <v>#VALUE!:noResult:No valid cells found for operation.</v>
      </c>
      <c r="II68" s="15" t="str">
        <f>#REF!</f>
        <v>#REF!:refOutOfRange</v>
      </c>
      <c r="IJ68" s="15" t="str">
        <f>#REF!</f>
        <v>#VALUE!:noResult:No valid cells found for operation.</v>
      </c>
      <c r="IK68" s="15" t="str">
        <f>#REF!</f>
        <v>#VALUE!:noResult:No valid cells found for operation.</v>
      </c>
      <c r="IL68" s="15" t="str">
        <f>#REF!</f>
        <v>#REF!:refOutOfRange</v>
      </c>
      <c r="IM68" s="15" t="str">
        <f>#REF!</f>
        <v>#VALUE!:noResult:No valid cells found for operation.</v>
      </c>
      <c r="IN68" s="15" t="str">
        <f>#REF!</f>
        <v>#VALUE!:noResult:No valid cells found for operation.</v>
      </c>
      <c r="IO68" s="15" t="str">
        <f>#REF!</f>
        <v>#REF!:refOutOfRange</v>
      </c>
      <c r="IP68" s="15" t="str">
        <f>#REF!</f>
        <v>#VALUE!:noResult:No valid cells found for operation.</v>
      </c>
      <c r="IQ68" s="15" t="str">
        <f>#REF!</f>
        <v>#VALUE!:noResult:No valid cells found for operation.</v>
      </c>
      <c r="IR68" s="15" t="str">
        <f>#REF!</f>
        <v>#REF!:refOutOfRange</v>
      </c>
      <c r="IS68" s="15" t="str">
        <f>#REF!</f>
        <v>#VALUE!:noResult:No valid cells found for operation.</v>
      </c>
      <c r="IT68" s="15" t="str">
        <f>#REF!</f>
        <v>#VALUE!:noResult:No valid cells found for operation.</v>
      </c>
      <c r="IU68" s="15" t="str">
        <f>#REF!</f>
        <v>#REF!:refOutOfRange</v>
      </c>
      <c r="IV68" s="15" t="str">
        <f>#REF!</f>
        <v>#VALUE!:noResult:No valid cells found for operation.</v>
      </c>
    </row>
    <row r="69">
      <c r="A69" s="15" t="str">
        <f>#REF!</f>
        <v>#VALUE!:noResult:No valid cells found for operation.</v>
      </c>
      <c r="B69" s="15" t="str">
        <f>#REF!</f>
        <v>#REF!:refOutOfRange</v>
      </c>
      <c r="C69" s="15" t="str">
        <f>#REF!</f>
        <v>#VALUE!:noResult:No valid cells found for operation.</v>
      </c>
      <c r="D69" s="15" t="str">
        <f>#REF!</f>
        <v>#VALUE!:noResult:No valid cells found for operation.</v>
      </c>
      <c r="E69" s="15" t="str">
        <f>#REF!</f>
        <v>#REF!:refOutOfRange</v>
      </c>
      <c r="F69" s="15" t="str">
        <f>#REF!</f>
        <v>#VALUE!:noResult:No valid cells found for operation.</v>
      </c>
      <c r="G69" s="15" t="str">
        <f>#REF!</f>
        <v>#VALUE!:noResult:No valid cells found for operation.</v>
      </c>
      <c r="H69" s="15" t="str">
        <f>#REF!</f>
        <v>#REF!:refOutOfRange</v>
      </c>
      <c r="I69" s="15" t="str">
        <f>#REF!</f>
        <v>#VALUE!:noResult:No valid cells found for operation.</v>
      </c>
      <c r="J69" s="15" t="str">
        <f>#REF!</f>
        <v>#VALUE!:noResult:No valid cells found for operation.</v>
      </c>
      <c r="K69" s="15" t="str">
        <f>#REF!</f>
        <v>#REF!:refOutOfRange</v>
      </c>
      <c r="L69" s="15" t="str">
        <f>#REF!</f>
        <v>#VALUE!:noResult:No valid cells found for operation.</v>
      </c>
      <c r="M69" s="15" t="str">
        <f>#REF!</f>
        <v>#VALUE!:noResult:No valid cells found for operation.</v>
      </c>
      <c r="N69" s="15" t="str">
        <f>#REF!</f>
        <v>#REF!:refOutOfRange</v>
      </c>
      <c r="O69" s="15" t="str">
        <f>#REF!</f>
        <v>#VALUE!:noResult:No valid cells found for operation.</v>
      </c>
      <c r="P69" s="15" t="str">
        <f>#REF!</f>
        <v>#VALUE!:noResult:No valid cells found for operation.</v>
      </c>
      <c r="Q69" s="15" t="str">
        <f>#REF!</f>
        <v>#REF!:refOutOfRange</v>
      </c>
      <c r="R69" s="15" t="str">
        <f>#REF!</f>
        <v>#VALUE!:noResult:No valid cells found for operation.</v>
      </c>
      <c r="S69" s="15" t="str">
        <f>#REF!</f>
        <v>#VALUE!:noResult:No valid cells found for operation.</v>
      </c>
      <c r="T69" s="15" t="str">
        <f>#REF!</f>
        <v>#REF!:refOutOfRange</v>
      </c>
      <c r="U69" s="15" t="str">
        <f>#REF!</f>
        <v>#VALUE!:noResult:No valid cells found for operation.</v>
      </c>
      <c r="V69" s="15" t="str">
        <f>#REF!</f>
        <v>#VALUE!:noResult:No valid cells found for operation.</v>
      </c>
      <c r="W69" s="15" t="str">
        <f>#REF!</f>
        <v>#REF!:refOutOfRange</v>
      </c>
      <c r="X69" s="15" t="str">
        <f>#REF!</f>
        <v>#VALUE!:noResult:No valid cells found for operation.</v>
      </c>
      <c r="Y69" s="15" t="str">
        <f>#REF!</f>
        <v>#VALUE!:noResult:No valid cells found for operation.</v>
      </c>
      <c r="Z69" s="15" t="str">
        <f>#REF!</f>
        <v>#REF!:refOutOfRange</v>
      </c>
      <c r="AA69" s="15" t="str">
        <f>#REF!</f>
        <v>#VALUE!:noResult:No valid cells found for operation.</v>
      </c>
      <c r="AB69" s="15" t="str">
        <f>#REF!</f>
        <v>#VALUE!:noResult:No valid cells found for operation.</v>
      </c>
      <c r="AC69" s="15" t="str">
        <f>#REF!</f>
        <v>#REF!:refOutOfRange</v>
      </c>
      <c r="AD69" s="15" t="str">
        <f>#REF!</f>
        <v>#VALUE!:noResult:No valid cells found for operation.</v>
      </c>
      <c r="AE69" s="15" t="str">
        <f>#REF!</f>
        <v>#VALUE!:noResult:No valid cells found for operation.</v>
      </c>
      <c r="AF69" s="15" t="str">
        <f>#REF!</f>
        <v>#REF!:refOutOfRange</v>
      </c>
      <c r="AG69" s="15" t="str">
        <f>#REF!</f>
        <v>#VALUE!:noResult:No valid cells found for operation.</v>
      </c>
      <c r="AH69" s="15" t="str">
        <f>#REF!</f>
        <v>#VALUE!:noResult:No valid cells found for operation.</v>
      </c>
      <c r="AI69" s="15" t="str">
        <f>#REF!</f>
        <v>#REF!:refOutOfRange</v>
      </c>
      <c r="AJ69" s="15" t="str">
        <f>#REF!</f>
        <v>#VALUE!:noResult:No valid cells found for operation.</v>
      </c>
      <c r="AK69" s="15" t="str">
        <f>#REF!</f>
        <v>#VALUE!:noResult:No valid cells found for operation.</v>
      </c>
      <c r="AL69" s="15" t="str">
        <f>#REF!</f>
        <v>#REF!:refOutOfRange</v>
      </c>
      <c r="AM69" s="15" t="str">
        <f>#REF!</f>
        <v>#VALUE!:noResult:No valid cells found for operation.</v>
      </c>
      <c r="AN69" s="15" t="str">
        <f>#REF!</f>
        <v>#VALUE!:noResult:No valid cells found for operation.</v>
      </c>
      <c r="AO69" s="15" t="str">
        <f>#REF!</f>
        <v>#REF!:refOutOfRange</v>
      </c>
      <c r="AP69" s="15" t="str">
        <f>#REF!</f>
        <v>#VALUE!:noResult:No valid cells found for operation.</v>
      </c>
      <c r="AQ69" s="15" t="str">
        <f>#REF!</f>
        <v>#VALUE!:noResult:No valid cells found for operation.</v>
      </c>
      <c r="AR69" s="15" t="str">
        <f>#REF!</f>
        <v>#REF!:refOutOfRange</v>
      </c>
      <c r="AS69" s="15" t="str">
        <f>#REF!</f>
        <v>#VALUE!:noResult:No valid cells found for operation.</v>
      </c>
      <c r="AT69" s="15" t="str">
        <f>#REF!</f>
        <v>#VALUE!:noResult:No valid cells found for operation.</v>
      </c>
      <c r="AU69" s="15" t="str">
        <f>#REF!</f>
        <v>#REF!:refOutOfRange</v>
      </c>
      <c r="AV69" s="15" t="str">
        <f>#REF!</f>
        <v>#VALUE!:noResult:No valid cells found for operation.</v>
      </c>
      <c r="AW69" s="15" t="str">
        <f>#REF!</f>
        <v>#VALUE!:noResult:No valid cells found for operation.</v>
      </c>
      <c r="AX69" s="15" t="str">
        <f>#REF!</f>
        <v>#REF!:refOutOfRange</v>
      </c>
      <c r="AY69" s="15" t="str">
        <f>#REF!</f>
        <v>#VALUE!:noResult:No valid cells found for operation.</v>
      </c>
      <c r="AZ69" s="15" t="str">
        <f>#REF!</f>
        <v>#VALUE!:noResult:No valid cells found for operation.</v>
      </c>
      <c r="BA69" s="15" t="str">
        <f>#REF!</f>
        <v>#REF!:refOutOfRange</v>
      </c>
      <c r="BB69" s="15" t="str">
        <f>#REF!</f>
        <v>#VALUE!:noResult:No valid cells found for operation.</v>
      </c>
      <c r="BC69" s="15" t="str">
        <f>#REF!</f>
        <v>#VALUE!:noResult:No valid cells found for operation.</v>
      </c>
      <c r="BD69" s="15" t="str">
        <f>#REF!</f>
        <v>#REF!:refOutOfRange</v>
      </c>
      <c r="BE69" s="15" t="str">
        <f>#REF!</f>
        <v>#VALUE!:noResult:No valid cells found for operation.</v>
      </c>
      <c r="BF69" s="15" t="str">
        <f>#REF!</f>
        <v>#VALUE!:noResult:No valid cells found for operation.</v>
      </c>
      <c r="BG69" s="15" t="str">
        <f>#REF!</f>
        <v>#REF!:refOutOfRange</v>
      </c>
      <c r="BH69" s="15" t="str">
        <f>#REF!</f>
        <v>#VALUE!:noResult:No valid cells found for operation.</v>
      </c>
      <c r="BI69" s="15" t="str">
        <f>#REF!</f>
        <v>#VALUE!:noResult:No valid cells found for operation.</v>
      </c>
      <c r="BJ69" s="15" t="str">
        <f>#REF!</f>
        <v>#REF!:refOutOfRange</v>
      </c>
      <c r="BK69" s="15" t="str">
        <f>#REF!</f>
        <v>#VALUE!:noResult:No valid cells found for operation.</v>
      </c>
      <c r="BL69" s="15" t="str">
        <f>#REF!</f>
        <v>#VALUE!:noResult:No valid cells found for operation.</v>
      </c>
      <c r="BM69" s="15" t="str">
        <f>#REF!</f>
        <v>#REF!:refOutOfRange</v>
      </c>
      <c r="BN69" s="15" t="str">
        <f>#REF!</f>
        <v>#VALUE!:noResult:No valid cells found for operation.</v>
      </c>
      <c r="BO69" s="15" t="str">
        <f>#REF!</f>
        <v>#VALUE!:noResult:No valid cells found for operation.</v>
      </c>
      <c r="BP69" s="15" t="str">
        <f>#REF!</f>
        <v>#REF!:refOutOfRange</v>
      </c>
      <c r="BQ69" s="15" t="str">
        <f>#REF!</f>
        <v>#VALUE!:noResult:No valid cells found for operation.</v>
      </c>
      <c r="BR69" s="15" t="str">
        <f>#REF!</f>
        <v>#VALUE!:noResult:No valid cells found for operation.</v>
      </c>
      <c r="BS69" s="15" t="str">
        <f>#REF!</f>
        <v>#REF!:refOutOfRange</v>
      </c>
      <c r="BT69" s="15" t="str">
        <f>#REF!</f>
        <v>#VALUE!:noResult:No valid cells found for operation.</v>
      </c>
      <c r="BU69" s="15" t="str">
        <f>#REF!</f>
        <v>#VALUE!:noResult:No valid cells found for operation.</v>
      </c>
      <c r="BV69" s="15" t="str">
        <f>#REF!</f>
        <v>#REF!:refOutOfRange</v>
      </c>
      <c r="BW69" s="15" t="str">
        <f>#REF!</f>
        <v>#VALUE!:noResult:No valid cells found for operation.</v>
      </c>
      <c r="BX69" s="15" t="str">
        <f>#REF!</f>
        <v>#VALUE!:noResult:No valid cells found for operation.</v>
      </c>
      <c r="BY69" s="15" t="str">
        <f>#REF!</f>
        <v>#REF!:refOutOfRange</v>
      </c>
      <c r="BZ69" s="15" t="str">
        <f>#REF!</f>
        <v>#VALUE!:noResult:No valid cells found for operation.</v>
      </c>
      <c r="CA69" s="15" t="str">
        <f>#REF!</f>
        <v>#VALUE!:noResult:No valid cells found for operation.</v>
      </c>
      <c r="CB69" s="15" t="str">
        <f>#REF!</f>
        <v>#REF!:refOutOfRange</v>
      </c>
      <c r="CC69" s="15" t="str">
        <f>#REF!</f>
        <v>#VALUE!:noResult:No valid cells found for operation.</v>
      </c>
      <c r="CD69" s="15" t="str">
        <f>#REF!</f>
        <v>#VALUE!:noResult:No valid cells found for operation.</v>
      </c>
      <c r="CE69" s="15" t="str">
        <f>#REF!</f>
        <v>#REF!:refOutOfRange</v>
      </c>
      <c r="CF69" s="15" t="str">
        <f>#REF!</f>
        <v>#VALUE!:noResult:No valid cells found for operation.</v>
      </c>
      <c r="CG69" s="15" t="str">
        <f>#REF!</f>
        <v>#VALUE!:noResult:No valid cells found for operation.</v>
      </c>
      <c r="CH69" s="15" t="str">
        <f>#REF!</f>
        <v>#REF!:refOutOfRange</v>
      </c>
      <c r="CI69" s="15" t="str">
        <f>#REF!</f>
        <v>#VALUE!:noResult:No valid cells found for operation.</v>
      </c>
      <c r="CJ69" s="15" t="str">
        <f>#REF!</f>
        <v>#VALUE!:noResult:No valid cells found for operation.</v>
      </c>
      <c r="CK69" s="15" t="str">
        <f>#REF!</f>
        <v>#REF!:refOutOfRange</v>
      </c>
      <c r="CL69" s="15" t="str">
        <f>#REF!</f>
        <v>#VALUE!:noResult:No valid cells found for operation.</v>
      </c>
      <c r="CM69" s="15" t="str">
        <f>#REF!</f>
        <v>#VALUE!:noResult:No valid cells found for operation.</v>
      </c>
      <c r="CN69" s="15" t="str">
        <f>#REF!</f>
        <v>#REF!:refOutOfRange</v>
      </c>
      <c r="CO69" s="15" t="str">
        <f>#REF!</f>
        <v>#VALUE!:noResult:No valid cells found for operation.</v>
      </c>
      <c r="CP69" s="15" t="str">
        <f>#REF!</f>
        <v>#VALUE!:noResult:No valid cells found for operation.</v>
      </c>
      <c r="CQ69" s="15" t="str">
        <f>#REF!</f>
        <v>#REF!:refOutOfRange</v>
      </c>
      <c r="CR69" s="15" t="str">
        <f>#REF!</f>
        <v>#VALUE!:noResult:No valid cells found for operation.</v>
      </c>
      <c r="CS69" s="15" t="str">
        <f>#REF!</f>
        <v>#VALUE!:noResult:No valid cells found for operation.</v>
      </c>
      <c r="CT69" s="15" t="str">
        <f>#REF!</f>
        <v>#REF!:refOutOfRange</v>
      </c>
      <c r="CU69" s="15" t="str">
        <f>#REF!</f>
        <v>#VALUE!:noResult:No valid cells found for operation.</v>
      </c>
      <c r="CV69" s="15" t="str">
        <f>#REF!</f>
        <v>#VALUE!:noResult:No valid cells found for operation.</v>
      </c>
      <c r="CW69" s="15" t="str">
        <f>#REF!</f>
        <v>#REF!:refOutOfRange</v>
      </c>
      <c r="CX69" s="15" t="str">
        <f>#REF!</f>
        <v>#VALUE!:noResult:No valid cells found for operation.</v>
      </c>
      <c r="CY69" s="15" t="str">
        <f>#REF!</f>
        <v>#VALUE!:noResult:No valid cells found for operation.</v>
      </c>
      <c r="CZ69" s="15" t="str">
        <f>#REF!</f>
        <v>#REF!:refOutOfRange</v>
      </c>
      <c r="DA69" s="15" t="str">
        <f>#REF!</f>
        <v>#VALUE!:noResult:No valid cells found for operation.</v>
      </c>
      <c r="DB69" s="15" t="str">
        <f>#REF!</f>
        <v>#VALUE!:noResult:No valid cells found for operation.</v>
      </c>
      <c r="DC69" s="15" t="str">
        <f>#REF!</f>
        <v>#REF!:refOutOfRange</v>
      </c>
      <c r="DD69" s="15" t="str">
        <f>#REF!</f>
        <v>#VALUE!:noResult:No valid cells found for operation.</v>
      </c>
      <c r="DE69" s="15" t="str">
        <f>#REF!</f>
        <v>#VALUE!:noResult:No valid cells found for operation.</v>
      </c>
      <c r="DF69" s="15" t="str">
        <f>#REF!</f>
        <v>#REF!:refOutOfRange</v>
      </c>
      <c r="DG69" s="15" t="str">
        <f>#REF!</f>
        <v>#VALUE!:noResult:No valid cells found for operation.</v>
      </c>
      <c r="DH69" s="15" t="str">
        <f>#REF!</f>
        <v>#VALUE!:noResult:No valid cells found for operation.</v>
      </c>
      <c r="DI69" s="15" t="str">
        <f>#REF!</f>
        <v>#REF!:refOutOfRange</v>
      </c>
      <c r="DJ69" s="15" t="str">
        <f>#REF!</f>
        <v>#VALUE!:noResult:No valid cells found for operation.</v>
      </c>
      <c r="DK69" s="15" t="str">
        <f>#REF!</f>
        <v>#VALUE!:noResult:No valid cells found for operation.</v>
      </c>
      <c r="DL69" s="15" t="str">
        <f>#REF!</f>
        <v>#REF!:refOutOfRange</v>
      </c>
      <c r="DM69" s="15" t="str">
        <f>#REF!</f>
        <v>#VALUE!:noResult:No valid cells found for operation.</v>
      </c>
      <c r="DN69" s="15" t="str">
        <f>#REF!</f>
        <v>#VALUE!:noResult:No valid cells found for operation.</v>
      </c>
      <c r="DO69" s="15" t="str">
        <f>#REF!</f>
        <v>#REF!:refOutOfRange</v>
      </c>
      <c r="DP69" s="15" t="str">
        <f>#REF!</f>
        <v>#VALUE!:noResult:No valid cells found for operation.</v>
      </c>
      <c r="DQ69" s="15" t="str">
        <f>#REF!</f>
        <v>#VALUE!:noResult:No valid cells found for operation.</v>
      </c>
      <c r="DR69" s="15" t="str">
        <f>#REF!</f>
        <v>#REF!:refOutOfRange</v>
      </c>
      <c r="DS69" s="15" t="str">
        <f>#REF!</f>
        <v>#VALUE!:noResult:No valid cells found for operation.</v>
      </c>
      <c r="DT69" s="15" t="str">
        <f>#REF!</f>
        <v>#VALUE!:noResult:No valid cells found for operation.</v>
      </c>
      <c r="DU69" s="15" t="str">
        <f>#REF!</f>
        <v>#REF!:refOutOfRange</v>
      </c>
      <c r="DV69" s="15" t="str">
        <f>#REF!</f>
        <v>#VALUE!:noResult:No valid cells found for operation.</v>
      </c>
      <c r="DW69" s="15" t="str">
        <f>#REF!</f>
        <v>#VALUE!:noResult:No valid cells found for operation.</v>
      </c>
      <c r="DX69" s="15" t="str">
        <f>#REF!</f>
        <v>#REF!:refOutOfRange</v>
      </c>
      <c r="DY69" s="15" t="str">
        <f>#REF!</f>
        <v>#VALUE!:noResult:No valid cells found for operation.</v>
      </c>
      <c r="DZ69" s="15" t="str">
        <f>#REF!</f>
        <v>#VALUE!:noResult:No valid cells found for operation.</v>
      </c>
      <c r="EA69" s="15" t="str">
        <f>#REF!</f>
        <v>#REF!:refOutOfRange</v>
      </c>
      <c r="EB69" s="15" t="str">
        <f>#REF!</f>
        <v>#VALUE!:noResult:No valid cells found for operation.</v>
      </c>
      <c r="EC69" s="15" t="str">
        <f>#REF!</f>
        <v>#VALUE!:noResult:No valid cells found for operation.</v>
      </c>
      <c r="ED69" s="15" t="str">
        <f>#REF!</f>
        <v>#REF!:refOutOfRange</v>
      </c>
      <c r="EE69" s="15" t="str">
        <f>#REF!</f>
        <v>#VALUE!:noResult:No valid cells found for operation.</v>
      </c>
      <c r="EF69" s="15" t="str">
        <f>#REF!</f>
        <v>#VALUE!:noResult:No valid cells found for operation.</v>
      </c>
      <c r="EG69" s="15" t="str">
        <f>#REF!</f>
        <v>#REF!:refOutOfRange</v>
      </c>
      <c r="EH69" s="15" t="str">
        <f>#REF!</f>
        <v>#VALUE!:noResult:No valid cells found for operation.</v>
      </c>
      <c r="EI69" s="15" t="str">
        <f>#REF!</f>
        <v>#VALUE!:noResult:No valid cells found for operation.</v>
      </c>
      <c r="EJ69" s="15" t="str">
        <f>#REF!</f>
        <v>#REF!:refOutOfRange</v>
      </c>
      <c r="EK69" s="15" t="str">
        <f>#REF!</f>
        <v>#VALUE!:noResult:No valid cells found for operation.</v>
      </c>
      <c r="EL69" s="15" t="str">
        <f>#REF!</f>
        <v>#VALUE!:noResult:No valid cells found for operation.</v>
      </c>
      <c r="EM69" s="15" t="str">
        <f>#REF!</f>
        <v>#REF!:refOutOfRange</v>
      </c>
      <c r="EN69" s="15" t="str">
        <f>#REF!</f>
        <v>#VALUE!:noResult:No valid cells found for operation.</v>
      </c>
      <c r="EO69" s="15" t="str">
        <f>#REF!</f>
        <v>#VALUE!:noResult:No valid cells found for operation.</v>
      </c>
      <c r="EP69" s="15" t="str">
        <f>#REF!</f>
        <v>#REF!:refOutOfRange</v>
      </c>
      <c r="EQ69" s="15" t="str">
        <f>#REF!</f>
        <v>#VALUE!:noResult:No valid cells found for operation.</v>
      </c>
      <c r="ER69" s="15" t="str">
        <f>#REF!</f>
        <v>#VALUE!:noResult:No valid cells found for operation.</v>
      </c>
      <c r="ES69" s="15" t="str">
        <f>#REF!</f>
        <v>#REF!:refOutOfRange</v>
      </c>
      <c r="ET69" s="15" t="str">
        <f>#REF!</f>
        <v>#VALUE!:noResult:No valid cells found for operation.</v>
      </c>
      <c r="EU69" s="15" t="str">
        <f>#REF!</f>
        <v>#VALUE!:noResult:No valid cells found for operation.</v>
      </c>
      <c r="EV69" s="15" t="str">
        <f>#REF!</f>
        <v>#REF!:refOutOfRange</v>
      </c>
      <c r="EW69" s="15" t="str">
        <f>#REF!</f>
        <v>#VALUE!:noResult:No valid cells found for operation.</v>
      </c>
      <c r="EX69" s="15" t="str">
        <f>#REF!</f>
        <v>#VALUE!:noResult:No valid cells found for operation.</v>
      </c>
      <c r="EY69" s="15" t="str">
        <f>#REF!</f>
        <v>#REF!:refOutOfRange</v>
      </c>
      <c r="EZ69" s="15" t="str">
        <f>#REF!</f>
        <v>#VALUE!:noResult:No valid cells found for operation.</v>
      </c>
      <c r="FA69" s="15" t="str">
        <f>#REF!</f>
        <v>#VALUE!:noResult:No valid cells found for operation.</v>
      </c>
      <c r="FB69" s="15" t="str">
        <f>#REF!</f>
        <v>#REF!:refOutOfRange</v>
      </c>
      <c r="FC69" s="15" t="str">
        <f>#REF!</f>
        <v>#VALUE!:noResult:No valid cells found for operation.</v>
      </c>
      <c r="FD69" s="15" t="str">
        <f>#REF!</f>
        <v>#VALUE!:noResult:No valid cells found for operation.</v>
      </c>
      <c r="FE69" s="15" t="str">
        <f>#REF!</f>
        <v>#REF!:refOutOfRange</v>
      </c>
      <c r="FF69" s="15" t="str">
        <f>#REF!</f>
        <v>#VALUE!:noResult:No valid cells found for operation.</v>
      </c>
      <c r="FG69" s="15" t="str">
        <f>#REF!</f>
        <v>#VALUE!:noResult:No valid cells found for operation.</v>
      </c>
      <c r="FH69" s="15" t="str">
        <f>#REF!</f>
        <v>#REF!:refOutOfRange</v>
      </c>
      <c r="FI69" s="15" t="str">
        <f>#REF!</f>
        <v>#VALUE!:noResult:No valid cells found for operation.</v>
      </c>
      <c r="FJ69" s="15" t="str">
        <f>#REF!</f>
        <v>#VALUE!:noResult:No valid cells found for operation.</v>
      </c>
      <c r="FK69" s="15" t="str">
        <f>#REF!</f>
        <v>#REF!:refOutOfRange</v>
      </c>
      <c r="FL69" s="15" t="str">
        <f>#REF!</f>
        <v>#VALUE!:noResult:No valid cells found for operation.</v>
      </c>
      <c r="FM69" s="15" t="str">
        <f>#REF!</f>
        <v>#VALUE!:noResult:No valid cells found for operation.</v>
      </c>
      <c r="FN69" s="15" t="str">
        <f>#REF!</f>
        <v>#REF!:refOutOfRange</v>
      </c>
      <c r="FO69" s="15" t="str">
        <f>#REF!</f>
        <v>#VALUE!:noResult:No valid cells found for operation.</v>
      </c>
      <c r="FP69" s="15" t="str">
        <f>#REF!</f>
        <v>#VALUE!:noResult:No valid cells found for operation.</v>
      </c>
      <c r="FQ69" s="15" t="str">
        <f>#REF!</f>
        <v>#REF!:refOutOfRange</v>
      </c>
      <c r="FR69" s="15" t="str">
        <f>#REF!</f>
        <v>#VALUE!:noResult:No valid cells found for operation.</v>
      </c>
      <c r="FS69" s="15" t="str">
        <f>#REF!</f>
        <v>#VALUE!:noResult:No valid cells found for operation.</v>
      </c>
      <c r="FT69" s="15" t="str">
        <f>#REF!</f>
        <v>#REF!:refOutOfRange</v>
      </c>
      <c r="FU69" s="15" t="str">
        <f>#REF!</f>
        <v>#VALUE!:noResult:No valid cells found for operation.</v>
      </c>
      <c r="FV69" s="15" t="str">
        <f>#REF!</f>
        <v>#VALUE!:noResult:No valid cells found for operation.</v>
      </c>
      <c r="FW69" s="15" t="str">
        <f>#REF!</f>
        <v>#REF!:refOutOfRange</v>
      </c>
      <c r="FX69" s="15" t="str">
        <f>#REF!</f>
        <v>#VALUE!:noResult:No valid cells found for operation.</v>
      </c>
      <c r="FY69" s="15" t="str">
        <f>#REF!</f>
        <v>#VALUE!:noResult:No valid cells found for operation.</v>
      </c>
      <c r="FZ69" s="15" t="str">
        <f>#REF!</f>
        <v>#REF!:refOutOfRange</v>
      </c>
      <c r="GA69" s="15" t="str">
        <f>#REF!</f>
        <v>#VALUE!:noResult:No valid cells found for operation.</v>
      </c>
      <c r="GB69" s="15" t="str">
        <f>#REF!</f>
        <v>#VALUE!:noResult:No valid cells found for operation.</v>
      </c>
      <c r="GC69" s="15" t="str">
        <f>#REF!</f>
        <v>#REF!:refOutOfRange</v>
      </c>
      <c r="GD69" s="15" t="str">
        <f>#REF!</f>
        <v>#VALUE!:noResult:No valid cells found for operation.</v>
      </c>
      <c r="GE69" s="15" t="str">
        <f>#REF!</f>
        <v>#VALUE!:noResult:No valid cells found for operation.</v>
      </c>
      <c r="GF69" s="15" t="str">
        <f>#REF!</f>
        <v>#REF!:refOutOfRange</v>
      </c>
      <c r="GG69" s="15" t="str">
        <f>#REF!</f>
        <v>#VALUE!:noResult:No valid cells found for operation.</v>
      </c>
      <c r="GH69" s="15" t="str">
        <f>#REF!</f>
        <v>#VALUE!:noResult:No valid cells found for operation.</v>
      </c>
      <c r="GI69" s="15" t="str">
        <f>#REF!</f>
        <v>#REF!:refOutOfRange</v>
      </c>
      <c r="GJ69" s="15" t="str">
        <f>#REF!</f>
        <v>#VALUE!:noResult:No valid cells found for operation.</v>
      </c>
      <c r="GK69" s="15" t="str">
        <f>#REF!</f>
        <v>#VALUE!:noResult:No valid cells found for operation.</v>
      </c>
      <c r="GL69" s="15" t="str">
        <f>#REF!</f>
        <v>#REF!:refOutOfRange</v>
      </c>
      <c r="GM69" s="15" t="str">
        <f>#REF!</f>
        <v>#VALUE!:noResult:No valid cells found for operation.</v>
      </c>
      <c r="GN69" s="15" t="str">
        <f>#REF!</f>
        <v>#VALUE!:noResult:No valid cells found for operation.</v>
      </c>
      <c r="GO69" s="15" t="str">
        <f>#REF!</f>
        <v>#REF!:refOutOfRange</v>
      </c>
      <c r="GP69" s="15" t="str">
        <f>#REF!</f>
        <v>#VALUE!:noResult:No valid cells found for operation.</v>
      </c>
      <c r="GQ69" s="15" t="str">
        <f>#REF!</f>
        <v>#VALUE!:noResult:No valid cells found for operation.</v>
      </c>
      <c r="GR69" s="15" t="str">
        <f>#REF!</f>
        <v>#REF!:refOutOfRange</v>
      </c>
      <c r="GS69" s="15" t="str">
        <f>#REF!</f>
        <v>#VALUE!:noResult:No valid cells found for operation.</v>
      </c>
      <c r="GT69" s="15" t="str">
        <f>#REF!</f>
        <v>#VALUE!:noResult:No valid cells found for operation.</v>
      </c>
      <c r="GU69" s="15" t="str">
        <f>#REF!</f>
        <v>#REF!:refOutOfRange</v>
      </c>
      <c r="GV69" s="15" t="str">
        <f>#REF!</f>
        <v>#VALUE!:noResult:No valid cells found for operation.</v>
      </c>
      <c r="GW69" s="15" t="str">
        <f>#REF!</f>
        <v>#VALUE!:noResult:No valid cells found for operation.</v>
      </c>
      <c r="GX69" s="15" t="str">
        <f>#REF!</f>
        <v>#REF!:refOutOfRange</v>
      </c>
      <c r="GY69" s="15" t="str">
        <f>#REF!</f>
        <v>#VALUE!:noResult:No valid cells found for operation.</v>
      </c>
      <c r="GZ69" s="15" t="str">
        <f>#REF!</f>
        <v>#VALUE!:noResult:No valid cells found for operation.</v>
      </c>
      <c r="HA69" s="15" t="str">
        <f>#REF!</f>
        <v>#REF!:refOutOfRange</v>
      </c>
      <c r="HB69" s="15" t="str">
        <f>#REF!</f>
        <v>#VALUE!:noResult:No valid cells found for operation.</v>
      </c>
      <c r="HC69" s="15" t="str">
        <f>#REF!</f>
        <v>#VALUE!:noResult:No valid cells found for operation.</v>
      </c>
      <c r="HD69" s="15" t="str">
        <f>#REF!</f>
        <v>#REF!:refOutOfRange</v>
      </c>
      <c r="HE69" s="15" t="str">
        <f>#REF!</f>
        <v>#VALUE!:noResult:No valid cells found for operation.</v>
      </c>
      <c r="HF69" s="15" t="str">
        <f>#REF!</f>
        <v>#VALUE!:noResult:No valid cells found for operation.</v>
      </c>
      <c r="HG69" s="15" t="str">
        <f>#REF!</f>
        <v>#REF!:refOutOfRange</v>
      </c>
      <c r="HH69" s="15" t="str">
        <f>#REF!</f>
        <v>#VALUE!:noResult:No valid cells found for operation.</v>
      </c>
      <c r="HI69" s="15" t="str">
        <f>#REF!</f>
        <v>#VALUE!:noResult:No valid cells found for operation.</v>
      </c>
      <c r="HJ69" s="15" t="str">
        <f>#REF!</f>
        <v>#REF!:refOutOfRange</v>
      </c>
      <c r="HK69" s="15" t="str">
        <f>#REF!</f>
        <v>#VALUE!:noResult:No valid cells found for operation.</v>
      </c>
      <c r="HL69" s="15" t="str">
        <f>#REF!</f>
        <v>#VALUE!:noResult:No valid cells found for operation.</v>
      </c>
      <c r="HM69" s="15" t="str">
        <f>#REF!</f>
        <v>#REF!:refOutOfRange</v>
      </c>
      <c r="HN69" s="15" t="str">
        <f>#REF!</f>
        <v>#VALUE!:noResult:No valid cells found for operation.</v>
      </c>
      <c r="HO69" s="15" t="str">
        <f>#REF!</f>
        <v>#VALUE!:noResult:No valid cells found for operation.</v>
      </c>
      <c r="HP69" s="15" t="str">
        <f>#REF!</f>
        <v>#REF!:refOutOfRange</v>
      </c>
      <c r="HQ69" s="15" t="str">
        <f>#REF!</f>
        <v>#VALUE!:noResult:No valid cells found for operation.</v>
      </c>
      <c r="HR69" s="15" t="str">
        <f>#REF!</f>
        <v>#VALUE!:noResult:No valid cells found for operation.</v>
      </c>
      <c r="HS69" s="15" t="str">
        <f>#REF!</f>
        <v>#REF!:refOutOfRange</v>
      </c>
      <c r="HT69" s="15" t="str">
        <f>#REF!</f>
        <v>#VALUE!:noResult:No valid cells found for operation.</v>
      </c>
      <c r="HU69" s="15" t="str">
        <f>#REF!</f>
        <v>#VALUE!:noResult:No valid cells found for operation.</v>
      </c>
      <c r="HV69" s="15" t="str">
        <f>#REF!</f>
        <v>#REF!:refOutOfRange</v>
      </c>
      <c r="HW69" s="15" t="str">
        <f>#REF!</f>
        <v>#VALUE!:noResult:No valid cells found for operation.</v>
      </c>
      <c r="HX69" s="15" t="str">
        <f>#REF!</f>
        <v>#VALUE!:noResult:No valid cells found for operation.</v>
      </c>
      <c r="HY69" s="15" t="str">
        <f>#REF!</f>
        <v>#REF!:refOutOfRange</v>
      </c>
      <c r="HZ69" s="15" t="str">
        <f>#REF!</f>
        <v>#VALUE!:noResult:No valid cells found for operation.</v>
      </c>
      <c r="IA69" s="15" t="str">
        <f>#REF!</f>
        <v>#VALUE!:noResult:No valid cells found for operation.</v>
      </c>
      <c r="IB69" s="15" t="str">
        <f>#REF!</f>
        <v>#REF!:refOutOfRange</v>
      </c>
      <c r="IC69" s="15" t="str">
        <f>#REF!</f>
        <v>#VALUE!:noResult:No valid cells found for operation.</v>
      </c>
      <c r="ID69" s="15" t="str">
        <f>#REF!</f>
        <v>#VALUE!:noResult:No valid cells found for operation.</v>
      </c>
      <c r="IE69" s="15" t="str">
        <f>#REF!</f>
        <v>#REF!:refOutOfRange</v>
      </c>
      <c r="IF69" s="15" t="str">
        <f>#REF!</f>
        <v>#VALUE!:noResult:No valid cells found for operation.</v>
      </c>
      <c r="IG69" s="15" t="str">
        <f>#REF!</f>
        <v>#VALUE!:noResult:No valid cells found for operation.</v>
      </c>
      <c r="IH69" s="15" t="str">
        <f>#REF!</f>
        <v>#REF!:refOutOfRange</v>
      </c>
      <c r="II69" s="15" t="str">
        <f>#REF!</f>
        <v>#VALUE!:noResult:No valid cells found for operation.</v>
      </c>
      <c r="IJ69" s="15" t="str">
        <f>#REF!</f>
        <v>#VALUE!:noResult:No valid cells found for operation.</v>
      </c>
      <c r="IK69" s="15" t="str">
        <f>#REF!</f>
        <v>#REF!:refOutOfRange</v>
      </c>
      <c r="IL69" s="15" t="str">
        <f>#REF!</f>
        <v>#VALUE!:noResult:No valid cells found for operation.</v>
      </c>
      <c r="IM69" s="15" t="str">
        <f>#REF!</f>
        <v>#VALUE!:noResult:No valid cells found for operation.</v>
      </c>
      <c r="IN69" s="15" t="str">
        <f>#REF!</f>
        <v>#REF!:refOutOfRange</v>
      </c>
      <c r="IO69" s="15" t="str">
        <f>#REF!</f>
        <v>#VALUE!:noResult:No valid cells found for operation.</v>
      </c>
      <c r="IP69" s="15" t="str">
        <f>#REF!</f>
        <v>#VALUE!:noResult:No valid cells found for operation.</v>
      </c>
      <c r="IQ69" s="15" t="str">
        <f>#REF!</f>
        <v>#REF!:refOutOfRange</v>
      </c>
      <c r="IR69" s="15" t="str">
        <f>#REF!</f>
        <v>#VALUE!:noResult:No valid cells found for operation.</v>
      </c>
      <c r="IS69" s="15" t="str">
        <f>#REF!</f>
        <v>#VALUE!:noResult:No valid cells found for operation.</v>
      </c>
      <c r="IT69" s="15" t="str">
        <f>#REF!</f>
        <v>#REF!:refOutOfRange</v>
      </c>
      <c r="IU69" s="15" t="str">
        <f>#REF!</f>
        <v>#VALUE!:noResult:No valid cells found for operation.</v>
      </c>
      <c r="IV69" s="15" t="str">
        <f>#REF!</f>
        <v>#VALUE!:noResult:No valid cells found for operation.</v>
      </c>
    </row>
    <row r="70">
      <c r="A70" s="15" t="str">
        <f>#REF!</f>
        <v>#REF!:refOutOfRange</v>
      </c>
      <c r="B70" s="15" t="str">
        <f>#REF!</f>
        <v>#VALUE!:noResult:No valid cells found for operation.</v>
      </c>
      <c r="C70" s="15" t="str">
        <f>#REF!</f>
        <v>#VALUE!:noResult:No valid cells found for operation.</v>
      </c>
      <c r="D70" s="15" t="str">
        <f>#REF!</f>
        <v>#REF!:refOutOfRange</v>
      </c>
      <c r="E70" s="15" t="str">
        <f>#REF!</f>
        <v>#VALUE!:noResult:No valid cells found for operation.</v>
      </c>
      <c r="F70" s="15" t="str">
        <f>#REF!</f>
        <v>#VALUE!:noResult:No valid cells found for operation.</v>
      </c>
      <c r="G70" s="15" t="str">
        <f>#REF!</f>
        <v>#REF!:refOutOfRange</v>
      </c>
      <c r="H70" s="15" t="str">
        <f>#REF!</f>
        <v>#VALUE!:noResult:No valid cells found for operation.</v>
      </c>
      <c r="I70" s="15" t="str">
        <f>#REF!</f>
        <v>#VALUE!:noResult:No valid cells found for operation.</v>
      </c>
      <c r="J70" s="15" t="str">
        <f>#REF!</f>
        <v>#REF!:refOutOfRange</v>
      </c>
      <c r="K70" s="15" t="str">
        <f>#REF!</f>
        <v>#VALUE!:noResult:No valid cells found for operation.</v>
      </c>
      <c r="L70" s="15" t="str">
        <f>#REF!</f>
        <v>#VALUE!:noResult:No valid cells found for operation.</v>
      </c>
      <c r="M70" s="15" t="str">
        <f>#REF!</f>
        <v>#REF!:refOutOfRange</v>
      </c>
      <c r="N70" s="15" t="str">
        <f>#REF!</f>
        <v>#VALUE!:noResult:No valid cells found for operation.</v>
      </c>
      <c r="O70" s="15" t="str">
        <f>#REF!</f>
        <v>#VALUE!:noResult:No valid cells found for operation.</v>
      </c>
      <c r="P70" s="15" t="str">
        <f>#REF!</f>
        <v>#REF!:refOutOfRange</v>
      </c>
      <c r="Q70" s="15" t="str">
        <f>#REF!</f>
        <v>#VALUE!:noResult:No valid cells found for operation.</v>
      </c>
      <c r="R70" s="15" t="str">
        <f>#REF!</f>
        <v>#VALUE!:noResult:No valid cells found for operation.</v>
      </c>
      <c r="S70" s="15" t="str">
        <f>#REF!</f>
        <v>#REF!:refOutOfRange</v>
      </c>
      <c r="T70" s="15" t="str">
        <f>#REF!</f>
        <v>#VALUE!:noResult:No valid cells found for operation.</v>
      </c>
      <c r="U70" s="15" t="str">
        <f>#REF!</f>
        <v>#VALUE!:noResult:No valid cells found for operation.</v>
      </c>
      <c r="V70" s="15" t="str">
        <f>#REF!</f>
        <v>#REF!:refOutOfRange</v>
      </c>
      <c r="W70" s="15" t="str">
        <f>#REF!</f>
        <v>#VALUE!:noResult:No valid cells found for operation.</v>
      </c>
      <c r="X70" s="15" t="str">
        <f>#REF!</f>
        <v>#VALUE!:noResult:No valid cells found for operation.</v>
      </c>
      <c r="Y70" s="15" t="str">
        <f>#REF!</f>
        <v>#REF!:refOutOfRange</v>
      </c>
      <c r="Z70" s="15" t="str">
        <f>#REF!</f>
        <v>#VALUE!:noResult:No valid cells found for operation.</v>
      </c>
      <c r="AA70" s="15" t="str">
        <f>#REF!</f>
        <v>#VALUE!:noResult:No valid cells found for operation.</v>
      </c>
      <c r="AB70" s="15" t="str">
        <f>#REF!</f>
        <v>#REF!:refOutOfRange</v>
      </c>
      <c r="AC70" s="15" t="str">
        <f>#REF!</f>
        <v>#VALUE!:noResult:No valid cells found for operation.</v>
      </c>
      <c r="AD70" s="15" t="str">
        <f>#REF!</f>
        <v>#VALUE!:noResult:No valid cells found for operation.</v>
      </c>
      <c r="AE70" s="15" t="str">
        <f>#REF!</f>
        <v>#REF!:refOutOfRange</v>
      </c>
      <c r="AF70" s="15" t="str">
        <f>#REF!</f>
        <v>#VALUE!:noResult:No valid cells found for operation.</v>
      </c>
      <c r="AG70" s="15" t="str">
        <f>#REF!</f>
        <v>#VALUE!:noResult:No valid cells found for operation.</v>
      </c>
      <c r="AH70" s="15" t="str">
        <f>#REF!</f>
        <v>#REF!:refOutOfRange</v>
      </c>
      <c r="AI70" s="15" t="str">
        <f>#REF!</f>
        <v>#VALUE!:noResult:No valid cells found for operation.</v>
      </c>
      <c r="AJ70" s="15" t="str">
        <f>#REF!</f>
        <v>#VALUE!:noResult:No valid cells found for operation.</v>
      </c>
      <c r="AK70" s="15" t="str">
        <f>#REF!</f>
        <v>#REF!:refOutOfRange</v>
      </c>
      <c r="AL70" s="15" t="str">
        <f>#REF!</f>
        <v>#VALUE!:noResult:No valid cells found for operation.</v>
      </c>
      <c r="AM70" s="15" t="str">
        <f>#REF!</f>
        <v>#VALUE!:noResult:No valid cells found for operation.</v>
      </c>
      <c r="AN70" s="15" t="str">
        <f>#REF!</f>
        <v>#REF!:refOutOfRange</v>
      </c>
      <c r="AO70" s="15" t="str">
        <f>#REF!</f>
        <v>#VALUE!:noResult:No valid cells found for operation.</v>
      </c>
      <c r="AP70" s="15" t="str">
        <f>#REF!</f>
        <v>#VALUE!:noResult:No valid cells found for operation.</v>
      </c>
      <c r="AQ70" s="15" t="str">
        <f>#REF!</f>
        <v>#REF!:refOutOfRange</v>
      </c>
      <c r="AR70" s="15" t="str">
        <f>#REF!</f>
        <v>#VALUE!:noResult:No valid cells found for operation.</v>
      </c>
      <c r="AS70" s="15" t="str">
        <f>#REF!</f>
        <v>#VALUE!:noResult:No valid cells found for operation.</v>
      </c>
      <c r="AT70" s="15" t="str">
        <f>#REF!</f>
        <v>#REF!:refOutOfRange</v>
      </c>
      <c r="AU70" s="15" t="str">
        <f>#REF!</f>
        <v>#VALUE!:noResult:No valid cells found for operation.</v>
      </c>
      <c r="AV70" s="15" t="str">
        <f>#REF!</f>
        <v>#VALUE!:noResult:No valid cells found for operation.</v>
      </c>
      <c r="AW70" s="15" t="str">
        <f>#REF!</f>
        <v>#REF!:refOutOfRange</v>
      </c>
      <c r="AX70" s="15" t="str">
        <f>#REF!</f>
        <v>#VALUE!:noResult:No valid cells found for operation.</v>
      </c>
      <c r="AY70" s="15" t="str">
        <f>#REF!</f>
        <v>#VALUE!:noResult:No valid cells found for operation.</v>
      </c>
      <c r="AZ70" s="15" t="str">
        <f>#REF!</f>
        <v>#REF!:refOutOfRange</v>
      </c>
      <c r="BA70" s="15" t="str">
        <f>#REF!</f>
        <v>#VALUE!:noResult:No valid cells found for operation.</v>
      </c>
      <c r="BB70" s="15" t="str">
        <f>#REF!</f>
        <v>#VALUE!:noResult:No valid cells found for operation.</v>
      </c>
      <c r="BC70" s="15" t="str">
        <f>#REF!</f>
        <v>#REF!:refOutOfRange</v>
      </c>
      <c r="BD70" s="15" t="str">
        <f>#REF!</f>
        <v>#VALUE!:noResult:No valid cells found for operation.</v>
      </c>
      <c r="BE70" s="15" t="str">
        <f>#REF!</f>
        <v>#VALUE!:noResult:No valid cells found for operation.</v>
      </c>
      <c r="BF70" s="15" t="str">
        <f>#REF!</f>
        <v>#REF!:refOutOfRange</v>
      </c>
      <c r="BG70" s="15" t="str">
        <f>#REF!</f>
        <v>#VALUE!:noResult:No valid cells found for operation.</v>
      </c>
      <c r="BH70" s="15" t="str">
        <f>#REF!</f>
        <v>#VALUE!:noResult:No valid cells found for operation.</v>
      </c>
      <c r="BI70" s="15" t="str">
        <f>#REF!</f>
        <v>#REF!:refOutOfRange</v>
      </c>
      <c r="BJ70" s="15" t="str">
        <f>#REF!</f>
        <v>#VALUE!:noResult:No valid cells found for operation.</v>
      </c>
      <c r="BK70" s="15" t="str">
        <f>#REF!</f>
        <v>#VALUE!:noResult:No valid cells found for operation.</v>
      </c>
      <c r="BL70" s="15" t="str">
        <f>#REF!</f>
        <v>#REF!:refOutOfRange</v>
      </c>
      <c r="BM70" s="15" t="str">
        <f>#REF!</f>
        <v>#VALUE!:noResult:No valid cells found for operation.</v>
      </c>
      <c r="BN70" s="15" t="str">
        <f>#REF!</f>
        <v>#VALUE!:noResult:No valid cells found for operation.</v>
      </c>
      <c r="BO70" s="15" t="str">
        <f>#REF!</f>
        <v>#REF!:refOutOfRange</v>
      </c>
      <c r="BP70" s="15" t="str">
        <f>#REF!</f>
        <v>#VALUE!:noResult:No valid cells found for operation.</v>
      </c>
      <c r="BQ70" s="15" t="str">
        <f>#REF!</f>
        <v>#VALUE!:noResult:No valid cells found for operation.</v>
      </c>
      <c r="BR70" s="15" t="str">
        <f>#REF!</f>
        <v>#REF!:refOutOfRange</v>
      </c>
      <c r="BS70" s="15" t="str">
        <f>#REF!</f>
        <v>#VALUE!:noResult:No valid cells found for operation.</v>
      </c>
      <c r="BT70" s="15" t="str">
        <f>#REF!</f>
        <v>#VALUE!:noResult:No valid cells found for operation.</v>
      </c>
      <c r="BU70" s="15" t="str">
        <f>#REF!</f>
        <v>#REF!:refOutOfRange</v>
      </c>
      <c r="BV70" s="15" t="str">
        <f>#REF!</f>
        <v>#VALUE!:noResult:No valid cells found for operation.</v>
      </c>
      <c r="BW70" s="15" t="str">
        <f>#REF!</f>
        <v>#VALUE!:noResult:No valid cells found for operation.</v>
      </c>
      <c r="BX70" s="15" t="str">
        <f>#REF!</f>
        <v>#REF!:refOutOfRange</v>
      </c>
      <c r="BY70" s="15" t="str">
        <f>#REF!</f>
        <v>#VALUE!:noResult:No valid cells found for operation.</v>
      </c>
      <c r="BZ70" s="15" t="str">
        <f>#REF!</f>
        <v>#VALUE!:noResult:No valid cells found for operation.</v>
      </c>
      <c r="CA70" s="15" t="str">
        <f>#REF!</f>
        <v>#REF!:refOutOfRange</v>
      </c>
      <c r="CB70" s="15" t="str">
        <f>#REF!</f>
        <v>#VALUE!:noResult:No valid cells found for operation.</v>
      </c>
      <c r="CC70" s="15" t="str">
        <f>#REF!</f>
        <v>#VALUE!:noResult:No valid cells found for operation.</v>
      </c>
      <c r="CD70" s="15" t="str">
        <f>#REF!</f>
        <v>#REF!:refOutOfRange</v>
      </c>
      <c r="CE70" s="15" t="str">
        <f>#REF!</f>
        <v>#VALUE!:noResult:No valid cells found for operation.</v>
      </c>
      <c r="CF70" s="15" t="str">
        <f>#REF!</f>
        <v>#VALUE!:noResult:No valid cells found for operation.</v>
      </c>
      <c r="CG70" s="15" t="str">
        <f>#REF!</f>
        <v>#REF!:refOutOfRange</v>
      </c>
      <c r="CH70" s="15" t="str">
        <f>#REF!</f>
        <v>#VALUE!:noResult:No valid cells found for operation.</v>
      </c>
      <c r="CI70" s="15" t="str">
        <f>#REF!</f>
        <v>#VALUE!:noResult:No valid cells found for operation.</v>
      </c>
      <c r="CJ70" s="15" t="str">
        <f>#REF!</f>
        <v>#REF!:refOutOfRange</v>
      </c>
      <c r="CK70" s="15" t="str">
        <f>#REF!</f>
        <v>#VALUE!:noResult:No valid cells found for operation.</v>
      </c>
      <c r="CL70" s="15" t="str">
        <f>#REF!</f>
        <v>#VALUE!:noResult:No valid cells found for operation.</v>
      </c>
      <c r="CM70" s="15" t="str">
        <f>#REF!</f>
        <v>#REF!:refOutOfRange</v>
      </c>
      <c r="CN70" s="15" t="str">
        <f>#REF!</f>
        <v>#VALUE!:noResult:No valid cells found for operation.</v>
      </c>
      <c r="CO70" s="15" t="str">
        <f>#REF!</f>
        <v>#VALUE!:noResult:No valid cells found for operation.</v>
      </c>
      <c r="CP70" s="15" t="str">
        <f>#REF!</f>
        <v>#REF!:refOutOfRange</v>
      </c>
      <c r="CQ70" s="15" t="str">
        <f>#REF!</f>
        <v>#VALUE!:noResult:No valid cells found for operation.</v>
      </c>
      <c r="CR70" s="15" t="str">
        <f>#REF!</f>
        <v>#VALUE!:noResult:No valid cells found for operation.</v>
      </c>
      <c r="CS70" s="15" t="str">
        <f>#REF!</f>
        <v>#REF!:refOutOfRange</v>
      </c>
      <c r="CT70" s="15" t="str">
        <f>#REF!</f>
        <v>#VALUE!:noResult:No valid cells found for operation.</v>
      </c>
      <c r="CU70" s="15" t="str">
        <f>#REF!</f>
        <v>#VALUE!:noResult:No valid cells found for operation.</v>
      </c>
      <c r="CV70" s="15" t="str">
        <f>#REF!</f>
        <v>#REF!:refOutOfRange</v>
      </c>
      <c r="CW70" s="15" t="str">
        <f>#REF!</f>
        <v>#VALUE!:noResult:No valid cells found for operation.</v>
      </c>
      <c r="CX70" s="15" t="str">
        <f>#REF!</f>
        <v>#VALUE!:noResult:No valid cells found for operation.</v>
      </c>
      <c r="CY70" s="15" t="str">
        <f>#REF!</f>
        <v>#REF!:refOutOfRange</v>
      </c>
      <c r="CZ70" s="15" t="str">
        <f>#REF!</f>
        <v>#VALUE!:noResult:No valid cells found for operation.</v>
      </c>
      <c r="DA70" s="15" t="str">
        <f>#REF!</f>
        <v>#VALUE!:noResult:No valid cells found for operation.</v>
      </c>
      <c r="DB70" s="15" t="str">
        <f>#REF!</f>
        <v>#REF!:refOutOfRange</v>
      </c>
      <c r="DC70" s="15" t="str">
        <f>#REF!</f>
        <v>#VALUE!:noResult:No valid cells found for operation.</v>
      </c>
      <c r="DD70" s="15" t="str">
        <f>#REF!</f>
        <v>#VALUE!:noResult:No valid cells found for operation.</v>
      </c>
      <c r="DE70" s="15" t="str">
        <f>#REF!</f>
        <v>#REF!:refOutOfRange</v>
      </c>
      <c r="DF70" s="15" t="str">
        <f>#REF!</f>
        <v>#VALUE!:noResult:No valid cells found for operation.</v>
      </c>
      <c r="DG70" s="15" t="str">
        <f>#REF!</f>
        <v>#VALUE!:noResult:No valid cells found for operation.</v>
      </c>
      <c r="DH70" s="15" t="str">
        <f>#REF!</f>
        <v>#REF!:refOutOfRange</v>
      </c>
      <c r="DI70" s="15" t="str">
        <f>#REF!</f>
        <v>#VALUE!:noResult:No valid cells found for operation.</v>
      </c>
      <c r="DJ70" s="15" t="str">
        <f>#REF!</f>
        <v>#VALUE!:noResult:No valid cells found for operation.</v>
      </c>
      <c r="DK70" s="15" t="str">
        <f>#REF!</f>
        <v>#REF!:refOutOfRange</v>
      </c>
      <c r="DL70" s="15" t="str">
        <f>#REF!</f>
        <v>#VALUE!:noResult:No valid cells found for operation.</v>
      </c>
      <c r="DM70" s="15" t="str">
        <f>#REF!</f>
        <v>#VALUE!:noResult:No valid cells found for operation.</v>
      </c>
      <c r="DN70" s="15" t="str">
        <f>#REF!</f>
        <v>#REF!:refOutOfRange</v>
      </c>
      <c r="DO70" s="15" t="str">
        <f>#REF!</f>
        <v>#VALUE!:noResult:No valid cells found for operation.</v>
      </c>
      <c r="DP70" s="15" t="str">
        <f>#REF!</f>
        <v>#VALUE!:noResult:No valid cells found for operation.</v>
      </c>
      <c r="DQ70" s="15" t="str">
        <f>#REF!</f>
        <v>#REF!:refOutOfRange</v>
      </c>
      <c r="DR70" s="15" t="str">
        <f>#REF!</f>
        <v>#VALUE!:noResult:No valid cells found for operation.</v>
      </c>
      <c r="DS70" s="15" t="str">
        <f>#REF!</f>
        <v>#VALUE!:noResult:No valid cells found for operation.</v>
      </c>
      <c r="DT70" s="15" t="str">
        <f>#REF!</f>
        <v>#REF!:refOutOfRange</v>
      </c>
      <c r="DU70" s="15" t="str">
        <f>#REF!</f>
        <v>#VALUE!:noResult:No valid cells found for operation.</v>
      </c>
      <c r="DV70" s="15" t="str">
        <f>#REF!</f>
        <v>#VALUE!:noResult:No valid cells found for operation.</v>
      </c>
      <c r="DW70" s="15" t="str">
        <f>#REF!</f>
        <v>#REF!:refOutOfRange</v>
      </c>
      <c r="DX70" s="15" t="str">
        <f>#REF!</f>
        <v>#VALUE!:noResult:No valid cells found for operation.</v>
      </c>
      <c r="DY70" s="15" t="str">
        <f>#REF!</f>
        <v>#VALUE!:noResult:No valid cells found for operation.</v>
      </c>
      <c r="DZ70" s="15" t="str">
        <f>#REF!</f>
        <v>#REF!:refOutOfRange</v>
      </c>
      <c r="EA70" s="15" t="str">
        <f>#REF!</f>
        <v>#VALUE!:noResult:No valid cells found for operation.</v>
      </c>
      <c r="EB70" s="15" t="str">
        <f>#REF!</f>
        <v>#VALUE!:noResult:No valid cells found for operation.</v>
      </c>
      <c r="EC70" s="15" t="str">
        <f>#REF!</f>
        <v>#REF!:refOutOfRange</v>
      </c>
      <c r="ED70" s="15" t="str">
        <f>#REF!</f>
        <v>#VALUE!:noResult:No valid cells found for operation.</v>
      </c>
      <c r="EE70" s="15" t="str">
        <f>#REF!</f>
        <v>#VALUE!:noResult:No valid cells found for operation.</v>
      </c>
      <c r="EF70" s="15" t="str">
        <f>#REF!</f>
        <v>#REF!:refOutOfRange</v>
      </c>
      <c r="EG70" s="15" t="str">
        <f>#REF!</f>
        <v>#VALUE!:noResult:No valid cells found for operation.</v>
      </c>
      <c r="EH70" s="15" t="str">
        <f>#REF!</f>
        <v>#VALUE!:noResult:No valid cells found for operation.</v>
      </c>
      <c r="EI70" s="15" t="str">
        <f>#REF!</f>
        <v>#REF!:refOutOfRange</v>
      </c>
      <c r="EJ70" s="15" t="str">
        <f>#REF!</f>
        <v>#VALUE!:noResult:No valid cells found for operation.</v>
      </c>
      <c r="EK70" s="15" t="str">
        <f>#REF!</f>
        <v>#VALUE!:noResult:No valid cells found for operation.</v>
      </c>
      <c r="EL70" s="15" t="str">
        <f>#REF!</f>
        <v>#REF!:refOutOfRange</v>
      </c>
      <c r="EM70" s="15" t="str">
        <f>#REF!</f>
        <v>#VALUE!:noResult:No valid cells found for operation.</v>
      </c>
      <c r="EN70" s="15" t="str">
        <f>#REF!</f>
        <v>#VALUE!:noResult:No valid cells found for operation.</v>
      </c>
      <c r="EO70" s="15" t="str">
        <f>#REF!</f>
        <v>#REF!:refOutOfRange</v>
      </c>
      <c r="EP70" s="15" t="str">
        <f>#REF!</f>
        <v>#VALUE!:noResult:No valid cells found for operation.</v>
      </c>
      <c r="EQ70" s="15" t="str">
        <f>#REF!</f>
        <v>#VALUE!:noResult:No valid cells found for operation.</v>
      </c>
      <c r="ER70" s="15" t="str">
        <f>#REF!</f>
        <v>#REF!:refOutOfRange</v>
      </c>
      <c r="ES70" s="15" t="str">
        <f>#REF!</f>
        <v>#VALUE!:noResult:No valid cells found for operation.</v>
      </c>
      <c r="ET70" s="15" t="str">
        <f>#REF!</f>
        <v>#VALUE!:noResult:No valid cells found for operation.</v>
      </c>
      <c r="EU70" s="15" t="str">
        <f>#REF!</f>
        <v>#REF!:refOutOfRange</v>
      </c>
      <c r="EV70" s="15" t="str">
        <f>#REF!</f>
        <v>#VALUE!:noResult:No valid cells found for operation.</v>
      </c>
      <c r="EW70" s="15" t="str">
        <f>#REF!</f>
        <v>#VALUE!:noResult:No valid cells found for operation.</v>
      </c>
      <c r="EX70" s="15" t="str">
        <f>#REF!</f>
        <v>#REF!:refOutOfRange</v>
      </c>
      <c r="EY70" s="15" t="str">
        <f>#REF!</f>
        <v>#VALUE!:noResult:No valid cells found for operation.</v>
      </c>
      <c r="EZ70" s="15" t="str">
        <f>#REF!</f>
        <v>#VALUE!:noResult:No valid cells found for operation.</v>
      </c>
      <c r="FA70" s="15" t="str">
        <f>#REF!</f>
        <v>#REF!:refOutOfRange</v>
      </c>
      <c r="FB70" s="15" t="str">
        <f>#REF!</f>
        <v>#VALUE!:noResult:No valid cells found for operation.</v>
      </c>
      <c r="FC70" s="15" t="str">
        <f>#REF!</f>
        <v>#VALUE!:noResult:No valid cells found for operation.</v>
      </c>
      <c r="FD70" s="15" t="str">
        <f>#REF!</f>
        <v>#REF!:refOutOfRange</v>
      </c>
      <c r="FE70" s="15" t="str">
        <f>#REF!</f>
        <v>#VALUE!:noResult:No valid cells found for operation.</v>
      </c>
      <c r="FF70" s="15" t="str">
        <f>#REF!</f>
        <v>#VALUE!:noResult:No valid cells found for operation.</v>
      </c>
      <c r="FG70" s="15" t="str">
        <f>#REF!</f>
        <v>#REF!:refOutOfRange</v>
      </c>
      <c r="FH70" s="15" t="str">
        <f>#REF!</f>
        <v>#VALUE!:noResult:No valid cells found for operation.</v>
      </c>
      <c r="FI70" s="15" t="str">
        <f>#REF!</f>
        <v>#VALUE!:noResult:No valid cells found for operation.</v>
      </c>
      <c r="FJ70" s="15" t="str">
        <f>#REF!</f>
        <v>#REF!:refOutOfRange</v>
      </c>
      <c r="FK70" s="15" t="str">
        <f>#REF!</f>
        <v>#VALUE!:noResult:No valid cells found for operation.</v>
      </c>
      <c r="FL70" s="15" t="str">
        <f>#REF!</f>
        <v>#VALUE!:noResult:No valid cells found for operation.</v>
      </c>
      <c r="FM70" s="15" t="str">
        <f>#REF!</f>
        <v>#REF!:refOutOfRange</v>
      </c>
      <c r="FN70" s="15" t="str">
        <f>#REF!</f>
        <v>#VALUE!:noResult:No valid cells found for operation.</v>
      </c>
      <c r="FO70" s="15" t="str">
        <f>#REF!</f>
        <v>#VALUE!:noResult:No valid cells found for operation.</v>
      </c>
      <c r="FP70" s="15" t="str">
        <f>#REF!</f>
        <v>#REF!:refOutOfRange</v>
      </c>
      <c r="FQ70" s="15" t="str">
        <f>#REF!</f>
        <v>#VALUE!:noResult:No valid cells found for operation.</v>
      </c>
      <c r="FR70" s="15" t="str">
        <f>#REF!</f>
        <v>#VALUE!:noResult:No valid cells found for operation.</v>
      </c>
      <c r="FS70" s="15" t="str">
        <f>#REF!</f>
        <v>#REF!:refOutOfRange</v>
      </c>
      <c r="FT70" s="15" t="str">
        <f>#REF!</f>
        <v>#VALUE!:noResult:No valid cells found for operation.</v>
      </c>
      <c r="FU70" s="15" t="str">
        <f>#REF!</f>
        <v>#VALUE!:noResult:No valid cells found for operation.</v>
      </c>
      <c r="FV70" s="15" t="str">
        <f>#REF!</f>
        <v>#REF!:refOutOfRange</v>
      </c>
      <c r="FW70" s="15" t="str">
        <f>#REF!</f>
        <v>#VALUE!:noResult:No valid cells found for operation.</v>
      </c>
      <c r="FX70" s="15" t="str">
        <f>#REF!</f>
        <v>#VALUE!:noResult:No valid cells found for operation.</v>
      </c>
      <c r="FY70" s="15" t="str">
        <f>#REF!</f>
        <v>#REF!:refOutOfRange</v>
      </c>
      <c r="FZ70" s="15" t="str">
        <f>#REF!</f>
        <v>#VALUE!:noResult:No valid cells found for operation.</v>
      </c>
      <c r="GA70" s="15" t="str">
        <f>#REF!</f>
        <v>#VALUE!:noResult:No valid cells found for operation.</v>
      </c>
      <c r="GB70" s="15" t="str">
        <f>#REF!</f>
        <v>#REF!:refOutOfRange</v>
      </c>
      <c r="GC70" s="15" t="str">
        <f>#REF!</f>
        <v>#VALUE!:noResult:No valid cells found for operation.</v>
      </c>
      <c r="GD70" s="15" t="str">
        <f>#REF!</f>
        <v>#VALUE!:noResult:No valid cells found for operation.</v>
      </c>
      <c r="GE70" s="15" t="str">
        <f>#REF!</f>
        <v>#REF!:refOutOfRange</v>
      </c>
      <c r="GF70" s="15" t="str">
        <f>#REF!</f>
        <v>#VALUE!:noResult:No valid cells found for operation.</v>
      </c>
      <c r="GG70" s="15" t="str">
        <f>#REF!</f>
        <v>#VALUE!:noResult:No valid cells found for operation.</v>
      </c>
      <c r="GH70" s="15" t="str">
        <f>#REF!</f>
        <v>#REF!:refOutOfRange</v>
      </c>
      <c r="GI70" s="15" t="str">
        <f>#REF!</f>
        <v>#VALUE!:noResult:No valid cells found for operation.</v>
      </c>
      <c r="GJ70" s="15" t="str">
        <f>#REF!</f>
        <v>#VALUE!:noResult:No valid cells found for operation.</v>
      </c>
      <c r="GK70" s="15" t="str">
        <f>#REF!</f>
        <v>#REF!:refOutOfRange</v>
      </c>
      <c r="GL70" s="15" t="str">
        <f>#REF!</f>
        <v>#VALUE!:noResult:No valid cells found for operation.</v>
      </c>
      <c r="GM70" s="15" t="str">
        <f>#REF!</f>
        <v>#VALUE!:noResult:No valid cells found for operation.</v>
      </c>
      <c r="GN70" s="15" t="str">
        <f>#REF!</f>
        <v>#REF!:refOutOfRange</v>
      </c>
      <c r="GO70" s="15" t="str">
        <f>#REF!</f>
        <v>#VALUE!:noResult:No valid cells found for operation.</v>
      </c>
      <c r="GP70" s="15" t="str">
        <f>#REF!</f>
        <v>#VALUE!:noResult:No valid cells found for operation.</v>
      </c>
      <c r="GQ70" s="15" t="str">
        <f>#REF!</f>
        <v>#REF!:refOutOfRange</v>
      </c>
      <c r="GR70" s="15" t="str">
        <f>#REF!</f>
        <v>#VALUE!:noResult:No valid cells found for operation.</v>
      </c>
      <c r="GS70" s="15" t="str">
        <f>#REF!</f>
        <v>#VALUE!:noResult:No valid cells found for operation.</v>
      </c>
      <c r="GT70" s="15" t="str">
        <f>#REF!</f>
        <v>#REF!:refOutOfRange</v>
      </c>
      <c r="GU70" s="15" t="str">
        <f>#REF!</f>
        <v>#VALUE!:noResult:No valid cells found for operation.</v>
      </c>
      <c r="GV70" s="15" t="str">
        <f>#REF!</f>
        <v>#VALUE!:noResult:No valid cells found for operation.</v>
      </c>
      <c r="GW70" s="15" t="str">
        <f>#REF!</f>
        <v>#REF!:refOutOfRange</v>
      </c>
      <c r="GX70" s="15" t="str">
        <f>#REF!</f>
        <v>#VALUE!:noResult:No valid cells found for operation.</v>
      </c>
      <c r="GY70" s="15" t="str">
        <f>#REF!</f>
        <v>#VALUE!:noResult:No valid cells found for operation.</v>
      </c>
      <c r="GZ70" s="15" t="str">
        <f>#REF!</f>
        <v>#REF!:refOutOfRange</v>
      </c>
      <c r="HA70" s="15" t="str">
        <f>#REF!</f>
        <v>#VALUE!:noResult:No valid cells found for operation.</v>
      </c>
      <c r="HB70" s="15" t="str">
        <f>#REF!</f>
        <v>#VALUE!:noResult:No valid cells found for operation.</v>
      </c>
      <c r="HC70" s="15" t="str">
        <f>#REF!</f>
        <v>#REF!:refOutOfRange</v>
      </c>
      <c r="HD70" s="15" t="str">
        <f>#REF!</f>
        <v>#VALUE!:noResult:No valid cells found for operation.</v>
      </c>
      <c r="HE70" s="15" t="str">
        <f>#REF!</f>
        <v>#VALUE!:noResult:No valid cells found for operation.</v>
      </c>
      <c r="HF70" s="15" t="str">
        <f>#REF!</f>
        <v>#REF!:refOutOfRange</v>
      </c>
      <c r="HG70" s="15" t="str">
        <f>#REF!</f>
        <v>#VALUE!:noResult:No valid cells found for operation.</v>
      </c>
      <c r="HH70" s="15" t="str">
        <f>#REF!</f>
        <v>#VALUE!:noResult:No valid cells found for operation.</v>
      </c>
      <c r="HI70" s="15" t="str">
        <f>#REF!</f>
        <v>#REF!:refOutOfRange</v>
      </c>
      <c r="HJ70" s="15" t="str">
        <f>#REF!</f>
        <v>#VALUE!:noResult:No valid cells found for operation.</v>
      </c>
      <c r="HK70" s="15" t="str">
        <f>#REF!</f>
        <v>#VALUE!:noResult:No valid cells found for operation.</v>
      </c>
      <c r="HL70" s="15" t="str">
        <f>#REF!</f>
        <v>#REF!:refOutOfRange</v>
      </c>
      <c r="HM70" s="15" t="str">
        <f>#REF!</f>
        <v>#VALUE!:noResult:No valid cells found for operation.</v>
      </c>
      <c r="HN70" s="15" t="str">
        <f>#REF!</f>
        <v>#VALUE!:noResult:No valid cells found for operation.</v>
      </c>
      <c r="HO70" s="15" t="str">
        <f>#REF!</f>
        <v>#REF!:refOutOfRange</v>
      </c>
      <c r="HP70" s="15" t="str">
        <f>#REF!</f>
        <v>#VALUE!:noResult:No valid cells found for operation.</v>
      </c>
      <c r="HQ70" s="15" t="str">
        <f>#REF!</f>
        <v>#VALUE!:noResult:No valid cells found for operation.</v>
      </c>
      <c r="HR70" s="15" t="str">
        <f>#REF!</f>
        <v>#REF!:refOutOfRange</v>
      </c>
      <c r="HS70" s="15" t="str">
        <f>#REF!</f>
        <v>#VALUE!:noResult:No valid cells found for operation.</v>
      </c>
      <c r="HT70" s="15" t="str">
        <f>#REF!</f>
        <v>#VALUE!:noResult:No valid cells found for operation.</v>
      </c>
      <c r="HU70" s="15" t="str">
        <f>#REF!</f>
        <v>#REF!:refOutOfRange</v>
      </c>
      <c r="HV70" s="15" t="str">
        <f>#REF!</f>
        <v>#VALUE!:noResult:No valid cells found for operation.</v>
      </c>
      <c r="HW70" s="15" t="str">
        <f>#REF!</f>
        <v>#VALUE!:noResult:No valid cells found for operation.</v>
      </c>
      <c r="HX70" s="15" t="str">
        <f>#REF!</f>
        <v>#REF!:refOutOfRange</v>
      </c>
      <c r="HY70" s="15" t="str">
        <f>#REF!</f>
        <v>#VALUE!:noResult:No valid cells found for operation.</v>
      </c>
      <c r="HZ70" s="15" t="str">
        <f>#REF!</f>
        <v>#VALUE!:noResult:No valid cells found for operation.</v>
      </c>
      <c r="IA70" s="15" t="str">
        <f>#REF!</f>
        <v>#REF!:refOutOfRange</v>
      </c>
      <c r="IB70" s="15" t="str">
        <f>#REF!</f>
        <v>#VALUE!:noResult:No valid cells found for operation.</v>
      </c>
      <c r="IC70" s="15" t="str">
        <f>#REF!</f>
        <v>#VALUE!:noResult:No valid cells found for operation.</v>
      </c>
      <c r="ID70" s="15" t="str">
        <f>#REF!</f>
        <v>#REF!:refOutOfRange</v>
      </c>
      <c r="IE70" s="15" t="str">
        <f>#REF!</f>
        <v>#VALUE!:noResult:No valid cells found for operation.</v>
      </c>
      <c r="IF70" s="15" t="str">
        <f>#REF!</f>
        <v>#VALUE!:noResult:No valid cells found for operation.</v>
      </c>
      <c r="IG70" s="15" t="str">
        <f>#REF!</f>
        <v>#REF!:refOutOfRange</v>
      </c>
      <c r="IH70" s="15" t="str">
        <f>#REF!</f>
        <v>#VALUE!:noResult:No valid cells found for operation.</v>
      </c>
      <c r="II70" s="15" t="str">
        <f>#REF!</f>
        <v>#VALUE!:noResult:No valid cells found for operation.</v>
      </c>
      <c r="IJ70" s="15" t="str">
        <f>#REF!</f>
        <v>#REF!:refOutOfRange</v>
      </c>
      <c r="IK70" s="15" t="str">
        <f>#REF!</f>
        <v>#VALUE!:noResult:No valid cells found for operation.</v>
      </c>
      <c r="IL70" s="15" t="str">
        <f>#REF!</f>
        <v>#VALUE!:noResult:No valid cells found for operation.</v>
      </c>
      <c r="IM70" s="15" t="str">
        <f>#REF!</f>
        <v>#REF!:refOutOfRange</v>
      </c>
      <c r="IN70" s="15" t="str">
        <f>#REF!</f>
        <v>#VALUE!:noResult:No valid cells found for operation.</v>
      </c>
      <c r="IO70" s="15" t="str">
        <f>#REF!</f>
        <v>#VALUE!:noResult:No valid cells found for operation.</v>
      </c>
      <c r="IP70" s="15" t="str">
        <f>#REF!</f>
        <v>#REF!:refOutOfRange</v>
      </c>
      <c r="IQ70" s="15" t="str">
        <f>#REF!</f>
        <v>#VALUE!:noResult:No valid cells found for operation.</v>
      </c>
      <c r="IR70" s="15" t="str">
        <f>#REF!</f>
        <v>#VALUE!:noResult:No valid cells found for operation.</v>
      </c>
      <c r="IS70" s="15" t="str">
        <f>#REF!</f>
        <v>#REF!:refOutOfRange</v>
      </c>
      <c r="IT70" s="15" t="str">
        <f>#REF!</f>
        <v>#VALUE!:noResult:No valid cells found for operation.</v>
      </c>
      <c r="IU70" s="15" t="str">
        <f>#REF!</f>
        <v>#VALUE!:noResult:No valid cells found for operation.</v>
      </c>
      <c r="IV70" s="15" t="str">
        <f>#REF!</f>
        <v>#REF!:refOutOfRange</v>
      </c>
    </row>
    <row r="71">
      <c r="A71" s="15" t="str">
        <f>#REF!</f>
        <v>#VALUE!:noResult:No valid cells found for operation.</v>
      </c>
      <c r="B71" s="15" t="str">
        <f>#REF!</f>
        <v>#VALUE!:noResult:No valid cells found for operation.</v>
      </c>
      <c r="C71" s="15" t="str">
        <f>#REF!</f>
        <v>#REF!:refOutOfRange</v>
      </c>
      <c r="D71" s="15" t="str">
        <f>#REF!</f>
        <v>#VALUE!:noResult:No valid cells found for operation.</v>
      </c>
      <c r="E71" s="15" t="str">
        <f>#REF!</f>
        <v>#VALUE!:noResult:No valid cells found for operation.</v>
      </c>
      <c r="F71" s="15" t="str">
        <f>#REF!</f>
        <v>#REF!:refOutOfRange</v>
      </c>
      <c r="G71" s="15" t="str">
        <f>#REF!</f>
        <v>#VALUE!:noResult:No valid cells found for operation.</v>
      </c>
      <c r="H71" s="15" t="str">
        <f>#REF!</f>
        <v>#VALUE!:noResult:No valid cells found for operation.</v>
      </c>
      <c r="I71" s="15" t="str">
        <f>#REF!</f>
        <v>#REF!:refOutOfRange</v>
      </c>
      <c r="J71" s="15" t="str">
        <f>#REF!</f>
        <v>#VALUE!:noResult:No valid cells found for operation.</v>
      </c>
      <c r="K71" s="15" t="str">
        <f>#REF!</f>
        <v>#VALUE!:noResult:No valid cells found for operation.</v>
      </c>
      <c r="L71" s="15" t="str">
        <f>#REF!</f>
        <v>#REF!:refOutOfRange</v>
      </c>
      <c r="M71" s="15" t="str">
        <f>#REF!</f>
        <v>#VALUE!:noResult:No valid cells found for operation.</v>
      </c>
      <c r="N71" s="15" t="str">
        <f>#REF!</f>
        <v>#VALUE!:noResult:No valid cells found for operation.</v>
      </c>
      <c r="O71" s="15" t="str">
        <f>#REF!</f>
        <v>#REF!:refOutOfRange</v>
      </c>
      <c r="P71" s="15" t="str">
        <f>#REF!</f>
        <v>#VALUE!:noResult:No valid cells found for operation.</v>
      </c>
      <c r="Q71" s="15" t="str">
        <f>#REF!</f>
        <v>#VALUE!:noResult:No valid cells found for operation.</v>
      </c>
      <c r="R71" s="15" t="str">
        <f>#REF!</f>
        <v>#REF!:refOutOfRange</v>
      </c>
      <c r="S71" s="15" t="str">
        <f>#REF!</f>
        <v>#VALUE!:noResult:No valid cells found for operation.</v>
      </c>
      <c r="T71" s="15" t="str">
        <f>#REF!</f>
        <v>#VALUE!:noResult:No valid cells found for operation.</v>
      </c>
      <c r="U71" s="15" t="str">
        <f>#REF!</f>
        <v>#REF!:refOutOfRange</v>
      </c>
      <c r="V71" s="15" t="str">
        <f>#REF!</f>
        <v>#VALUE!:noResult:No valid cells found for operation.</v>
      </c>
      <c r="W71" s="15" t="str">
        <f>#REF!</f>
        <v>#VALUE!:noResult:No valid cells found for operation.</v>
      </c>
      <c r="X71" s="15" t="str">
        <f>#REF!</f>
        <v>#REF!:refOutOfRange</v>
      </c>
      <c r="Y71" s="15" t="str">
        <f>#REF!</f>
        <v>#VALUE!:noResult:No valid cells found for operation.</v>
      </c>
      <c r="Z71" s="15" t="str">
        <f>#REF!</f>
        <v>#VALUE!:noResult:No valid cells found for operation.</v>
      </c>
      <c r="AA71" s="15" t="str">
        <f>#REF!</f>
        <v>#REF!:refOutOfRange</v>
      </c>
      <c r="AB71" s="15" t="str">
        <f>#REF!</f>
        <v>#VALUE!:noResult:No valid cells found for operation.</v>
      </c>
      <c r="AC71" s="15" t="str">
        <f>#REF!</f>
        <v>#VALUE!:noResult:No valid cells found for operation.</v>
      </c>
      <c r="AD71" s="15" t="str">
        <f>#REF!</f>
        <v>#REF!:refOutOfRange</v>
      </c>
      <c r="AE71" s="15" t="str">
        <f>#REF!</f>
        <v>#VALUE!:noResult:No valid cells found for operation.</v>
      </c>
      <c r="AF71" s="15" t="str">
        <f>#REF!</f>
        <v>#VALUE!:noResult:No valid cells found for operation.</v>
      </c>
      <c r="AG71" s="15" t="str">
        <f>#REF!</f>
        <v>#REF!:refOutOfRange</v>
      </c>
      <c r="AH71" s="15" t="str">
        <f>#REF!</f>
        <v>#VALUE!:noResult:No valid cells found for operation.</v>
      </c>
      <c r="AI71" s="15" t="str">
        <f>#REF!</f>
        <v>#VALUE!:noResult:No valid cells found for operation.</v>
      </c>
      <c r="AJ71" s="15" t="str">
        <f>#REF!</f>
        <v>#REF!:refOutOfRange</v>
      </c>
      <c r="AK71" s="15" t="str">
        <f>#REF!</f>
        <v>#VALUE!:noResult:No valid cells found for operation.</v>
      </c>
      <c r="AL71" s="15" t="str">
        <f>#REF!</f>
        <v>#VALUE!:noResult:No valid cells found for operation.</v>
      </c>
      <c r="AM71" s="15" t="str">
        <f>#REF!</f>
        <v>#REF!:refOutOfRange</v>
      </c>
      <c r="AN71" s="15" t="str">
        <f>#REF!</f>
        <v>#VALUE!:noResult:No valid cells found for operation.</v>
      </c>
      <c r="AO71" s="15" t="str">
        <f>#REF!</f>
        <v>#VALUE!:noResult:No valid cells found for operation.</v>
      </c>
      <c r="AP71" s="15" t="str">
        <f>#REF!</f>
        <v>#REF!:refOutOfRange</v>
      </c>
      <c r="AQ71" s="15" t="str">
        <f>#REF!</f>
        <v>#VALUE!:noResult:No valid cells found for operation.</v>
      </c>
      <c r="AR71" s="15" t="str">
        <f>#REF!</f>
        <v>#VALUE!:noResult:No valid cells found for operation.</v>
      </c>
      <c r="AS71" s="15" t="str">
        <f>#REF!</f>
        <v>#REF!:refOutOfRange</v>
      </c>
      <c r="AT71" s="15" t="str">
        <f>#REF!</f>
        <v>#VALUE!:noResult:No valid cells found for operation.</v>
      </c>
      <c r="AU71" s="15" t="str">
        <f>#REF!</f>
        <v>#VALUE!:noResult:No valid cells found for operation.</v>
      </c>
      <c r="AV71" s="15" t="str">
        <f>#REF!</f>
        <v>#REF!:refOutOfRange</v>
      </c>
      <c r="AW71" s="15" t="str">
        <f>#REF!</f>
        <v>#VALUE!:noResult:No valid cells found for operation.</v>
      </c>
      <c r="AX71" s="15" t="str">
        <f>#REF!</f>
        <v>#VALUE!:noResult:No valid cells found for operation.</v>
      </c>
      <c r="AY71" s="15" t="str">
        <f>#REF!</f>
        <v>#REF!:refOutOfRange</v>
      </c>
      <c r="AZ71" s="15" t="str">
        <f>#REF!</f>
        <v>#VALUE!:noResult:No valid cells found for operation.</v>
      </c>
      <c r="BA71" s="15" t="str">
        <f>#REF!</f>
        <v>#VALUE!:noResult:No valid cells found for operation.</v>
      </c>
      <c r="BB71" s="15" t="str">
        <f>#REF!</f>
        <v>#REF!:refOutOfRange</v>
      </c>
      <c r="BC71" s="15" t="str">
        <f>#REF!</f>
        <v>#VALUE!:noResult:No valid cells found for operation.</v>
      </c>
      <c r="BD71" s="15" t="str">
        <f>#REF!</f>
        <v>#VALUE!:noResult:No valid cells found for operation.</v>
      </c>
      <c r="BE71" s="15" t="str">
        <f>#REF!</f>
        <v>#REF!:refOutOfRange</v>
      </c>
      <c r="BF71" s="15" t="str">
        <f>#REF!</f>
        <v>#VALUE!:noResult:No valid cells found for operation.</v>
      </c>
      <c r="BG71" s="15" t="str">
        <f>#REF!</f>
        <v>#VALUE!:noResult:No valid cells found for operation.</v>
      </c>
      <c r="BH71" s="15" t="str">
        <f>#REF!</f>
        <v>#REF!:refOutOfRange</v>
      </c>
      <c r="BI71" s="15" t="str">
        <f>#REF!</f>
        <v>#VALUE!:noResult:No valid cells found for operation.</v>
      </c>
      <c r="BJ71" s="15" t="str">
        <f>#REF!</f>
        <v>#VALUE!:noResult:No valid cells found for operation.</v>
      </c>
      <c r="BK71" s="15" t="str">
        <f>#REF!</f>
        <v>#REF!:refOutOfRange</v>
      </c>
      <c r="BL71" s="15" t="str">
        <f>#REF!</f>
        <v>#VALUE!:noResult:No valid cells found for operation.</v>
      </c>
      <c r="BM71" s="15" t="str">
        <f>#REF!</f>
        <v>#VALUE!:noResult:No valid cells found for operation.</v>
      </c>
      <c r="BN71" s="15" t="str">
        <f>#REF!</f>
        <v>#REF!:refOutOfRange</v>
      </c>
      <c r="BO71" s="15" t="str">
        <f>#REF!</f>
        <v>#VALUE!:noResult:No valid cells found for operation.</v>
      </c>
      <c r="BP71" s="15" t="str">
        <f>#REF!</f>
        <v>#VALUE!:noResult:No valid cells found for operation.</v>
      </c>
      <c r="BQ71" s="15" t="str">
        <f>#REF!</f>
        <v>#REF!:refOutOfRange</v>
      </c>
      <c r="BR71" s="15" t="str">
        <f>#REF!</f>
        <v>#VALUE!:noResult:No valid cells found for operation.</v>
      </c>
      <c r="BS71" s="15" t="str">
        <f>#REF!</f>
        <v>#VALUE!:noResult:No valid cells found for operation.</v>
      </c>
      <c r="BT71" s="15" t="str">
        <f>#REF!</f>
        <v>#REF!:refOutOfRange</v>
      </c>
      <c r="BU71" s="15" t="str">
        <f>#REF!</f>
        <v>#VALUE!:noResult:No valid cells found for operation.</v>
      </c>
      <c r="BV71" s="15" t="str">
        <f>#REF!</f>
        <v>#VALUE!:noResult:No valid cells found for operation.</v>
      </c>
      <c r="BW71" s="15" t="str">
        <f>#REF!</f>
        <v>#REF!:refOutOfRange</v>
      </c>
      <c r="BX71" s="15" t="str">
        <f>#REF!</f>
        <v>#VALUE!:noResult:No valid cells found for operation.</v>
      </c>
      <c r="BY71" s="15" t="str">
        <f>#REF!</f>
        <v>#VALUE!:noResult:No valid cells found for operation.</v>
      </c>
      <c r="BZ71" s="15" t="str">
        <f>#REF!</f>
        <v>#REF!:refOutOfRange</v>
      </c>
      <c r="CA71" s="15" t="str">
        <f>#REF!</f>
        <v>#VALUE!:noResult:No valid cells found for operation.</v>
      </c>
      <c r="CB71" s="15" t="str">
        <f>#REF!</f>
        <v>#VALUE!:noResult:No valid cells found for operation.</v>
      </c>
      <c r="CC71" s="15" t="str">
        <f>#REF!</f>
        <v>#REF!:refOutOfRange</v>
      </c>
      <c r="CD71" s="15" t="str">
        <f>#REF!</f>
        <v>#VALUE!:noResult:No valid cells found for operation.</v>
      </c>
      <c r="CE71" s="15" t="str">
        <f>#REF!</f>
        <v>#VALUE!:noResult:No valid cells found for operation.</v>
      </c>
      <c r="CF71" s="15" t="str">
        <f>#REF!</f>
        <v>#REF!:refOutOfRange</v>
      </c>
      <c r="CG71" s="15" t="str">
        <f>#REF!</f>
        <v>#VALUE!:noResult:No valid cells found for operation.</v>
      </c>
      <c r="CH71" s="15" t="str">
        <f>#REF!</f>
        <v>#VALUE!:noResult:No valid cells found for operation.</v>
      </c>
      <c r="CI71" s="15" t="str">
        <f>#REF!</f>
        <v>#REF!:refOutOfRange</v>
      </c>
      <c r="CJ71" s="15" t="str">
        <f>#REF!</f>
        <v>#VALUE!:noResult:No valid cells found for operation.</v>
      </c>
      <c r="CK71" s="15" t="str">
        <f>#REF!</f>
        <v>#VALUE!:noResult:No valid cells found for operation.</v>
      </c>
      <c r="CL71" s="15" t="str">
        <f>#REF!</f>
        <v>#REF!:refOutOfRange</v>
      </c>
      <c r="CM71" s="15" t="str">
        <f>#REF!</f>
        <v>#VALUE!:noResult:No valid cells found for operation.</v>
      </c>
      <c r="CN71" s="15" t="str">
        <f>#REF!</f>
        <v>#VALUE!:noResult:No valid cells found for operation.</v>
      </c>
      <c r="CO71" s="15" t="str">
        <f>#REF!</f>
        <v>#REF!:refOutOfRange</v>
      </c>
      <c r="CP71" s="15" t="str">
        <f>#REF!</f>
        <v>#VALUE!:noResult:No valid cells found for operation.</v>
      </c>
      <c r="CQ71" s="15" t="str">
        <f>#REF!</f>
        <v>#VALUE!:noResult:No valid cells found for operation.</v>
      </c>
      <c r="CR71" s="15" t="str">
        <f>#REF!</f>
        <v>#REF!:refOutOfRange</v>
      </c>
      <c r="CS71" s="15" t="str">
        <f>#REF!</f>
        <v>#VALUE!:noResult:No valid cells found for operation.</v>
      </c>
      <c r="CT71" s="15" t="str">
        <f>#REF!</f>
        <v>#VALUE!:noResult:No valid cells found for operation.</v>
      </c>
      <c r="CU71" s="15" t="str">
        <f>#REF!</f>
        <v>#REF!:refOutOfRange</v>
      </c>
      <c r="CV71" s="15" t="str">
        <f>#REF!</f>
        <v>#VALUE!:noResult:No valid cells found for operation.</v>
      </c>
      <c r="CW71" s="15" t="str">
        <f>#REF!</f>
        <v>#VALUE!:noResult:No valid cells found for operation.</v>
      </c>
      <c r="CX71" s="15" t="str">
        <f>#REF!</f>
        <v>#REF!:refOutOfRange</v>
      </c>
      <c r="CY71" s="15" t="str">
        <f>#REF!</f>
        <v>#VALUE!:noResult:No valid cells found for operation.</v>
      </c>
      <c r="CZ71" s="15" t="str">
        <f>#REF!</f>
        <v>#VALUE!:noResult:No valid cells found for operation.</v>
      </c>
      <c r="DA71" s="15" t="str">
        <f>#REF!</f>
        <v>#REF!:refOutOfRange</v>
      </c>
      <c r="DB71" s="15" t="str">
        <f>#REF!</f>
        <v>#VALUE!:noResult:No valid cells found for operation.</v>
      </c>
      <c r="DC71" s="15" t="str">
        <f>#REF!</f>
        <v>#VALUE!:noResult:No valid cells found for operation.</v>
      </c>
      <c r="DD71" s="15" t="str">
        <f>#REF!</f>
        <v>#REF!:refOutOfRange</v>
      </c>
      <c r="DE71" s="15" t="str">
        <f>#REF!</f>
        <v>#VALUE!:noResult:No valid cells found for operation.</v>
      </c>
      <c r="DF71" s="15" t="str">
        <f>#REF!</f>
        <v>#VALUE!:noResult:No valid cells found for operation.</v>
      </c>
      <c r="DG71" s="15" t="str">
        <f>#REF!</f>
        <v>#REF!:refOutOfRange</v>
      </c>
      <c r="DH71" s="15" t="str">
        <f>#REF!</f>
        <v>#VALUE!:noResult:No valid cells found for operation.</v>
      </c>
      <c r="DI71" s="15" t="str">
        <f>#REF!</f>
        <v>#VALUE!:noResult:No valid cells found for operation.</v>
      </c>
      <c r="DJ71" s="15" t="str">
        <f>#REF!</f>
        <v>#REF!:refOutOfRange</v>
      </c>
      <c r="DK71" s="15" t="str">
        <f>#REF!</f>
        <v>#VALUE!:noResult:No valid cells found for operation.</v>
      </c>
      <c r="DL71" s="15" t="str">
        <f>#REF!</f>
        <v>#VALUE!:noResult:No valid cells found for operation.</v>
      </c>
      <c r="DM71" s="15" t="str">
        <f>#REF!</f>
        <v>#REF!:refOutOfRange</v>
      </c>
      <c r="DN71" s="15" t="str">
        <f>#REF!</f>
        <v>#VALUE!:noResult:No valid cells found for operation.</v>
      </c>
      <c r="DO71" s="15" t="str">
        <f>#REF!</f>
        <v>#VALUE!:noResult:No valid cells found for operation.</v>
      </c>
      <c r="DP71" s="15" t="str">
        <f>#REF!</f>
        <v>#REF!:refOutOfRange</v>
      </c>
      <c r="DQ71" s="15" t="str">
        <f>#REF!</f>
        <v>#VALUE!:noResult:No valid cells found for operation.</v>
      </c>
      <c r="DR71" s="15" t="str">
        <f>#REF!</f>
        <v>#VALUE!:noResult:No valid cells found for operation.</v>
      </c>
      <c r="DS71" s="15" t="str">
        <f>#REF!</f>
        <v>#REF!:refOutOfRange</v>
      </c>
      <c r="DT71" s="15" t="str">
        <f>#REF!</f>
        <v>#VALUE!:noResult:No valid cells found for operation.</v>
      </c>
      <c r="DU71" s="15" t="str">
        <f>#REF!</f>
        <v>#VALUE!:noResult:No valid cells found for operation.</v>
      </c>
      <c r="DV71" s="15" t="str">
        <f>#REF!</f>
        <v>#REF!:refOutOfRange</v>
      </c>
      <c r="DW71" s="15" t="str">
        <f>#REF!</f>
        <v>#VALUE!:noResult:No valid cells found for operation.</v>
      </c>
      <c r="DX71" s="15" t="str">
        <f>#REF!</f>
        <v>#VALUE!:noResult:No valid cells found for operation.</v>
      </c>
      <c r="DY71" s="15" t="str">
        <f>#REF!</f>
        <v>#REF!:refOutOfRange</v>
      </c>
      <c r="DZ71" s="15" t="str">
        <f>#REF!</f>
        <v>#VALUE!:noResult:No valid cells found for operation.</v>
      </c>
      <c r="EA71" s="15" t="str">
        <f>#REF!</f>
        <v>#VALUE!:noResult:No valid cells found for operation.</v>
      </c>
      <c r="EB71" s="15" t="str">
        <f>#REF!</f>
        <v>#REF!:refOutOfRange</v>
      </c>
      <c r="EC71" s="15" t="str">
        <f>#REF!</f>
        <v>#VALUE!:noResult:No valid cells found for operation.</v>
      </c>
      <c r="ED71" s="15" t="str">
        <f>#REF!</f>
        <v>#VALUE!:noResult:No valid cells found for operation.</v>
      </c>
      <c r="EE71" s="15" t="str">
        <f>#REF!</f>
        <v>#REF!:refOutOfRange</v>
      </c>
      <c r="EF71" s="15" t="str">
        <f>#REF!</f>
        <v>#VALUE!:noResult:No valid cells found for operation.</v>
      </c>
      <c r="EG71" s="15" t="str">
        <f>#REF!</f>
        <v>#VALUE!:noResult:No valid cells found for operation.</v>
      </c>
      <c r="EH71" s="15" t="str">
        <f>#REF!</f>
        <v>#REF!:refOutOfRange</v>
      </c>
      <c r="EI71" s="15" t="str">
        <f>#REF!</f>
        <v>#VALUE!:noResult:No valid cells found for operation.</v>
      </c>
      <c r="EJ71" s="15" t="str">
        <f>#REF!</f>
        <v>#VALUE!:noResult:No valid cells found for operation.</v>
      </c>
      <c r="EK71" s="15" t="str">
        <f>#REF!</f>
        <v>#REF!:refOutOfRange</v>
      </c>
      <c r="EL71" s="15" t="str">
        <f>#REF!</f>
        <v>#VALUE!:noResult:No valid cells found for operation.</v>
      </c>
      <c r="EM71" s="15" t="str">
        <f>#REF!</f>
        <v>#VALUE!:noResult:No valid cells found for operation.</v>
      </c>
      <c r="EN71" s="15" t="str">
        <f>#REF!</f>
        <v>#REF!:refOutOfRange</v>
      </c>
      <c r="EO71" s="15" t="str">
        <f>#REF!</f>
        <v>#VALUE!:noResult:No valid cells found for operation.</v>
      </c>
      <c r="EP71" s="15" t="str">
        <f>#REF!</f>
        <v>#VALUE!:noResult:No valid cells found for operation.</v>
      </c>
      <c r="EQ71" s="15" t="str">
        <f>#REF!</f>
        <v>#REF!:refOutOfRange</v>
      </c>
      <c r="ER71" s="15" t="str">
        <f>#REF!</f>
        <v>#VALUE!:noResult:No valid cells found for operation.</v>
      </c>
      <c r="ES71" s="15" t="str">
        <f>#REF!</f>
        <v>#VALUE!:noResult:No valid cells found for operation.</v>
      </c>
      <c r="ET71" s="15" t="str">
        <f>#REF!</f>
        <v>#REF!:refOutOfRange</v>
      </c>
      <c r="EU71" s="15" t="str">
        <f>#REF!</f>
        <v>#VALUE!:noResult:No valid cells found for operation.</v>
      </c>
      <c r="EV71" s="15" t="str">
        <f>#REF!</f>
        <v>#VALUE!:noResult:No valid cells found for operation.</v>
      </c>
      <c r="EW71" s="15" t="str">
        <f>#REF!</f>
        <v>#REF!:refOutOfRange</v>
      </c>
      <c r="EX71" s="15" t="str">
        <f>#REF!</f>
        <v>#VALUE!:noResult:No valid cells found for operation.</v>
      </c>
      <c r="EY71" s="15" t="str">
        <f>#REF!</f>
        <v>#VALUE!:noResult:No valid cells found for operation.</v>
      </c>
      <c r="EZ71" s="15" t="str">
        <f>#REF!</f>
        <v>#REF!:refOutOfRange</v>
      </c>
      <c r="FA71" s="15" t="str">
        <f>#REF!</f>
        <v>#VALUE!:noResult:No valid cells found for operation.</v>
      </c>
      <c r="FB71" s="15" t="str">
        <f>#REF!</f>
        <v>#VALUE!:noResult:No valid cells found for operation.</v>
      </c>
      <c r="FC71" s="15" t="str">
        <f>#REF!</f>
        <v>#REF!:refOutOfRange</v>
      </c>
      <c r="FD71" s="15" t="str">
        <f>#REF!</f>
        <v>#VALUE!:noResult:No valid cells found for operation.</v>
      </c>
      <c r="FE71" s="15" t="str">
        <f>#REF!</f>
        <v>#VALUE!:noResult:No valid cells found for operation.</v>
      </c>
      <c r="FF71" s="15" t="str">
        <f>#REF!</f>
        <v>#REF!:refOutOfRange</v>
      </c>
      <c r="FG71" s="15" t="str">
        <f>#REF!</f>
        <v>#VALUE!:noResult:No valid cells found for operation.</v>
      </c>
      <c r="FH71" s="15" t="str">
        <f>#REF!</f>
        <v>#VALUE!:noResult:No valid cells found for operation.</v>
      </c>
      <c r="FI71" s="15" t="str">
        <f>#REF!</f>
        <v>#REF!:refOutOfRange</v>
      </c>
      <c r="FJ71" s="15" t="str">
        <f>#REF!</f>
        <v>#VALUE!:noResult:No valid cells found for operation.</v>
      </c>
      <c r="FK71" s="15" t="str">
        <f>#REF!</f>
        <v>#VALUE!:noResult:No valid cells found for operation.</v>
      </c>
      <c r="FL71" s="15" t="str">
        <f>#REF!</f>
        <v>#REF!:refOutOfRange</v>
      </c>
      <c r="FM71" s="15" t="str">
        <f>#REF!</f>
        <v>#VALUE!:noResult:No valid cells found for operation.</v>
      </c>
      <c r="FN71" s="15" t="str">
        <f>#REF!</f>
        <v>#VALUE!:noResult:No valid cells found for operation.</v>
      </c>
      <c r="FO71" s="15" t="str">
        <f>#REF!</f>
        <v>#REF!:refOutOfRange</v>
      </c>
      <c r="FP71" s="15" t="str">
        <f>#REF!</f>
        <v>#VALUE!:noResult:No valid cells found for operation.</v>
      </c>
      <c r="FQ71" s="15" t="str">
        <f>#REF!</f>
        <v>#VALUE!:noResult:No valid cells found for operation.</v>
      </c>
      <c r="FR71" s="15" t="str">
        <f>#REF!</f>
        <v>#REF!:refOutOfRange</v>
      </c>
      <c r="FS71" s="15" t="str">
        <f>#REF!</f>
        <v>#VALUE!:noResult:No valid cells found for operation.</v>
      </c>
      <c r="FT71" s="15" t="str">
        <f>#REF!</f>
        <v>#VALUE!:noResult:No valid cells found for operation.</v>
      </c>
      <c r="FU71" s="15" t="str">
        <f>IF(Trans!C[-176],"AAAAAD//17A=",0)</f>
        <v>AAAAAD//17A=</v>
      </c>
      <c r="FV71" s="15" t="str">
        <f>IF(Trans!C[-176],"AAAAAD//17E=",0)</f>
        <v>#VALUE!:notNumber</v>
      </c>
      <c r="FW71" s="15" t="str">
        <f>IF(Trans!C[-176],"AAAAAD//17I=",0)</f>
        <v>AAAAAD//17I=</v>
      </c>
      <c r="FX71" s="15" t="str">
        <f>IF(Trans!C[-176],"AAAAAD//17M=",0)</f>
        <v>AAAAAD//17M=</v>
      </c>
      <c r="FY71" s="15" t="str">
        <f>IF(Trans!C[-176],"AAAAAD//17Q=",0)</f>
        <v>#VALUE!:notNumber</v>
      </c>
      <c r="FZ71" s="15" t="str">
        <f>IF(Trans!C[-176],"AAAAAD//17U=",0)</f>
        <v>#VALUE!:notNumber</v>
      </c>
      <c r="GA71" s="15">
        <f>IF(Trans!C[-176],"AAAAAD//17Y=",0)</f>
        <v>0</v>
      </c>
      <c r="GB71" s="15" t="str">
        <f>#REF!</f>
        <v>#REF!:refOutOfRange</v>
      </c>
      <c r="GC71" s="15">
        <f>IF(Trans!C[-177],"AAAAAD//17g=",0)</f>
        <v>0</v>
      </c>
      <c r="GD71" s="15" t="str">
        <f>#REF!</f>
        <v>#REF!:refOutOfRange</v>
      </c>
      <c r="GE71" s="15" t="str">
        <f>#REF!</f>
        <v>#REF!:refOutOfRange</v>
      </c>
      <c r="GF71" s="15" t="str">
        <f>#REF!</f>
        <v>#REF!:refOutOfRange</v>
      </c>
      <c r="GG71" s="15" t="str">
        <f>#REF!</f>
        <v>#REF!:refOutOfRange</v>
      </c>
      <c r="GH71" s="15" t="str">
        <f>#REF!</f>
        <v>#REF!:refOutOfRange</v>
      </c>
      <c r="GI71" s="15" t="str">
        <f>#REF!</f>
        <v>#REF!:refOutOfRange</v>
      </c>
      <c r="GJ71" s="15">
        <f>IF(FinPerf!R[-70],"AAAAAD//178=",0)</f>
        <v>0</v>
      </c>
      <c r="GK71" s="15" t="str">
        <f>AND(FinPerf!A1,"AAAAAD//18A=")</f>
        <v>#VALUE!:noResult:No valid cells found for operation.</v>
      </c>
      <c r="GL71" s="15" t="str">
        <f>AND(FinPerf!B1,"AAAAAD//18E=")</f>
        <v>#VALUE!:noResult:No valid cells found for operation.</v>
      </c>
      <c r="GM71" s="15" t="str">
        <f>AND(FinPerf!C1,"AAAAAD//18I=")</f>
        <v>#VALUE!:noResult:No valid cells found for operation.</v>
      </c>
      <c r="GN71" s="15" t="str">
        <f>AND(FinPerf!D1,"AAAAAD//18M=")</f>
        <v>#VALUE!:noResult:No valid cells found for operation.</v>
      </c>
      <c r="GO71" s="15" t="str">
        <f>AND(FinPerf!E1,"AAAAAD//18Q=")</f>
        <v>#VALUE!:noResult:No valid cells found for operation.</v>
      </c>
      <c r="GP71" s="15" t="str">
        <f>AND(FinPerf!F1,"AAAAAD//18U=")</f>
        <v>#VALUE!:noResult:No valid cells found for operation.</v>
      </c>
      <c r="GQ71" s="15" t="str">
        <f>AND(FinPerf!G1,"AAAAAD//18Y=")</f>
        <v>#VALUE!:noResult:No valid cells found for operation.</v>
      </c>
      <c r="GR71" s="15" t="str">
        <f>AND(FinPerf!H1,"AAAAAD//18c=")</f>
        <v>#VALUE!:noResult:No valid cells found for operation.</v>
      </c>
      <c r="GS71" s="15" t="str">
        <f>AND(FinPerf!I1,"AAAAAD//18g=")</f>
        <v>#VALUE!:noResult:No valid cells found for operation.</v>
      </c>
      <c r="GT71" s="15" t="str">
        <f>AND(FinPerf!J1,"AAAAAD//18k=")</f>
        <v>#VALUE!:noResult:No valid cells found for operation.</v>
      </c>
      <c r="GU71" s="15" t="str">
        <f>AND(FinPerf!K1,"AAAAAD//18o=")</f>
        <v>#VALUE!:noResult:No valid cells found for operation.</v>
      </c>
      <c r="GV71" s="15" t="str">
        <f>AND(FinPerf!L1,"AAAAAD//18s=")</f>
        <v>#VALUE!:noResult:No valid cells found for operation.</v>
      </c>
      <c r="GW71" s="15" t="str">
        <f>AND(FinPerf!M1,"AAAAAD//18w=")</f>
        <v>#VALUE!:noResult:No valid cells found for operation.</v>
      </c>
      <c r="GX71" s="15" t="str">
        <f>AND(FinPerf!N1,"AAAAAD//180=")</f>
        <v>#VALUE!:noResult:No valid cells found for operation.</v>
      </c>
      <c r="GY71" s="15" t="str">
        <f>AND(FinPerf!O1,"AAAAAD//184=")</f>
        <v>#VALUE!:noResult:No valid cells found for operation.</v>
      </c>
      <c r="GZ71" s="15" t="str">
        <f>AND(FinPerf!P1,"AAAAAD//188=")</f>
        <v>#VALUE!:noResult:No valid cells found for operation.</v>
      </c>
      <c r="HA71" s="15" t="str">
        <f>AND(FinPerf!Q1,"AAAAAD//19A=")</f>
        <v>#VALUE!:noResult:No valid cells found for operation.</v>
      </c>
      <c r="HB71" s="15" t="str">
        <f>AND(FinPerf!R1,"AAAAAD//19E=")</f>
        <v>#VALUE!:noResult:No valid cells found for operation.</v>
      </c>
      <c r="HC71" s="15" t="str">
        <f>AND(FinPerf!S1,"AAAAAD//19I=")</f>
        <v>#VALUE!:noResult:No valid cells found for operation.</v>
      </c>
      <c r="HD71" s="15" t="str">
        <f>AND(FinPerf!T1,"AAAAAD//19M=")</f>
        <v>#VALUE!:noResult:No valid cells found for operation.</v>
      </c>
      <c r="HE71" s="15" t="str">
        <f>AND(FinPerf!U1,"AAAAAD//19Q=")</f>
        <v>#VALUE!:noResult:No valid cells found for operation.</v>
      </c>
      <c r="HF71" s="15" t="str">
        <f>AND(FinPerf!V1,"AAAAAD//19U=")</f>
        <v>#VALUE!:noResult:No valid cells found for operation.</v>
      </c>
      <c r="HG71" s="15">
        <f>IF(FinPerf!R[-69],"AAAAAD//19Y=",0)</f>
        <v>0</v>
      </c>
      <c r="HH71" s="15" t="str">
        <f>AND(FinPerf!A2,"AAAAAD//19c=")</f>
        <v>#VALUE!:noResult:No valid cells found for operation.</v>
      </c>
      <c r="HI71" s="15" t="str">
        <f>AND(FinPerf!B2,"AAAAAD//19g=")</f>
        <v>#VALUE!:noResult:No valid cells found for operation.</v>
      </c>
      <c r="HJ71" s="15" t="str">
        <f>AND(FinPerf!C2,"AAAAAD//19k=")</f>
        <v>#VALUE!:noResult:No valid cells found for operation.</v>
      </c>
      <c r="HK71" s="15" t="str">
        <f>AND(FinPerf!D2,"AAAAAD//19o=")</f>
        <v>#VALUE!:noResult:No valid cells found for operation.</v>
      </c>
      <c r="HL71" s="15" t="str">
        <f>AND(FinPerf!E2,"AAAAAD//19s=")</f>
        <v>#VALUE!:noResult:No valid cells found for operation.</v>
      </c>
      <c r="HM71" s="15" t="str">
        <f>AND(FinPerf!F2,"AAAAAD//19w=")</f>
        <v>#VALUE!:noResult:No valid cells found for operation.</v>
      </c>
      <c r="HN71" s="15" t="str">
        <f>AND(FinPerf!G2,"AAAAAD//190=")</f>
        <v>#VALUE!:noResult:No valid cells found for operation.</v>
      </c>
      <c r="HO71" s="15" t="str">
        <f>AND(FinPerf!H2,"AAAAAD//194=")</f>
        <v>#VALUE!:noResult:No valid cells found for operation.</v>
      </c>
      <c r="HP71" s="15" t="str">
        <f>AND(FinPerf!I2,"AAAAAD//198=")</f>
        <v>#VALUE!:noResult:No valid cells found for operation.</v>
      </c>
      <c r="HQ71" s="15" t="str">
        <f>AND(FinPerf!J2,"AAAAAD//1+A=")</f>
        <v>#VALUE!:noResult:No valid cells found for operation.</v>
      </c>
      <c r="HR71" s="15" t="str">
        <f>AND(FinPerf!K2,"AAAAAD//1+E=")</f>
        <v>#VALUE!:noResult:No valid cells found for operation.</v>
      </c>
      <c r="HS71" s="15" t="str">
        <f>AND(FinPerf!L2,"AAAAAD//1+I=")</f>
        <v>#VALUE!:noResult:No valid cells found for operation.</v>
      </c>
      <c r="HT71" s="15" t="str">
        <f>AND(FinPerf!M2,"AAAAAD//1+M=")</f>
        <v>#VALUE!:noResult:No valid cells found for operation.</v>
      </c>
      <c r="HU71" s="15" t="str">
        <f>AND(FinPerf!N2,"AAAAAD//1+Q=")</f>
        <v>#VALUE!:noResult:No valid cells found for operation.</v>
      </c>
      <c r="HV71" s="15" t="str">
        <f>AND(FinPerf!O2,"AAAAAD//1+U=")</f>
        <v>#VALUE!:noResult:No valid cells found for operation.</v>
      </c>
      <c r="HW71" s="15" t="str">
        <f>AND(FinPerf!P2,"AAAAAD//1+Y=")</f>
        <v>#VALUE!:noResult:No valid cells found for operation.</v>
      </c>
      <c r="HX71" s="15" t="str">
        <f>AND(FinPerf!Q2,"AAAAAD//1+c=")</f>
        <v>#VALUE!:noResult:No valid cells found for operation.</v>
      </c>
      <c r="HY71" s="15" t="str">
        <f>AND(FinPerf!R2,"AAAAAD//1+g=")</f>
        <v>#VALUE!:noResult:No valid cells found for operation.</v>
      </c>
      <c r="HZ71" s="15" t="str">
        <f>AND(FinPerf!S2,"AAAAAD//1+k=")</f>
        <v>#VALUE!:noResult:No valid cells found for operation.</v>
      </c>
      <c r="IA71" s="15" t="str">
        <f>AND(FinPerf!T2,"AAAAAD//1+o=")</f>
        <v>#VALUE!:noResult:No valid cells found for operation.</v>
      </c>
      <c r="IB71" s="15" t="str">
        <f>AND(FinPerf!U2,"AAAAAD//1+s=")</f>
        <v>#VALUE!:noResult:No valid cells found for operation.</v>
      </c>
      <c r="IC71" s="15" t="str">
        <f>AND(FinPerf!V2,"AAAAAD//1+w=")</f>
        <v>#VALUE!:noResult:No valid cells found for operation.</v>
      </c>
      <c r="ID71" s="15" t="str">
        <f>#REF!</f>
        <v>#REF!:refOutOfRange</v>
      </c>
      <c r="IE71" s="15" t="str">
        <f>#REF!</f>
        <v>#VALUE!:noResult:No valid cells found for operation.</v>
      </c>
      <c r="IF71" s="15" t="str">
        <f>#REF!</f>
        <v>#VALUE!:noResult:No valid cells found for operation.</v>
      </c>
      <c r="IG71" s="15" t="str">
        <f>#REF!</f>
        <v>#VALUE!:noResult:No valid cells found for operation.</v>
      </c>
      <c r="IH71" s="15" t="str">
        <f>#REF!</f>
        <v>#VALUE!:noResult:No valid cells found for operation.</v>
      </c>
      <c r="II71" s="15" t="str">
        <f>#REF!</f>
        <v>#VALUE!:noResult:No valid cells found for operation.</v>
      </c>
      <c r="IJ71" s="15" t="str">
        <f>#REF!</f>
        <v>#VALUE!:noResult:No valid cells found for operation.</v>
      </c>
      <c r="IK71" s="15" t="str">
        <f>#REF!</f>
        <v>#VALUE!:noResult:No valid cells found for operation.</v>
      </c>
      <c r="IL71" s="15" t="str">
        <f>#REF!</f>
        <v>#VALUE!:noResult:No valid cells found for operation.</v>
      </c>
      <c r="IM71" s="15" t="str">
        <f>#REF!</f>
        <v>#VALUE!:noResult:No valid cells found for operation.</v>
      </c>
      <c r="IN71" s="15" t="str">
        <f>#REF!</f>
        <v>#VALUE!:noResult:No valid cells found for operation.</v>
      </c>
      <c r="IO71" s="15" t="str">
        <f>#REF!</f>
        <v>#VALUE!:noResult:No valid cells found for operation.</v>
      </c>
      <c r="IP71" s="15" t="str">
        <f>#REF!</f>
        <v>#VALUE!:noResult:No valid cells found for operation.</v>
      </c>
      <c r="IQ71" s="15" t="str">
        <f>#REF!</f>
        <v>#VALUE!:noResult:No valid cells found for operation.</v>
      </c>
      <c r="IR71" s="15" t="str">
        <f>#REF!</f>
        <v>#VALUE!:noResult:No valid cells found for operation.</v>
      </c>
      <c r="IS71" s="15" t="str">
        <f>#REF!</f>
        <v>#VALUE!:noResult:No valid cells found for operation.</v>
      </c>
      <c r="IT71" s="15" t="str">
        <f>#REF!</f>
        <v>#VALUE!:noResult:No valid cells found for operation.</v>
      </c>
      <c r="IU71" s="15" t="str">
        <f>#REF!</f>
        <v>#VALUE!:noResult:No valid cells found for operation.</v>
      </c>
      <c r="IV71" s="15" t="str">
        <f>#REF!</f>
        <v>#VALUE!:noResult:No valid cells found for operation.</v>
      </c>
    </row>
    <row r="72">
      <c r="A72" s="15" t="str">
        <f>#REF!</f>
        <v>#VALUE!:noResult:No valid cells found for operation.</v>
      </c>
      <c r="B72" s="15" t="str">
        <f>#REF!</f>
        <v>#VALUE!:noResult:No valid cells found for operation.</v>
      </c>
      <c r="C72" s="15" t="str">
        <f>#REF!</f>
        <v>#VALUE!:noResult:No valid cells found for operation.</v>
      </c>
      <c r="D72" s="15" t="str">
        <f>#REF!</f>
        <v>#VALUE!:noResult:No valid cells found for operation.</v>
      </c>
      <c r="E72" s="15">
        <f>IF(FinPerf!R[-69],"AAAAAHZvtwQ=",0)</f>
        <v>0</v>
      </c>
      <c r="F72" s="15" t="str">
        <f>AND(FinPerf!A3,"AAAAAHZvtwU=")</f>
        <v>#VALUE!:noResult:No valid cells found for operation.</v>
      </c>
      <c r="G72" s="15" t="str">
        <f>AND(FinPerf!B3,"AAAAAHZvtwY=")</f>
        <v>#VALUE!:noResult:No valid cells found for operation.</v>
      </c>
      <c r="H72" s="15" t="str">
        <f>AND(FinPerf!C3,"AAAAAHZvtwc=")</f>
        <v>#VALUE!:noResult:No valid cells found for operation.</v>
      </c>
      <c r="I72" s="15" t="str">
        <f>AND(FinPerf!D3,"AAAAAHZvtwg=")</f>
        <v>#VALUE!:noResult:No valid cells found for operation.</v>
      </c>
      <c r="J72" s="15" t="str">
        <f>AND(FinPerf!E3,"AAAAAHZvtwk=")</f>
        <v>#VALUE!:noResult:No valid cells found for operation.</v>
      </c>
      <c r="K72" s="15" t="str">
        <f>AND(FinPerf!F3,"AAAAAHZvtwo=")</f>
        <v>#VALUE!:noResult:No valid cells found for operation.</v>
      </c>
      <c r="L72" s="15" t="str">
        <f>AND(FinPerf!G3,"AAAAAHZvtws=")</f>
        <v>#VALUE!:noResult:No valid cells found for operation.</v>
      </c>
      <c r="M72" s="15" t="str">
        <f>AND(FinPerf!H3,"AAAAAHZvtww=")</f>
        <v>#VALUE!:noResult:No valid cells found for operation.</v>
      </c>
      <c r="N72" s="15" t="str">
        <f>AND(FinPerf!I3,"AAAAAHZvtw0=")</f>
        <v>#VALUE!:noResult:No valid cells found for operation.</v>
      </c>
      <c r="O72" s="15" t="str">
        <f>AND(FinPerf!J3,"AAAAAHZvtw4=")</f>
        <v>#VALUE!:noResult:No valid cells found for operation.</v>
      </c>
      <c r="P72" s="15" t="str">
        <f>AND(FinPerf!K3,"AAAAAHZvtw8=")</f>
        <v>#VALUE!:noResult:No valid cells found for operation.</v>
      </c>
      <c r="Q72" s="15" t="str">
        <f>AND(FinPerf!L3,"AAAAAHZvtxA=")</f>
        <v>#VALUE!:noResult:No valid cells found for operation.</v>
      </c>
      <c r="R72" s="15" t="str">
        <f>AND(FinPerf!M3,"AAAAAHZvtxE=")</f>
        <v>#VALUE!:noResult:No valid cells found for operation.</v>
      </c>
      <c r="S72" s="15" t="str">
        <f>AND(FinPerf!N3,"AAAAAHZvtxI=")</f>
        <v>#VALUE!:noResult:No valid cells found for operation.</v>
      </c>
      <c r="T72" s="15" t="str">
        <f>AND(FinPerf!O3,"AAAAAHZvtxM=")</f>
        <v>#VALUE!:noResult:No valid cells found for operation.</v>
      </c>
      <c r="U72" s="15" t="str">
        <f>AND(FinPerf!P3,"AAAAAHZvtxQ=")</f>
        <v>#VALUE!:noResult:No valid cells found for operation.</v>
      </c>
      <c r="V72" s="15" t="str">
        <f>AND(FinPerf!Q3,"AAAAAHZvtxU=")</f>
        <v>#VALUE!:noResult:No valid cells found for operation.</v>
      </c>
      <c r="W72" s="15" t="str">
        <f>AND(FinPerf!R3,"AAAAAHZvtxY=")</f>
        <v>#VALUE!:noResult:No valid cells found for operation.</v>
      </c>
      <c r="X72" s="15" t="str">
        <f>AND(FinPerf!S3,"AAAAAHZvtxc=")</f>
        <v>#VALUE!:noResult:No valid cells found for operation.</v>
      </c>
      <c r="Y72" s="15" t="str">
        <f>AND(FinPerf!T3,"AAAAAHZvtxg=")</f>
        <v>#VALUE!:noResult:No valid cells found for operation.</v>
      </c>
      <c r="Z72" s="15" t="str">
        <f>AND(FinPerf!U3,"AAAAAHZvtxk=")</f>
        <v>#VALUE!:noResult:No valid cells found for operation.</v>
      </c>
      <c r="AA72" s="15" t="str">
        <f>AND(FinPerf!V3,"AAAAAHZvtxo=")</f>
        <v>#VALUE!:noResult:No valid cells found for operation.</v>
      </c>
      <c r="AB72" s="15">
        <f>IF(FinPerf!R[-68],"AAAAAHZvtxs=",0)</f>
        <v>0</v>
      </c>
      <c r="AC72" s="15" t="str">
        <f>AND(FinPerf!A4,"AAAAAHZvtxw=")</f>
        <v>#VALUE!:noResult:No valid cells found for operation.</v>
      </c>
      <c r="AD72" s="15" t="str">
        <f>AND(FinPerf!B4,"AAAAAHZvtx0=")</f>
        <v>#VALUE!:noResult:No valid cells found for operation.</v>
      </c>
      <c r="AE72" s="15" t="str">
        <f>AND(FinPerf!C4,"AAAAAHZvtx4=")</f>
        <v>#VALUE!:noResult:No valid cells found for operation.</v>
      </c>
      <c r="AF72" s="15" t="str">
        <f>AND(FinPerf!D4,"AAAAAHZvtx8=")</f>
        <v>#VALUE!:noResult:No valid cells found for operation.</v>
      </c>
      <c r="AG72" s="15" t="str">
        <f>AND(FinPerf!E4,"AAAAAHZvtyA=")</f>
        <v>#VALUE!:noResult:No valid cells found for operation.</v>
      </c>
      <c r="AH72" s="15" t="str">
        <f>AND(FinPerf!F4,"AAAAAHZvtyE=")</f>
        <v>#VALUE!:noResult:No valid cells found for operation.</v>
      </c>
      <c r="AI72" s="15" t="str">
        <f>AND(FinPerf!G4,"AAAAAHZvtyI=")</f>
        <v>#VALUE!:noResult:No valid cells found for operation.</v>
      </c>
      <c r="AJ72" s="15" t="str">
        <f>AND(FinPerf!H4,"AAAAAHZvtyM=")</f>
        <v>#VALUE!:noResult:No valid cells found for operation.</v>
      </c>
      <c r="AK72" s="15" t="str">
        <f>AND(FinPerf!I4,"AAAAAHZvtyQ=")</f>
        <v>#VALUE!:noResult:No valid cells found for operation.</v>
      </c>
      <c r="AL72" s="15" t="str">
        <f>AND(FinPerf!J4,"AAAAAHZvtyU=")</f>
        <v>#VALUE!:noResult:No valid cells found for operation.</v>
      </c>
      <c r="AM72" s="15" t="str">
        <f>AND(FinPerf!K4,"AAAAAHZvtyY=")</f>
        <v>#VALUE!:noResult:No valid cells found for operation.</v>
      </c>
      <c r="AN72" s="15" t="str">
        <f>AND(FinPerf!L4,"AAAAAHZvtyc=")</f>
        <v>#VALUE!:noResult:No valid cells found for operation.</v>
      </c>
      <c r="AO72" s="15" t="str">
        <f>AND(FinPerf!M4,"AAAAAHZvtyg=")</f>
        <v>#VALUE!:noResult:No valid cells found for operation.</v>
      </c>
      <c r="AP72" s="15" t="str">
        <f>AND(FinPerf!N4,"AAAAAHZvtyk=")</f>
        <v>#VALUE!:noResult:No valid cells found for operation.</v>
      </c>
      <c r="AQ72" s="15" t="str">
        <f>AND(FinPerf!O4,"AAAAAHZvtyo=")</f>
        <v>#VALUE!:noResult:No valid cells found for operation.</v>
      </c>
      <c r="AR72" s="15" t="str">
        <f>AND(FinPerf!P4,"AAAAAHZvtys=")</f>
        <v>#VALUE!:noResult:No valid cells found for operation.</v>
      </c>
      <c r="AS72" s="15" t="str">
        <f>AND(FinPerf!Q4,"AAAAAHZvtyw=")</f>
        <v>#VALUE!:noResult:No valid cells found for operation.</v>
      </c>
      <c r="AT72" s="15" t="str">
        <f>AND(FinPerf!R4,"AAAAAHZvty0=")</f>
        <v>#VALUE!:noResult:No valid cells found for operation.</v>
      </c>
      <c r="AU72" s="15" t="str">
        <f>AND(FinPerf!S4,"AAAAAHZvty4=")</f>
        <v>#VALUE!:noResult:No valid cells found for operation.</v>
      </c>
      <c r="AV72" s="15" t="str">
        <f>AND(FinPerf!T4,"AAAAAHZvty8=")</f>
        <v>#VALUE!:noResult:No valid cells found for operation.</v>
      </c>
      <c r="AW72" s="15" t="str">
        <f>AND(FinPerf!U4,"AAAAAHZvtzA=")</f>
        <v>#VALUE!:noResult:No valid cells found for operation.</v>
      </c>
      <c r="AX72" s="15" t="str">
        <f>AND(FinPerf!V4,"AAAAAHZvtzE=")</f>
        <v>#VALUE!:noResult:No valid cells found for operation.</v>
      </c>
      <c r="AY72" s="15" t="str">
        <f>#REF!</f>
        <v>#REF!:refOutOfRange</v>
      </c>
      <c r="AZ72" s="15" t="str">
        <f>AND(FinPerf!A5,"AAAAAHZvtzM=")</f>
        <v>#VALUE!:noResult:No valid cells found for operation.</v>
      </c>
      <c r="BA72" s="15" t="str">
        <f>AND(FinPerf!B5,"AAAAAHZvtzQ=")</f>
        <v>#VALUE!:noResult:No valid cells found for operation.</v>
      </c>
      <c r="BB72" s="15" t="str">
        <f>AND(FinPerf!C5,"AAAAAHZvtzU=")</f>
        <v>#VALUE!:noResult:No valid cells found for operation.</v>
      </c>
      <c r="BC72" s="15" t="str">
        <f>AND(FinPerf!D5,"AAAAAHZvtzY=")</f>
        <v>#VALUE!:noResult:No valid cells found for operation.</v>
      </c>
      <c r="BD72" s="15" t="str">
        <f>AND(FinPerf!E5,"AAAAAHZvtzc=")</f>
        <v>#VALUE!:noResult:No valid cells found for operation.</v>
      </c>
      <c r="BE72" s="15" t="str">
        <f>AND(FinPerf!F5,"AAAAAHZvtzg=")</f>
        <v>#VALUE!:noResult:No valid cells found for operation.</v>
      </c>
      <c r="BF72" s="15" t="str">
        <f>#REF!</f>
        <v>#VALUE!:noResult:No valid cells found for operation.</v>
      </c>
      <c r="BG72" s="15" t="str">
        <f>#REF!</f>
        <v>#VALUE!:noResult:No valid cells found for operation.</v>
      </c>
      <c r="BH72" s="15" t="str">
        <f>#REF!</f>
        <v>#VALUE!:noResult:No valid cells found for operation.</v>
      </c>
      <c r="BI72" s="15" t="str">
        <f>#REF!</f>
        <v>#VALUE!:noResult:No valid cells found for operation.</v>
      </c>
      <c r="BJ72" s="15" t="str">
        <f>#REF!</f>
        <v>#VALUE!:noResult:No valid cells found for operation.</v>
      </c>
      <c r="BK72" s="15" t="str">
        <f>#REF!</f>
        <v>#VALUE!:noResult:No valid cells found for operation.</v>
      </c>
      <c r="BL72" s="15" t="str">
        <f>#REF!</f>
        <v>#VALUE!:noResult:No valid cells found for operation.</v>
      </c>
      <c r="BM72" s="15" t="str">
        <f>#REF!</f>
        <v>#VALUE!:noResult:No valid cells found for operation.</v>
      </c>
      <c r="BN72" s="15" t="str">
        <f>#REF!</f>
        <v>#VALUE!:noResult:No valid cells found for operation.</v>
      </c>
      <c r="BO72" s="15" t="str">
        <f>#REF!</f>
        <v>#VALUE!:noResult:No valid cells found for operation.</v>
      </c>
      <c r="BP72" s="15" t="str">
        <f>#REF!</f>
        <v>#VALUE!:noResult:No valid cells found for operation.</v>
      </c>
      <c r="BQ72" s="15" t="str">
        <f>#REF!</f>
        <v>#VALUE!:noResult:No valid cells found for operation.</v>
      </c>
      <c r="BR72" s="15" t="str">
        <f>#REF!</f>
        <v>#VALUE!:noResult:No valid cells found for operation.</v>
      </c>
      <c r="BS72" s="15" t="str">
        <f>#REF!</f>
        <v>#VALUE!:noResult:No valid cells found for operation.</v>
      </c>
      <c r="BT72" s="15" t="str">
        <f>#REF!</f>
        <v>#VALUE!:noResult:No valid cells found for operation.</v>
      </c>
      <c r="BU72" s="15" t="str">
        <f>#REF!</f>
        <v>#VALUE!:noResult:No valid cells found for operation.</v>
      </c>
      <c r="BV72" s="15" t="str">
        <f>#REF!</f>
        <v>#REF!:refOutOfRange</v>
      </c>
      <c r="BW72" s="15" t="b">
        <f>AND(FinPerf!A6,"AAAAAHZvt0o=")</f>
        <v>1</v>
      </c>
      <c r="BX72" s="15" t="str">
        <f>AND(FinPerf!B6,"AAAAAHZvt0s=")</f>
        <v>#VALUE!:noResult:No valid cells found for operation.</v>
      </c>
      <c r="BY72" s="15" t="b">
        <f>AND(FinPerf!C6,"AAAAAHZvt0w=")</f>
        <v>1</v>
      </c>
      <c r="BZ72" s="15" t="str">
        <f>AND(FinPerf!D6,"AAAAAHZvt00=")</f>
        <v>#VALUE!:noResult:No valid cells found for operation.</v>
      </c>
      <c r="CA72" s="15" t="str">
        <f>AND(FinPerf!E6,"AAAAAHZvt04=")</f>
        <v>#VALUE!:noResult:No valid cells found for operation.</v>
      </c>
      <c r="CB72" s="15" t="str">
        <f>AND(FinPerf!F6,"AAAAAHZvt08=")</f>
        <v>#VALUE!:noResult:No valid cells found for operation.</v>
      </c>
      <c r="CC72" s="15" t="str">
        <f>#REF!</f>
        <v>#VALUE!:noResult:No valid cells found for operation.</v>
      </c>
      <c r="CD72" s="15" t="str">
        <f>#REF!</f>
        <v>#VALUE!:noResult:No valid cells found for operation.</v>
      </c>
      <c r="CE72" s="15" t="str">
        <f>#REF!</f>
        <v>#VALUE!:noResult:No valid cells found for operation.</v>
      </c>
      <c r="CF72" s="15" t="str">
        <f>#REF!</f>
        <v>#VALUE!:noResult:No valid cells found for operation.</v>
      </c>
      <c r="CG72" s="15" t="str">
        <f>#REF!</f>
        <v>#VALUE!:noResult:No valid cells found for operation.</v>
      </c>
      <c r="CH72" s="15" t="str">
        <f>#REF!</f>
        <v>#VALUE!:noResult:No valid cells found for operation.</v>
      </c>
      <c r="CI72" s="15" t="str">
        <f>#REF!</f>
        <v>#VALUE!:noResult:No valid cells found for operation.</v>
      </c>
      <c r="CJ72" s="15" t="str">
        <f>#REF!</f>
        <v>#VALUE!:noResult:No valid cells found for operation.</v>
      </c>
      <c r="CK72" s="15" t="str">
        <f>#REF!</f>
        <v>#VALUE!:noResult:No valid cells found for operation.</v>
      </c>
      <c r="CL72" s="15" t="str">
        <f>#REF!</f>
        <v>#VALUE!:noResult:No valid cells found for operation.</v>
      </c>
      <c r="CM72" s="15" t="str">
        <f>#REF!</f>
        <v>#VALUE!:noResult:No valid cells found for operation.</v>
      </c>
      <c r="CN72" s="15" t="str">
        <f>#REF!</f>
        <v>#VALUE!:noResult:No valid cells found for operation.</v>
      </c>
      <c r="CO72" s="15" t="str">
        <f>#REF!</f>
        <v>#VALUE!:noResult:No valid cells found for operation.</v>
      </c>
      <c r="CP72" s="15" t="str">
        <f>#REF!</f>
        <v>#VALUE!:noResult:No valid cells found for operation.</v>
      </c>
      <c r="CQ72" s="15" t="str">
        <f>#REF!</f>
        <v>#VALUE!:noResult:No valid cells found for operation.</v>
      </c>
      <c r="CR72" s="15" t="str">
        <f>#REF!</f>
        <v>#VALUE!:noResult:No valid cells found for operation.</v>
      </c>
      <c r="CS72" s="15" t="str">
        <f>#REF!</f>
        <v>#REF!:refOutOfRange</v>
      </c>
      <c r="CT72" s="15" t="b">
        <f>AND(FinPerf!A7,"AAAAAHZvt2E=")</f>
        <v>1</v>
      </c>
      <c r="CU72" s="15" t="str">
        <f>AND(FinPerf!B7,"AAAAAHZvt2I=")</f>
        <v>#VALUE!:noResult:No valid cells found for operation.</v>
      </c>
      <c r="CV72" s="15" t="b">
        <f>AND(FinPerf!C7,"AAAAAHZvt2M=")</f>
        <v>1</v>
      </c>
      <c r="CW72" s="15" t="str">
        <f>AND(FinPerf!D7,"AAAAAHZvt2Q=")</f>
        <v>#VALUE!:noResult:No valid cells found for operation.</v>
      </c>
      <c r="CX72" s="15" t="str">
        <f>AND(FinPerf!E7,"AAAAAHZvt2U=")</f>
        <v>#VALUE!:noResult:No valid cells found for operation.</v>
      </c>
      <c r="CY72" s="15" t="str">
        <f>AND(FinPerf!F7,"AAAAAHZvt2Y=")</f>
        <v>#VALUE!:noResult:No valid cells found for operation.</v>
      </c>
      <c r="CZ72" s="15" t="str">
        <f>#REF!</f>
        <v>#VALUE!:noResult:No valid cells found for operation.</v>
      </c>
      <c r="DA72" s="15" t="str">
        <f>#REF!</f>
        <v>#VALUE!:noResult:No valid cells found for operation.</v>
      </c>
      <c r="DB72" s="15" t="str">
        <f>#REF!</f>
        <v>#VALUE!:noResult:No valid cells found for operation.</v>
      </c>
      <c r="DC72" s="15" t="str">
        <f>#REF!</f>
        <v>#VALUE!:noResult:No valid cells found for operation.</v>
      </c>
      <c r="DD72" s="15" t="str">
        <f>#REF!</f>
        <v>#VALUE!:noResult:No valid cells found for operation.</v>
      </c>
      <c r="DE72" s="15" t="str">
        <f>#REF!</f>
        <v>#VALUE!:noResult:No valid cells found for operation.</v>
      </c>
      <c r="DF72" s="15" t="str">
        <f>#REF!</f>
        <v>#VALUE!:noResult:No valid cells found for operation.</v>
      </c>
      <c r="DG72" s="15" t="str">
        <f>#REF!</f>
        <v>#VALUE!:noResult:No valid cells found for operation.</v>
      </c>
      <c r="DH72" s="15" t="str">
        <f>#REF!</f>
        <v>#VALUE!:noResult:No valid cells found for operation.</v>
      </c>
      <c r="DI72" s="15" t="str">
        <f>#REF!</f>
        <v>#VALUE!:noResult:No valid cells found for operation.</v>
      </c>
      <c r="DJ72" s="15" t="str">
        <f>#REF!</f>
        <v>#VALUE!:noResult:No valid cells found for operation.</v>
      </c>
      <c r="DK72" s="15" t="str">
        <f>#REF!</f>
        <v>#VALUE!:noResult:No valid cells found for operation.</v>
      </c>
      <c r="DL72" s="15" t="str">
        <f>#REF!</f>
        <v>#VALUE!:noResult:No valid cells found for operation.</v>
      </c>
      <c r="DM72" s="15" t="str">
        <f>#REF!</f>
        <v>#VALUE!:noResult:No valid cells found for operation.</v>
      </c>
      <c r="DN72" s="15" t="str">
        <f>#REF!</f>
        <v>#VALUE!:noResult:No valid cells found for operation.</v>
      </c>
      <c r="DO72" s="15" t="str">
        <f>#REF!</f>
        <v>#VALUE!:noResult:No valid cells found for operation.</v>
      </c>
      <c r="DP72" s="15" t="str">
        <f>#REF!</f>
        <v>#REF!:refOutOfRange</v>
      </c>
      <c r="DQ72" s="15" t="b">
        <f>AND(FinPerf!A8,"AAAAAHZvt3g=")</f>
        <v>1</v>
      </c>
      <c r="DR72" s="15" t="str">
        <f>AND(FinPerf!B8,"AAAAAHZvt3k=")</f>
        <v>#VALUE!:noResult:No valid cells found for operation.</v>
      </c>
      <c r="DS72" s="15" t="b">
        <f>AND(FinPerf!C8,"AAAAAHZvt3o=")</f>
        <v>0</v>
      </c>
      <c r="DT72" s="15" t="str">
        <f>AND(FinPerf!D8,"AAAAAHZvt3s=")</f>
        <v>#VALUE!:noResult:No valid cells found for operation.</v>
      </c>
      <c r="DU72" s="15" t="str">
        <f>AND(FinPerf!E8,"AAAAAHZvt3w=")</f>
        <v>#VALUE!:noResult:No valid cells found for operation.</v>
      </c>
      <c r="DV72" s="15" t="str">
        <f>AND(FinPerf!F8,"AAAAAHZvt30=")</f>
        <v>#VALUE!:noResult:No valid cells found for operation.</v>
      </c>
      <c r="DW72" s="15" t="str">
        <f>#REF!</f>
        <v>#VALUE!:noResult:No valid cells found for operation.</v>
      </c>
      <c r="DX72" s="15" t="str">
        <f>#REF!</f>
        <v>#VALUE!:noResult:No valid cells found for operation.</v>
      </c>
      <c r="DY72" s="15" t="str">
        <f>#REF!</f>
        <v>#VALUE!:noResult:No valid cells found for operation.</v>
      </c>
      <c r="DZ72" s="15" t="str">
        <f>#REF!</f>
        <v>#VALUE!:noResult:No valid cells found for operation.</v>
      </c>
      <c r="EA72" s="15" t="str">
        <f>#REF!</f>
        <v>#VALUE!:noResult:No valid cells found for operation.</v>
      </c>
      <c r="EB72" s="15" t="str">
        <f>#REF!</f>
        <v>#VALUE!:noResult:No valid cells found for operation.</v>
      </c>
      <c r="EC72" s="15" t="str">
        <f>#REF!</f>
        <v>#VALUE!:noResult:No valid cells found for operation.</v>
      </c>
      <c r="ED72" s="15" t="str">
        <f>#REF!</f>
        <v>#VALUE!:noResult:No valid cells found for operation.</v>
      </c>
      <c r="EE72" s="15" t="str">
        <f>#REF!</f>
        <v>#VALUE!:noResult:No valid cells found for operation.</v>
      </c>
      <c r="EF72" s="15" t="str">
        <f>#REF!</f>
        <v>#VALUE!:noResult:No valid cells found for operation.</v>
      </c>
      <c r="EG72" s="15" t="str">
        <f>#REF!</f>
        <v>#VALUE!:noResult:No valid cells found for operation.</v>
      </c>
      <c r="EH72" s="15" t="str">
        <f>#REF!</f>
        <v>#VALUE!:noResult:No valid cells found for operation.</v>
      </c>
      <c r="EI72" s="15" t="str">
        <f>#REF!</f>
        <v>#VALUE!:noResult:No valid cells found for operation.</v>
      </c>
      <c r="EJ72" s="15" t="str">
        <f>#REF!</f>
        <v>#VALUE!:noResult:No valid cells found for operation.</v>
      </c>
      <c r="EK72" s="15" t="str">
        <f>#REF!</f>
        <v>#VALUE!:noResult:No valid cells found for operation.</v>
      </c>
      <c r="EL72" s="15" t="str">
        <f>#REF!</f>
        <v>#VALUE!:noResult:No valid cells found for operation.</v>
      </c>
      <c r="EM72" s="15" t="str">
        <f>#REF!</f>
        <v>#REF!:refOutOfRange</v>
      </c>
      <c r="EN72" s="15" t="b">
        <f>AND(FinPerf!A10,"AAAAAHZvt48=")</f>
        <v>1</v>
      </c>
      <c r="EO72" s="15" t="str">
        <f>AND(FinPerf!B10,"AAAAAHZvt5A=")</f>
        <v>#VALUE!:noResult:No valid cells found for operation.</v>
      </c>
      <c r="EP72" s="15" t="b">
        <f>AND(FinPerf!C10,"AAAAAHZvt5E=")</f>
        <v>0</v>
      </c>
      <c r="EQ72" s="15" t="str">
        <f>AND(FinPerf!D10,"AAAAAHZvt5I=")</f>
        <v>#VALUE!:noResult:No valid cells found for operation.</v>
      </c>
      <c r="ER72" s="15" t="str">
        <f>AND(FinPerf!E10,"AAAAAHZvt5M=")</f>
        <v>#VALUE!:noResult:No valid cells found for operation.</v>
      </c>
      <c r="ES72" s="15" t="str">
        <f>AND(FinPerf!F10,"AAAAAHZvt5Q=")</f>
        <v>#VALUE!:noResult:No valid cells found for operation.</v>
      </c>
      <c r="ET72" s="15" t="str">
        <f>#REF!</f>
        <v>#VALUE!:noResult:No valid cells found for operation.</v>
      </c>
      <c r="EU72" s="15" t="str">
        <f>#REF!</f>
        <v>#VALUE!:noResult:No valid cells found for operation.</v>
      </c>
      <c r="EV72" s="15" t="str">
        <f>#REF!</f>
        <v>#VALUE!:noResult:No valid cells found for operation.</v>
      </c>
      <c r="EW72" s="15" t="str">
        <f>#REF!</f>
        <v>#VALUE!:noResult:No valid cells found for operation.</v>
      </c>
      <c r="EX72" s="15" t="str">
        <f>#REF!</f>
        <v>#VALUE!:noResult:No valid cells found for operation.</v>
      </c>
      <c r="EY72" s="15" t="str">
        <f>#REF!</f>
        <v>#VALUE!:noResult:No valid cells found for operation.</v>
      </c>
      <c r="EZ72" s="15" t="str">
        <f>#REF!</f>
        <v>#VALUE!:noResult:No valid cells found for operation.</v>
      </c>
      <c r="FA72" s="15" t="str">
        <f>#REF!</f>
        <v>#VALUE!:noResult:No valid cells found for operation.</v>
      </c>
      <c r="FB72" s="15" t="str">
        <f>#REF!</f>
        <v>#VALUE!:noResult:No valid cells found for operation.</v>
      </c>
      <c r="FC72" s="15" t="str">
        <f>#REF!</f>
        <v>#VALUE!:noResult:No valid cells found for operation.</v>
      </c>
      <c r="FD72" s="15" t="str">
        <f>#REF!</f>
        <v>#VALUE!:noResult:No valid cells found for operation.</v>
      </c>
      <c r="FE72" s="15" t="str">
        <f>#REF!</f>
        <v>#VALUE!:noResult:No valid cells found for operation.</v>
      </c>
      <c r="FF72" s="15" t="str">
        <f>#REF!</f>
        <v>#VALUE!:noResult:No valid cells found for operation.</v>
      </c>
      <c r="FG72" s="15" t="str">
        <f>#REF!</f>
        <v>#VALUE!:noResult:No valid cells found for operation.</v>
      </c>
      <c r="FH72" s="15" t="str">
        <f>#REF!</f>
        <v>#VALUE!:noResult:No valid cells found for operation.</v>
      </c>
      <c r="FI72" s="15" t="str">
        <f>#REF!</f>
        <v>#VALUE!:noResult:No valid cells found for operation.</v>
      </c>
      <c r="FJ72" s="15" t="str">
        <f>#REF!</f>
        <v>#REF!:refOutOfRange</v>
      </c>
      <c r="FK72" s="15" t="str">
        <f>AND(FinPerf!A11,"AAAAAHZvt6Y=")</f>
        <v>#VALUE!:noResult:No valid cells found for operation.</v>
      </c>
      <c r="FL72" s="15" t="str">
        <f>AND(FinPerf!B11,"AAAAAHZvt6c=")</f>
        <v>#VALUE!:noResult:No valid cells found for operation.</v>
      </c>
      <c r="FM72" s="15" t="str">
        <f>AND(FinPerf!C11,"AAAAAHZvt6g=")</f>
        <v>#VALUE!:noResult:No valid cells found for operation.</v>
      </c>
      <c r="FN72" s="15" t="b">
        <f>AND(FinPerf!D11,"AAAAAHZvt6k=")</f>
        <v>1</v>
      </c>
      <c r="FO72" s="15" t="str">
        <f>AND(FinPerf!E11,"AAAAAHZvt6o=")</f>
        <v>#VALUE!:noResult:No valid cells found for operation.</v>
      </c>
      <c r="FP72" s="15" t="str">
        <f>AND(FinPerf!F11,"AAAAAHZvt6s=")</f>
        <v>#VALUE!:noResult:No valid cells found for operation.</v>
      </c>
      <c r="FQ72" s="15" t="str">
        <f>#REF!</f>
        <v>#VALUE!:noResult:No valid cells found for operation.</v>
      </c>
      <c r="FR72" s="15" t="str">
        <f>#REF!</f>
        <v>#VALUE!:noResult:No valid cells found for operation.</v>
      </c>
      <c r="FS72" s="15" t="str">
        <f>#REF!</f>
        <v>#VALUE!:noResult:No valid cells found for operation.</v>
      </c>
      <c r="FT72" s="15" t="str">
        <f>#REF!</f>
        <v>#VALUE!:noResult:No valid cells found for operation.</v>
      </c>
      <c r="FU72" s="15" t="str">
        <f>#REF!</f>
        <v>#VALUE!:noResult:No valid cells found for operation.</v>
      </c>
      <c r="FV72" s="15" t="str">
        <f>#REF!</f>
        <v>#VALUE!:noResult:No valid cells found for operation.</v>
      </c>
      <c r="FW72" s="15" t="str">
        <f>#REF!</f>
        <v>#VALUE!:noResult:No valid cells found for operation.</v>
      </c>
      <c r="FX72" s="15" t="str">
        <f>#REF!</f>
        <v>#VALUE!:noResult:No valid cells found for operation.</v>
      </c>
      <c r="FY72" s="15" t="str">
        <f>#REF!</f>
        <v>#VALUE!:noResult:No valid cells found for operation.</v>
      </c>
      <c r="FZ72" s="15" t="str">
        <f>#REF!</f>
        <v>#VALUE!:noResult:No valid cells found for operation.</v>
      </c>
      <c r="GA72" s="15" t="str">
        <f>#REF!</f>
        <v>#VALUE!:noResult:No valid cells found for operation.</v>
      </c>
      <c r="GB72" s="15" t="str">
        <f>#REF!</f>
        <v>#VALUE!:noResult:No valid cells found for operation.</v>
      </c>
      <c r="GC72" s="15" t="str">
        <f>#REF!</f>
        <v>#VALUE!:noResult:No valid cells found for operation.</v>
      </c>
      <c r="GD72" s="15" t="str">
        <f>#REF!</f>
        <v>#VALUE!:noResult:No valid cells found for operation.</v>
      </c>
      <c r="GE72" s="15" t="str">
        <f>#REF!</f>
        <v>#VALUE!:noResult:No valid cells found for operation.</v>
      </c>
      <c r="GF72" s="15" t="str">
        <f>#REF!</f>
        <v>#VALUE!:noResult:No valid cells found for operation.</v>
      </c>
      <c r="GG72" s="15">
        <f>IF(FinPerf!R[-53],"AAAAAHZvt7w=",0)</f>
        <v>0</v>
      </c>
      <c r="GH72" s="15" t="str">
        <f>AND(FinPerf!A19,"AAAAAHZvt70=")</f>
        <v>#VALUE!:noResult:No valid cells found for operation.</v>
      </c>
      <c r="GI72" s="15" t="str">
        <f>AND(FinPerf!B19,"AAAAAHZvt74=")</f>
        <v>#VALUE!:noResult:No valid cells found for operation.</v>
      </c>
      <c r="GJ72" s="15" t="str">
        <f>AND(FinPerf!C19,"AAAAAHZvt78=")</f>
        <v>#VALUE!:noResult:No valid cells found for operation.</v>
      </c>
      <c r="GK72" s="15" t="str">
        <f>AND(FinPerf!D19,"AAAAAHZvt8A=")</f>
        <v>#VALUE!:noResult:No valid cells found for operation.</v>
      </c>
      <c r="GL72" s="15" t="str">
        <f>AND(FinPerf!E19,"AAAAAHZvt8E=")</f>
        <v>#VALUE!:noResult:No valid cells found for operation.</v>
      </c>
      <c r="GM72" s="15" t="str">
        <f>AND(FinPerf!F19,"AAAAAHZvt8I=")</f>
        <v>#VALUE!:noResult:No valid cells found for operation.</v>
      </c>
      <c r="GN72" s="15" t="str">
        <f>AND(FinPerf!G19,"AAAAAHZvt8M=")</f>
        <v>#VALUE!:noResult:No valid cells found for operation.</v>
      </c>
      <c r="GO72" s="15" t="str">
        <f>AND(FinPerf!H19,"AAAAAHZvt8Q=")</f>
        <v>#VALUE!:noResult:No valid cells found for operation.</v>
      </c>
      <c r="GP72" s="15" t="str">
        <f>AND(FinPerf!I19,"AAAAAHZvt8U=")</f>
        <v>#VALUE!:noResult:No valid cells found for operation.</v>
      </c>
      <c r="GQ72" s="15" t="str">
        <f>AND(FinPerf!J19,"AAAAAHZvt8Y=")</f>
        <v>#VALUE!:noResult:No valid cells found for operation.</v>
      </c>
      <c r="GR72" s="15" t="str">
        <f>AND(FinPerf!K19,"AAAAAHZvt8c=")</f>
        <v>#VALUE!:noResult:No valid cells found for operation.</v>
      </c>
      <c r="GS72" s="15" t="str">
        <f>AND(FinPerf!L19,"AAAAAHZvt8g=")</f>
        <v>#VALUE!:noResult:No valid cells found for operation.</v>
      </c>
      <c r="GT72" s="15" t="str">
        <f>AND(FinPerf!M19,"AAAAAHZvt8k=")</f>
        <v>#VALUE!:noResult:No valid cells found for operation.</v>
      </c>
      <c r="GU72" s="15" t="str">
        <f>AND(FinPerf!N19,"AAAAAHZvt8o=")</f>
        <v>#VALUE!:noResult:No valid cells found for operation.</v>
      </c>
      <c r="GV72" s="15" t="str">
        <f>AND(FinPerf!O19,"AAAAAHZvt8s=")</f>
        <v>#VALUE!:noResult:No valid cells found for operation.</v>
      </c>
      <c r="GW72" s="15" t="str">
        <f>AND(FinPerf!P19,"AAAAAHZvt8w=")</f>
        <v>#VALUE!:noResult:No valid cells found for operation.</v>
      </c>
      <c r="GX72" s="15" t="str">
        <f>AND(FinPerf!Q19,"AAAAAHZvt80=")</f>
        <v>#VALUE!:noResult:No valid cells found for operation.</v>
      </c>
      <c r="GY72" s="15" t="str">
        <f>AND(FinPerf!R19,"AAAAAHZvt84=")</f>
        <v>#VALUE!:noResult:No valid cells found for operation.</v>
      </c>
      <c r="GZ72" s="15" t="str">
        <f>AND(FinPerf!S19,"AAAAAHZvt88=")</f>
        <v>#VALUE!:noResult:No valid cells found for operation.</v>
      </c>
      <c r="HA72" s="15" t="str">
        <f>AND(FinPerf!T19,"AAAAAHZvt9A=")</f>
        <v>#VALUE!:noResult:No valid cells found for operation.</v>
      </c>
      <c r="HB72" s="15" t="str">
        <f>AND(FinPerf!U19,"AAAAAHZvt9E=")</f>
        <v>#VALUE!:noResult:No valid cells found for operation.</v>
      </c>
      <c r="HC72" s="15" t="str">
        <f>AND(FinPerf!V19,"AAAAAHZvt9I=")</f>
        <v>#VALUE!:noResult:No valid cells found for operation.</v>
      </c>
      <c r="HD72" s="15">
        <f>IF(FinPerf!R[-52],"AAAAAHZvt9M=",0)</f>
        <v>0</v>
      </c>
      <c r="HE72" s="15" t="str">
        <f>AND(FinPerf!A20,"AAAAAHZvt9Q=")</f>
        <v>#VALUE!:noResult:No valid cells found for operation.</v>
      </c>
      <c r="HF72" s="15" t="str">
        <f>AND(FinPerf!B20,"AAAAAHZvt9U=")</f>
        <v>#VALUE!:noResult:No valid cells found for operation.</v>
      </c>
      <c r="HG72" s="15" t="str">
        <f>AND(FinPerf!C20,"AAAAAHZvt9Y=")</f>
        <v>#VALUE!:noResult:No valid cells found for operation.</v>
      </c>
      <c r="HH72" s="15" t="str">
        <f>AND(FinPerf!D20,"AAAAAHZvt9c=")</f>
        <v>#VALUE!:noResult:No valid cells found for operation.</v>
      </c>
      <c r="HI72" s="15" t="str">
        <f>AND(FinPerf!E20,"AAAAAHZvt9g=")</f>
        <v>#VALUE!:noResult:No valid cells found for operation.</v>
      </c>
      <c r="HJ72" s="15" t="str">
        <f>AND(FinPerf!F20,"AAAAAHZvt9k=")</f>
        <v>#VALUE!:noResult:No valid cells found for operation.</v>
      </c>
      <c r="HK72" s="15" t="str">
        <f>AND(FinPerf!G20,"AAAAAHZvt9o=")</f>
        <v>#VALUE!:noResult:No valid cells found for operation.</v>
      </c>
      <c r="HL72" s="15" t="str">
        <f>AND(FinPerf!H20,"AAAAAHZvt9s=")</f>
        <v>#VALUE!:noResult:No valid cells found for operation.</v>
      </c>
      <c r="HM72" s="15" t="str">
        <f>AND(FinPerf!I20,"AAAAAHZvt9w=")</f>
        <v>#VALUE!:noResult:No valid cells found for operation.</v>
      </c>
      <c r="HN72" s="15" t="str">
        <f>AND(FinPerf!J20,"AAAAAHZvt90=")</f>
        <v>#VALUE!:noResult:No valid cells found for operation.</v>
      </c>
      <c r="HO72" s="15" t="str">
        <f>AND(FinPerf!K20,"AAAAAHZvt94=")</f>
        <v>#VALUE!:noResult:No valid cells found for operation.</v>
      </c>
      <c r="HP72" s="15" t="str">
        <f>AND(FinPerf!L20,"AAAAAHZvt98=")</f>
        <v>#VALUE!:noResult:No valid cells found for operation.</v>
      </c>
      <c r="HQ72" s="15" t="str">
        <f>AND(FinPerf!M20,"AAAAAHZvt+A=")</f>
        <v>#VALUE!:noResult:No valid cells found for operation.</v>
      </c>
      <c r="HR72" s="15" t="str">
        <f>AND(FinPerf!N20,"AAAAAHZvt+E=")</f>
        <v>#VALUE!:noResult:No valid cells found for operation.</v>
      </c>
      <c r="HS72" s="15" t="str">
        <f>AND(FinPerf!O20,"AAAAAHZvt+I=")</f>
        <v>#VALUE!:noResult:No valid cells found for operation.</v>
      </c>
      <c r="HT72" s="15" t="str">
        <f>AND(FinPerf!P20,"AAAAAHZvt+M=")</f>
        <v>#VALUE!:noResult:No valid cells found for operation.</v>
      </c>
      <c r="HU72" s="15" t="str">
        <f>AND(FinPerf!Q20,"AAAAAHZvt+Q=")</f>
        <v>#VALUE!:noResult:No valid cells found for operation.</v>
      </c>
      <c r="HV72" s="15" t="str">
        <f>AND(FinPerf!R20,"AAAAAHZvt+U=")</f>
        <v>#VALUE!:noResult:No valid cells found for operation.</v>
      </c>
      <c r="HW72" s="15" t="str">
        <f>AND(FinPerf!S20,"AAAAAHZvt+Y=")</f>
        <v>#VALUE!:noResult:No valid cells found for operation.</v>
      </c>
      <c r="HX72" s="15" t="str">
        <f>AND(FinPerf!T20,"AAAAAHZvt+c=")</f>
        <v>#VALUE!:noResult:No valid cells found for operation.</v>
      </c>
      <c r="HY72" s="15" t="str">
        <f>AND(FinPerf!U20,"AAAAAHZvt+g=")</f>
        <v>#VALUE!:noResult:No valid cells found for operation.</v>
      </c>
      <c r="HZ72" s="15" t="str">
        <f>AND(FinPerf!V20,"AAAAAHZvt+k=")</f>
        <v>#VALUE!:noResult:No valid cells found for operation.</v>
      </c>
      <c r="IA72" s="15" t="str">
        <f>#REF!</f>
        <v>#REF!:refOutOfRange</v>
      </c>
      <c r="IB72" s="15" t="b">
        <f>AND(FinPerf!A14,"AAAAAHZvt+s=")</f>
        <v>1</v>
      </c>
      <c r="IC72" s="15" t="str">
        <f>AND(FinPerf!B14,"AAAAAHZvt+w=")</f>
        <v>#VALUE!:noResult:No valid cells found for operation.</v>
      </c>
      <c r="ID72" s="15" t="b">
        <f>AND(FinPerf!C14,"AAAAAHZvt+0=")</f>
        <v>1</v>
      </c>
      <c r="IE72" s="15" t="str">
        <f>AND(FinPerf!D14,"AAAAAHZvt+4=")</f>
        <v>#VALUE!:noResult:No valid cells found for operation.</v>
      </c>
      <c r="IF72" s="15" t="str">
        <f>AND(FinPerf!E14,"AAAAAHZvt+8=")</f>
        <v>#VALUE!:noResult:No valid cells found for operation.</v>
      </c>
      <c r="IG72" s="15" t="str">
        <f>AND(FinPerf!F14,"AAAAAHZvt/A=")</f>
        <v>#VALUE!:noResult:No valid cells found for operation.</v>
      </c>
      <c r="IH72" s="15" t="str">
        <f>#REF!</f>
        <v>#VALUE!:noResult:No valid cells found for operation.</v>
      </c>
      <c r="II72" s="15" t="str">
        <f>#REF!</f>
        <v>#VALUE!:noResult:No valid cells found for operation.</v>
      </c>
      <c r="IJ72" s="15" t="str">
        <f>#REF!</f>
        <v>#VALUE!:noResult:No valid cells found for operation.</v>
      </c>
      <c r="IK72" s="15" t="str">
        <f>#REF!</f>
        <v>#VALUE!:noResult:No valid cells found for operation.</v>
      </c>
      <c r="IL72" s="15" t="str">
        <f>#REF!</f>
        <v>#VALUE!:noResult:No valid cells found for operation.</v>
      </c>
      <c r="IM72" s="15" t="str">
        <f>#REF!</f>
        <v>#VALUE!:noResult:No valid cells found for operation.</v>
      </c>
      <c r="IN72" s="15" t="str">
        <f>#REF!</f>
        <v>#VALUE!:noResult:No valid cells found for operation.</v>
      </c>
      <c r="IO72" s="15" t="str">
        <f>#REF!</f>
        <v>#VALUE!:noResult:No valid cells found for operation.</v>
      </c>
      <c r="IP72" s="15" t="str">
        <f>#REF!</f>
        <v>#VALUE!:noResult:No valid cells found for operation.</v>
      </c>
      <c r="IQ72" s="15" t="str">
        <f>#REF!</f>
        <v>#VALUE!:noResult:No valid cells found for operation.</v>
      </c>
      <c r="IR72" s="15" t="str">
        <f>#REF!</f>
        <v>#VALUE!:noResult:No valid cells found for operation.</v>
      </c>
      <c r="IS72" s="15" t="str">
        <f>#REF!</f>
        <v>#VALUE!:noResult:No valid cells found for operation.</v>
      </c>
      <c r="IT72" s="15" t="str">
        <f>#REF!</f>
        <v>#VALUE!:noResult:No valid cells found for operation.</v>
      </c>
      <c r="IU72" s="15" t="str">
        <f>#REF!</f>
        <v>#VALUE!:noResult:No valid cells found for operation.</v>
      </c>
      <c r="IV72" s="15" t="str">
        <f>#REF!</f>
        <v>#VALUE!:noResult:No valid cells found for operation.</v>
      </c>
    </row>
    <row r="73">
      <c r="A73" s="15" t="str">
        <f>#REF!</f>
        <v>#VALUE!:noResult:No valid cells found for operation.</v>
      </c>
      <c r="B73" s="15" t="str">
        <f>IF(FinPerf!R[-52],"AAAAAHv+vwE=",0)</f>
        <v>#VALUE!:notNumber</v>
      </c>
      <c r="C73" s="15" t="b">
        <f>AND(FinPerf!A21,"AAAAAHv+vwI=")</f>
        <v>1</v>
      </c>
      <c r="D73" s="15" t="str">
        <f>AND(FinPerf!B21,"AAAAAHv+vwM=")</f>
        <v>#VALUE!:noResult:No valid cells found for operation.</v>
      </c>
      <c r="E73" s="15" t="b">
        <f>AND(FinPerf!C21,"AAAAAHv+vwQ=")</f>
        <v>1</v>
      </c>
      <c r="F73" s="15" t="str">
        <f>AND(FinPerf!D21,"AAAAAHv+vwU=")</f>
        <v>#VALUE!:noResult:No valid cells found for operation.</v>
      </c>
      <c r="G73" s="15" t="str">
        <f>AND(FinPerf!E21,"AAAAAHv+vwY=")</f>
        <v>#VALUE!:noResult:No valid cells found for operation.</v>
      </c>
      <c r="H73" s="15" t="str">
        <f>AND(FinPerf!F21,"AAAAAHv+vwc=")</f>
        <v>#VALUE!:noResult:No valid cells found for operation.</v>
      </c>
      <c r="I73" s="15" t="str">
        <f>AND(FinPerf!G21,"AAAAAHv+vwg=")</f>
        <v>#VALUE!:noResult:No valid cells found for operation.</v>
      </c>
      <c r="J73" s="15" t="str">
        <f>AND(FinPerf!H21,"AAAAAHv+vwk=")</f>
        <v>#VALUE!:noResult:No valid cells found for operation.</v>
      </c>
      <c r="K73" s="15" t="str">
        <f>AND(FinPerf!I21,"AAAAAHv+vwo=")</f>
        <v>#VALUE!:noResult:No valid cells found for operation.</v>
      </c>
      <c r="L73" s="15" t="str">
        <f>AND(FinPerf!J21,"AAAAAHv+vws=")</f>
        <v>#VALUE!:noResult:No valid cells found for operation.</v>
      </c>
      <c r="M73" s="15" t="str">
        <f>AND(FinPerf!K21,"AAAAAHv+vww=")</f>
        <v>#VALUE!:noResult:No valid cells found for operation.</v>
      </c>
      <c r="N73" s="15" t="str">
        <f>AND(FinPerf!L21,"AAAAAHv+vw0=")</f>
        <v>#VALUE!:noResult:No valid cells found for operation.</v>
      </c>
      <c r="O73" s="15" t="str">
        <f>AND(FinPerf!M21,"AAAAAHv+vw4=")</f>
        <v>#VALUE!:noResult:No valid cells found for operation.</v>
      </c>
      <c r="P73" s="15" t="str">
        <f>AND(FinPerf!N21,"AAAAAHv+vw8=")</f>
        <v>#VALUE!:noResult:No valid cells found for operation.</v>
      </c>
      <c r="Q73" s="15" t="str">
        <f>AND(FinPerf!O21,"AAAAAHv+vxA=")</f>
        <v>#VALUE!:noResult:No valid cells found for operation.</v>
      </c>
      <c r="R73" s="15" t="str">
        <f>AND(FinPerf!P21,"AAAAAHv+vxE=")</f>
        <v>#VALUE!:noResult:No valid cells found for operation.</v>
      </c>
      <c r="S73" s="15" t="str">
        <f>AND(FinPerf!Q21,"AAAAAHv+vxI=")</f>
        <v>#VALUE!:noResult:No valid cells found for operation.</v>
      </c>
      <c r="T73" s="15" t="str">
        <f>AND(FinPerf!R21,"AAAAAHv+vxM=")</f>
        <v>#VALUE!:noResult:No valid cells found for operation.</v>
      </c>
      <c r="U73" s="15" t="str">
        <f>AND(FinPerf!S21,"AAAAAHv+vxQ=")</f>
        <v>#VALUE!:noResult:No valid cells found for operation.</v>
      </c>
      <c r="V73" s="15" t="str">
        <f>AND(FinPerf!T21,"AAAAAHv+vxU=")</f>
        <v>#VALUE!:noResult:No valid cells found for operation.</v>
      </c>
      <c r="W73" s="15" t="str">
        <f>AND(FinPerf!U21,"AAAAAHv+vxY=")</f>
        <v>#VALUE!:noResult:No valid cells found for operation.</v>
      </c>
      <c r="X73" s="15" t="str">
        <f>AND(FinPerf!V21,"AAAAAHv+vxc=")</f>
        <v>#VALUE!:noResult:No valid cells found for operation.</v>
      </c>
      <c r="Y73" s="15" t="str">
        <f>#REF!</f>
        <v>#REF!:refOutOfRange</v>
      </c>
      <c r="Z73" s="15" t="str">
        <f>#REF!</f>
        <v>#VALUE!:noResult:No valid cells found for operation.</v>
      </c>
      <c r="AA73" s="15" t="str">
        <f>#REF!</f>
        <v>#VALUE!:noResult:No valid cells found for operation.</v>
      </c>
      <c r="AB73" s="15" t="str">
        <f>#REF!</f>
        <v>#VALUE!:noResult:No valid cells found for operation.</v>
      </c>
      <c r="AC73" s="15" t="str">
        <f>#REF!</f>
        <v>#VALUE!:noResult:No valid cells found for operation.</v>
      </c>
      <c r="AD73" s="15" t="str">
        <f>#REF!</f>
        <v>#VALUE!:noResult:No valid cells found for operation.</v>
      </c>
      <c r="AE73" s="15" t="str">
        <f>#REF!</f>
        <v>#VALUE!:noResult:No valid cells found for operation.</v>
      </c>
      <c r="AF73" s="15" t="str">
        <f>#REF!</f>
        <v>#VALUE!:noResult:No valid cells found for operation.</v>
      </c>
      <c r="AG73" s="15" t="str">
        <f>#REF!</f>
        <v>#VALUE!:noResult:No valid cells found for operation.</v>
      </c>
      <c r="AH73" s="15" t="str">
        <f>#REF!</f>
        <v>#VALUE!:noResult:No valid cells found for operation.</v>
      </c>
      <c r="AI73" s="15" t="str">
        <f>#REF!</f>
        <v>#VALUE!:noResult:No valid cells found for operation.</v>
      </c>
      <c r="AJ73" s="15" t="str">
        <f>#REF!</f>
        <v>#VALUE!:noResult:No valid cells found for operation.</v>
      </c>
      <c r="AK73" s="15" t="str">
        <f>#REF!</f>
        <v>#VALUE!:noResult:No valid cells found for operation.</v>
      </c>
      <c r="AL73" s="15" t="str">
        <f>#REF!</f>
        <v>#VALUE!:noResult:No valid cells found for operation.</v>
      </c>
      <c r="AM73" s="15" t="str">
        <f>#REF!</f>
        <v>#VALUE!:noResult:No valid cells found for operation.</v>
      </c>
      <c r="AN73" s="15" t="str">
        <f>#REF!</f>
        <v>#VALUE!:noResult:No valid cells found for operation.</v>
      </c>
      <c r="AO73" s="15" t="str">
        <f>#REF!</f>
        <v>#VALUE!:noResult:No valid cells found for operation.</v>
      </c>
      <c r="AP73" s="15" t="str">
        <f>#REF!</f>
        <v>#VALUE!:noResult:No valid cells found for operation.</v>
      </c>
      <c r="AQ73" s="15" t="str">
        <f>#REF!</f>
        <v>#VALUE!:noResult:No valid cells found for operation.</v>
      </c>
      <c r="AR73" s="15" t="str">
        <f>#REF!</f>
        <v>#VALUE!:noResult:No valid cells found for operation.</v>
      </c>
      <c r="AS73" s="15" t="str">
        <f>#REF!</f>
        <v>#VALUE!:noResult:No valid cells found for operation.</v>
      </c>
      <c r="AT73" s="15" t="str">
        <f>#REF!</f>
        <v>#VALUE!:noResult:No valid cells found for operation.</v>
      </c>
      <c r="AU73" s="15" t="str">
        <f>#REF!</f>
        <v>#VALUE!:noResult:No valid cells found for operation.</v>
      </c>
      <c r="AV73" s="15">
        <f>IF(FinPerf!R[-51],"AAAAAHv+vy8=",0)</f>
        <v>0</v>
      </c>
      <c r="AW73" s="15" t="b">
        <f>AND(FinPerf!A22,"AAAAAHv+vzA=")</f>
        <v>1</v>
      </c>
      <c r="AX73" s="15" t="str">
        <f>AND(FinPerf!B22,"AAAAAHv+vzE=")</f>
        <v>#VALUE!:noResult:No valid cells found for operation.</v>
      </c>
      <c r="AY73" s="15" t="b">
        <f>AND(FinPerf!C22,"AAAAAHv+vzI=")</f>
        <v>1</v>
      </c>
      <c r="AZ73" s="15" t="str">
        <f>AND(FinPerf!D22,"AAAAAHv+vzM=")</f>
        <v>#VALUE!:noResult:No valid cells found for operation.</v>
      </c>
      <c r="BA73" s="15" t="str">
        <f>AND(FinPerf!E22,"AAAAAHv+vzQ=")</f>
        <v>#VALUE!:noResult:No valid cells found for operation.</v>
      </c>
      <c r="BB73" s="15" t="str">
        <f>AND(FinPerf!F22,"AAAAAHv+vzU=")</f>
        <v>#VALUE!:noResult:No valid cells found for operation.</v>
      </c>
      <c r="BC73" s="15" t="str">
        <f>AND(FinPerf!G22,"AAAAAHv+vzY=")</f>
        <v>#VALUE!:noResult:No valid cells found for operation.</v>
      </c>
      <c r="BD73" s="15" t="str">
        <f>AND(FinPerf!H22,"AAAAAHv+vzc=")</f>
        <v>#VALUE!:noResult:No valid cells found for operation.</v>
      </c>
      <c r="BE73" s="15" t="str">
        <f>AND(FinPerf!I22,"AAAAAHv+vzg=")</f>
        <v>#VALUE!:noResult:No valid cells found for operation.</v>
      </c>
      <c r="BF73" s="15" t="str">
        <f>AND(FinPerf!J22,"AAAAAHv+vzk=")</f>
        <v>#VALUE!:noResult:No valid cells found for operation.</v>
      </c>
      <c r="BG73" s="15" t="str">
        <f>AND(FinPerf!K22,"AAAAAHv+vzo=")</f>
        <v>#VALUE!:noResult:No valid cells found for operation.</v>
      </c>
      <c r="BH73" s="15" t="str">
        <f>AND(FinPerf!L22,"AAAAAHv+vzs=")</f>
        <v>#VALUE!:noResult:No valid cells found for operation.</v>
      </c>
      <c r="BI73" s="15" t="str">
        <f>AND(FinPerf!M22,"AAAAAHv+vzw=")</f>
        <v>#VALUE!:noResult:No valid cells found for operation.</v>
      </c>
      <c r="BJ73" s="15" t="str">
        <f>AND(FinPerf!N22,"AAAAAHv+vz0=")</f>
        <v>#VALUE!:noResult:No valid cells found for operation.</v>
      </c>
      <c r="BK73" s="15" t="str">
        <f>AND(FinPerf!O22,"AAAAAHv+vz4=")</f>
        <v>#VALUE!:noResult:No valid cells found for operation.</v>
      </c>
      <c r="BL73" s="15" t="str">
        <f>AND(FinPerf!P22,"AAAAAHv+vz8=")</f>
        <v>#VALUE!:noResult:No valid cells found for operation.</v>
      </c>
      <c r="BM73" s="15" t="str">
        <f>AND(FinPerf!Q22,"AAAAAHv+v0A=")</f>
        <v>#VALUE!:noResult:No valid cells found for operation.</v>
      </c>
      <c r="BN73" s="15" t="str">
        <f>AND(FinPerf!R22,"AAAAAHv+v0E=")</f>
        <v>#VALUE!:noResult:No valid cells found for operation.</v>
      </c>
      <c r="BO73" s="15" t="str">
        <f>AND(FinPerf!S22,"AAAAAHv+v0I=")</f>
        <v>#VALUE!:noResult:No valid cells found for operation.</v>
      </c>
      <c r="BP73" s="15" t="str">
        <f>AND(FinPerf!T22,"AAAAAHv+v0M=")</f>
        <v>#VALUE!:noResult:No valid cells found for operation.</v>
      </c>
      <c r="BQ73" s="15" t="str">
        <f>AND(FinPerf!U22,"AAAAAHv+v0Q=")</f>
        <v>#VALUE!:noResult:No valid cells found for operation.</v>
      </c>
      <c r="BR73" s="15" t="str">
        <f>AND(FinPerf!V22,"AAAAAHv+v0U=")</f>
        <v>#VALUE!:noResult:No valid cells found for operation.</v>
      </c>
      <c r="BS73" s="15">
        <f>IF(FinPerf!R[-50],"AAAAAHv+v0Y=",0)</f>
        <v>0</v>
      </c>
      <c r="BT73" s="15" t="b">
        <f>AND(FinPerf!A23,"AAAAAHv+v0c=")</f>
        <v>1</v>
      </c>
      <c r="BU73" s="15" t="str">
        <f>AND(FinPerf!B23,"AAAAAHv+v0g=")</f>
        <v>#VALUE!:noResult:No valid cells found for operation.</v>
      </c>
      <c r="BV73" s="15" t="b">
        <f>AND(FinPerf!C23,"AAAAAHv+v0k=")</f>
        <v>0</v>
      </c>
      <c r="BW73" s="15" t="str">
        <f>AND(FinPerf!D23,"AAAAAHv+v0o=")</f>
        <v>#VALUE!:noResult:No valid cells found for operation.</v>
      </c>
      <c r="BX73" s="15" t="str">
        <f>AND(FinPerf!E23,"AAAAAHv+v0s=")</f>
        <v>#VALUE!:noResult:No valid cells found for operation.</v>
      </c>
      <c r="BY73" s="15" t="str">
        <f>AND(FinPerf!F23,"AAAAAHv+v0w=")</f>
        <v>#VALUE!:noResult:No valid cells found for operation.</v>
      </c>
      <c r="BZ73" s="15" t="str">
        <f>AND(FinPerf!G23,"AAAAAHv+v00=")</f>
        <v>#VALUE!:noResult:No valid cells found for operation.</v>
      </c>
      <c r="CA73" s="15" t="str">
        <f>AND(FinPerf!H23,"AAAAAHv+v04=")</f>
        <v>#VALUE!:noResult:No valid cells found for operation.</v>
      </c>
      <c r="CB73" s="15" t="str">
        <f>AND(FinPerf!I23,"AAAAAHv+v08=")</f>
        <v>#VALUE!:noResult:No valid cells found for operation.</v>
      </c>
      <c r="CC73" s="15" t="str">
        <f>AND(FinPerf!J23,"AAAAAHv+v1A=")</f>
        <v>#VALUE!:noResult:No valid cells found for operation.</v>
      </c>
      <c r="CD73" s="15" t="str">
        <f>AND(FinPerf!K23,"AAAAAHv+v1E=")</f>
        <v>#VALUE!:noResult:No valid cells found for operation.</v>
      </c>
      <c r="CE73" s="15" t="str">
        <f>AND(FinPerf!L23,"AAAAAHv+v1I=")</f>
        <v>#VALUE!:noResult:No valid cells found for operation.</v>
      </c>
      <c r="CF73" s="15" t="str">
        <f>AND(FinPerf!M23,"AAAAAHv+v1M=")</f>
        <v>#VALUE!:noResult:No valid cells found for operation.</v>
      </c>
      <c r="CG73" s="15" t="str">
        <f>AND(FinPerf!N23,"AAAAAHv+v1Q=")</f>
        <v>#VALUE!:noResult:No valid cells found for operation.</v>
      </c>
      <c r="CH73" s="15" t="str">
        <f>AND(FinPerf!O23,"AAAAAHv+v1U=")</f>
        <v>#VALUE!:noResult:No valid cells found for operation.</v>
      </c>
      <c r="CI73" s="15" t="str">
        <f>AND(FinPerf!P23,"AAAAAHv+v1Y=")</f>
        <v>#VALUE!:noResult:No valid cells found for operation.</v>
      </c>
      <c r="CJ73" s="15" t="str">
        <f>AND(FinPerf!Q23,"AAAAAHv+v1c=")</f>
        <v>#VALUE!:noResult:No valid cells found for operation.</v>
      </c>
      <c r="CK73" s="15" t="str">
        <f>AND(FinPerf!R23,"AAAAAHv+v1g=")</f>
        <v>#VALUE!:noResult:No valid cells found for operation.</v>
      </c>
      <c r="CL73" s="15" t="str">
        <f>AND(FinPerf!S23,"AAAAAHv+v1k=")</f>
        <v>#VALUE!:noResult:No valid cells found for operation.</v>
      </c>
      <c r="CM73" s="15" t="str">
        <f>AND(FinPerf!T23,"AAAAAHv+v1o=")</f>
        <v>#VALUE!:noResult:No valid cells found for operation.</v>
      </c>
      <c r="CN73" s="15" t="str">
        <f>AND(FinPerf!U23,"AAAAAHv+v1s=")</f>
        <v>#VALUE!:noResult:No valid cells found for operation.</v>
      </c>
      <c r="CO73" s="15" t="str">
        <f>AND(FinPerf!V23,"AAAAAHv+v1w=")</f>
        <v>#VALUE!:noResult:No valid cells found for operation.</v>
      </c>
      <c r="CP73" s="15" t="str">
        <f>#REF!</f>
        <v>#REF!:refOutOfRange</v>
      </c>
      <c r="CQ73" s="15" t="str">
        <f>#REF!</f>
        <v>#VALUE!:noResult:No valid cells found for operation.</v>
      </c>
      <c r="CR73" s="15" t="str">
        <f>#REF!</f>
        <v>#VALUE!:noResult:No valid cells found for operation.</v>
      </c>
      <c r="CS73" s="15" t="str">
        <f>#REF!</f>
        <v>#VALUE!:noResult:No valid cells found for operation.</v>
      </c>
      <c r="CT73" s="15" t="str">
        <f>#REF!</f>
        <v>#VALUE!:noResult:No valid cells found for operation.</v>
      </c>
      <c r="CU73" s="15" t="str">
        <f>#REF!</f>
        <v>#VALUE!:noResult:No valid cells found for operation.</v>
      </c>
      <c r="CV73" s="15" t="str">
        <f>#REF!</f>
        <v>#VALUE!:noResult:No valid cells found for operation.</v>
      </c>
      <c r="CW73" s="15" t="str">
        <f>#REF!</f>
        <v>#VALUE!:noResult:No valid cells found for operation.</v>
      </c>
      <c r="CX73" s="15" t="str">
        <f>#REF!</f>
        <v>#VALUE!:noResult:No valid cells found for operation.</v>
      </c>
      <c r="CY73" s="15" t="str">
        <f>#REF!</f>
        <v>#VALUE!:noResult:No valid cells found for operation.</v>
      </c>
      <c r="CZ73" s="15" t="str">
        <f>#REF!</f>
        <v>#VALUE!:noResult:No valid cells found for operation.</v>
      </c>
      <c r="DA73" s="15" t="str">
        <f>#REF!</f>
        <v>#VALUE!:noResult:No valid cells found for operation.</v>
      </c>
      <c r="DB73" s="15" t="str">
        <f>#REF!</f>
        <v>#VALUE!:noResult:No valid cells found for operation.</v>
      </c>
      <c r="DC73" s="15" t="str">
        <f>#REF!</f>
        <v>#VALUE!:noResult:No valid cells found for operation.</v>
      </c>
      <c r="DD73" s="15" t="str">
        <f>#REF!</f>
        <v>#VALUE!:noResult:No valid cells found for operation.</v>
      </c>
      <c r="DE73" s="15" t="str">
        <f>#REF!</f>
        <v>#VALUE!:noResult:No valid cells found for operation.</v>
      </c>
      <c r="DF73" s="15" t="str">
        <f>#REF!</f>
        <v>#VALUE!:noResult:No valid cells found for operation.</v>
      </c>
      <c r="DG73" s="15" t="str">
        <f>#REF!</f>
        <v>#VALUE!:noResult:No valid cells found for operation.</v>
      </c>
      <c r="DH73" s="15" t="str">
        <f>#REF!</f>
        <v>#VALUE!:noResult:No valid cells found for operation.</v>
      </c>
      <c r="DI73" s="15" t="str">
        <f>#REF!</f>
        <v>#VALUE!:noResult:No valid cells found for operation.</v>
      </c>
      <c r="DJ73" s="15" t="str">
        <f>#REF!</f>
        <v>#VALUE!:noResult:No valid cells found for operation.</v>
      </c>
      <c r="DK73" s="15" t="str">
        <f>#REF!</f>
        <v>#VALUE!:noResult:No valid cells found for operation.</v>
      </c>
      <c r="DL73" s="15" t="str">
        <f>#REF!</f>
        <v>#VALUE!:noResult:No valid cells found for operation.</v>
      </c>
      <c r="DM73" s="15">
        <f>IF(FinPerf!R[-49],"AAAAAHv+v3Q=",0)</f>
        <v>0</v>
      </c>
      <c r="DN73" s="15" t="b">
        <f>AND(FinPerf!A24,"AAAAAHv+v3U=")</f>
        <v>1</v>
      </c>
      <c r="DO73" s="15" t="str">
        <f>AND(FinPerf!B24,"AAAAAHv+v3Y=")</f>
        <v>#VALUE!:noResult:No valid cells found for operation.</v>
      </c>
      <c r="DP73" s="15" t="b">
        <f>AND(FinPerf!C24,"AAAAAHv+v3c=")</f>
        <v>1</v>
      </c>
      <c r="DQ73" s="15" t="str">
        <f>AND(FinPerf!D24,"AAAAAHv+v3g=")</f>
        <v>#VALUE!:noResult:No valid cells found for operation.</v>
      </c>
      <c r="DR73" s="15" t="str">
        <f>AND(FinPerf!E24,"AAAAAHv+v3k=")</f>
        <v>#VALUE!:noResult:No valid cells found for operation.</v>
      </c>
      <c r="DS73" s="15" t="str">
        <f>AND(FinPerf!F24,"AAAAAHv+v3o=")</f>
        <v>#VALUE!:noResult:No valid cells found for operation.</v>
      </c>
      <c r="DT73" s="15" t="str">
        <f>AND(FinPerf!G24,"AAAAAHv+v3s=")</f>
        <v>#VALUE!:noResult:No valid cells found for operation.</v>
      </c>
      <c r="DU73" s="15" t="str">
        <f>AND(FinPerf!H24,"AAAAAHv+v3w=")</f>
        <v>#VALUE!:noResult:No valid cells found for operation.</v>
      </c>
      <c r="DV73" s="15" t="str">
        <f>AND(FinPerf!I24,"AAAAAHv+v30=")</f>
        <v>#VALUE!:noResult:No valid cells found for operation.</v>
      </c>
      <c r="DW73" s="15" t="str">
        <f>AND(FinPerf!J24,"AAAAAHv+v34=")</f>
        <v>#VALUE!:noResult:No valid cells found for operation.</v>
      </c>
      <c r="DX73" s="15" t="str">
        <f>AND(FinPerf!K24,"AAAAAHv+v38=")</f>
        <v>#VALUE!:noResult:No valid cells found for operation.</v>
      </c>
      <c r="DY73" s="15" t="str">
        <f>AND(FinPerf!L24,"AAAAAHv+v4A=")</f>
        <v>#VALUE!:noResult:No valid cells found for operation.</v>
      </c>
      <c r="DZ73" s="15" t="str">
        <f>AND(FinPerf!M24,"AAAAAHv+v4E=")</f>
        <v>#VALUE!:noResult:No valid cells found for operation.</v>
      </c>
      <c r="EA73" s="15" t="str">
        <f>AND(FinPerf!N24,"AAAAAHv+v4I=")</f>
        <v>#VALUE!:noResult:No valid cells found for operation.</v>
      </c>
      <c r="EB73" s="15" t="str">
        <f>AND(FinPerf!O24,"AAAAAHv+v4M=")</f>
        <v>#VALUE!:noResult:No valid cells found for operation.</v>
      </c>
      <c r="EC73" s="15" t="str">
        <f>AND(FinPerf!P24,"AAAAAHv+v4Q=")</f>
        <v>#VALUE!:noResult:No valid cells found for operation.</v>
      </c>
      <c r="ED73" s="15" t="str">
        <f>AND(FinPerf!Q24,"AAAAAHv+v4U=")</f>
        <v>#VALUE!:noResult:No valid cells found for operation.</v>
      </c>
      <c r="EE73" s="15" t="str">
        <f>AND(FinPerf!R24,"AAAAAHv+v4Y=")</f>
        <v>#VALUE!:noResult:No valid cells found for operation.</v>
      </c>
      <c r="EF73" s="15" t="str">
        <f>AND(FinPerf!S24,"AAAAAHv+v4c=")</f>
        <v>#VALUE!:noResult:No valid cells found for operation.</v>
      </c>
      <c r="EG73" s="15" t="str">
        <f>AND(FinPerf!T24,"AAAAAHv+v4g=")</f>
        <v>#VALUE!:noResult:No valid cells found for operation.</v>
      </c>
      <c r="EH73" s="15" t="str">
        <f>AND(FinPerf!U24,"AAAAAHv+v4k=")</f>
        <v>#VALUE!:noResult:No valid cells found for operation.</v>
      </c>
      <c r="EI73" s="15" t="str">
        <f>AND(FinPerf!V24,"AAAAAHv+v4o=")</f>
        <v>#VALUE!:noResult:No valid cells found for operation.</v>
      </c>
      <c r="EJ73" s="15">
        <f>IF(FinPerf!R[-48],"AAAAAHv+v4s=",0)</f>
        <v>0</v>
      </c>
      <c r="EK73" s="15" t="b">
        <f>AND(FinPerf!A25,"AAAAAHv+v4w=")</f>
        <v>1</v>
      </c>
      <c r="EL73" s="15" t="str">
        <f>AND(FinPerf!B25,"AAAAAHv+v40=")</f>
        <v>#VALUE!:noResult:No valid cells found for operation.</v>
      </c>
      <c r="EM73" s="15" t="b">
        <f>AND(FinPerf!C29,"AAAAAHv+v44=")</f>
        <v>1</v>
      </c>
      <c r="EN73" s="15" t="str">
        <f>AND(FinPerf!D25,"AAAAAHv+v48=")</f>
        <v>#VALUE!:noResult:No valid cells found for operation.</v>
      </c>
      <c r="EO73" s="15" t="str">
        <f>AND(FinPerf!E25,"AAAAAHv+v5A=")</f>
        <v>#VALUE!:noResult:No valid cells found for operation.</v>
      </c>
      <c r="EP73" s="15" t="str">
        <f>AND(FinPerf!F25,"AAAAAHv+v5E=")</f>
        <v>#VALUE!:noResult:No valid cells found for operation.</v>
      </c>
      <c r="EQ73" s="15" t="str">
        <f>AND(FinPerf!G25,"AAAAAHv+v5I=")</f>
        <v>#VALUE!:noResult:No valid cells found for operation.</v>
      </c>
      <c r="ER73" s="15" t="str">
        <f>AND(FinPerf!H25,"AAAAAHv+v5M=")</f>
        <v>#VALUE!:noResult:No valid cells found for operation.</v>
      </c>
      <c r="ES73" s="15" t="str">
        <f>AND(FinPerf!I25,"AAAAAHv+v5Q=")</f>
        <v>#VALUE!:noResult:No valid cells found for operation.</v>
      </c>
      <c r="ET73" s="15" t="str">
        <f>AND(FinPerf!J25,"AAAAAHv+v5U=")</f>
        <v>#VALUE!:noResult:No valid cells found for operation.</v>
      </c>
      <c r="EU73" s="15" t="str">
        <f>AND(FinPerf!K25,"AAAAAHv+v5Y=")</f>
        <v>#VALUE!:noResult:No valid cells found for operation.</v>
      </c>
      <c r="EV73" s="15" t="str">
        <f>AND(FinPerf!L25,"AAAAAHv+v5c=")</f>
        <v>#VALUE!:noResult:No valid cells found for operation.</v>
      </c>
      <c r="EW73" s="15" t="str">
        <f>AND(FinPerf!M25,"AAAAAHv+v5g=")</f>
        <v>#VALUE!:noResult:No valid cells found for operation.</v>
      </c>
      <c r="EX73" s="15" t="str">
        <f>AND(FinPerf!N25,"AAAAAHv+v5k=")</f>
        <v>#VALUE!:noResult:No valid cells found for operation.</v>
      </c>
      <c r="EY73" s="15" t="str">
        <f>AND(FinPerf!O25,"AAAAAHv+v5o=")</f>
        <v>#VALUE!:noResult:No valid cells found for operation.</v>
      </c>
      <c r="EZ73" s="15" t="str">
        <f>AND(FinPerf!P25,"AAAAAHv+v5s=")</f>
        <v>#VALUE!:noResult:No valid cells found for operation.</v>
      </c>
      <c r="FA73" s="15" t="str">
        <f>AND(FinPerf!Q25,"AAAAAHv+v5w=")</f>
        <v>#VALUE!:noResult:No valid cells found for operation.</v>
      </c>
      <c r="FB73" s="15" t="str">
        <f>AND(FinPerf!R25,"AAAAAHv+v50=")</f>
        <v>#VALUE!:noResult:No valid cells found for operation.</v>
      </c>
      <c r="FC73" s="15" t="str">
        <f>AND(FinPerf!S25,"AAAAAHv+v54=")</f>
        <v>#VALUE!:noResult:No valid cells found for operation.</v>
      </c>
      <c r="FD73" s="15" t="str">
        <f>AND(FinPerf!T25,"AAAAAHv+v58=")</f>
        <v>#VALUE!:noResult:No valid cells found for operation.</v>
      </c>
      <c r="FE73" s="15" t="str">
        <f>AND(FinPerf!U25,"AAAAAHv+v6A=")</f>
        <v>#VALUE!:noResult:No valid cells found for operation.</v>
      </c>
      <c r="FF73" s="15" t="str">
        <f>AND(FinPerf!V25,"AAAAAHv+v6E=")</f>
        <v>#VALUE!:noResult:No valid cells found for operation.</v>
      </c>
      <c r="FG73" s="15">
        <f>IF(FinPerf!R[-44],"AAAAAHv+v6I=",0)</f>
        <v>0</v>
      </c>
      <c r="FH73" s="15" t="b">
        <f>AND(FinPerf!A29,"AAAAAHv+v6M=")</f>
        <v>1</v>
      </c>
      <c r="FI73" s="15" t="str">
        <f>AND(FinPerf!B29,"AAAAAHv+v6Q=")</f>
        <v>#VALUE!:noResult:No valid cells found for operation.</v>
      </c>
      <c r="FJ73" s="15" t="b">
        <f>AND(FinPerf!C29,"AAAAAHv+v6U=")</f>
        <v>1</v>
      </c>
      <c r="FK73" s="15" t="str">
        <f>AND(FinPerf!D29,"AAAAAHv+v6Y=")</f>
        <v>#VALUE!:noResult:No valid cells found for operation.</v>
      </c>
      <c r="FL73" s="15" t="str">
        <f>AND(FinPerf!E29,"AAAAAHv+v6c=")</f>
        <v>#VALUE!:noResult:No valid cells found for operation.</v>
      </c>
      <c r="FM73" s="15" t="str">
        <f>AND(FinPerf!F29,"AAAAAHv+v6g=")</f>
        <v>#VALUE!:noResult:No valid cells found for operation.</v>
      </c>
      <c r="FN73" s="15" t="str">
        <f>AND(FinPerf!G29,"AAAAAHv+v6k=")</f>
        <v>#VALUE!:noResult:No valid cells found for operation.</v>
      </c>
      <c r="FO73" s="15" t="str">
        <f>AND(FinPerf!H29,"AAAAAHv+v6o=")</f>
        <v>#VALUE!:noResult:No valid cells found for operation.</v>
      </c>
      <c r="FP73" s="15" t="str">
        <f>AND(FinPerf!I29,"AAAAAHv+v6s=")</f>
        <v>#VALUE!:noResult:No valid cells found for operation.</v>
      </c>
      <c r="FQ73" s="15" t="str">
        <f>AND(FinPerf!J29,"AAAAAHv+v6w=")</f>
        <v>#VALUE!:noResult:No valid cells found for operation.</v>
      </c>
      <c r="FR73" s="15" t="str">
        <f>AND(FinPerf!K29,"AAAAAHv+v60=")</f>
        <v>#VALUE!:noResult:No valid cells found for operation.</v>
      </c>
      <c r="FS73" s="15" t="str">
        <f>AND(FinPerf!L29,"AAAAAHv+v64=")</f>
        <v>#VALUE!:noResult:No valid cells found for operation.</v>
      </c>
      <c r="FT73" s="15" t="str">
        <f>AND(FinPerf!M29,"AAAAAHv+v68=")</f>
        <v>#VALUE!:noResult:No valid cells found for operation.</v>
      </c>
      <c r="FU73" s="15" t="str">
        <f>AND(FinPerf!N29,"AAAAAHv+v7A=")</f>
        <v>#VALUE!:noResult:No valid cells found for operation.</v>
      </c>
      <c r="FV73" s="15" t="str">
        <f>AND(FinPerf!O29,"AAAAAHv+v7E=")</f>
        <v>#VALUE!:noResult:No valid cells found for operation.</v>
      </c>
      <c r="FW73" s="15" t="str">
        <f>AND(FinPerf!P29,"AAAAAHv+v7I=")</f>
        <v>#VALUE!:noResult:No valid cells found for operation.</v>
      </c>
      <c r="FX73" s="15" t="str">
        <f>AND(FinPerf!Q29,"AAAAAHv+v7M=")</f>
        <v>#VALUE!:noResult:No valid cells found for operation.</v>
      </c>
      <c r="FY73" s="15" t="str">
        <f>AND(FinPerf!R29,"AAAAAHv+v7Q=")</f>
        <v>#VALUE!:noResult:No valid cells found for operation.</v>
      </c>
      <c r="FZ73" s="15" t="str">
        <f>AND(FinPerf!S29,"AAAAAHv+v7U=")</f>
        <v>#VALUE!:noResult:No valid cells found for operation.</v>
      </c>
      <c r="GA73" s="15" t="str">
        <f>AND(FinPerf!T29,"AAAAAHv+v7Y=")</f>
        <v>#VALUE!:noResult:No valid cells found for operation.</v>
      </c>
      <c r="GB73" s="15" t="str">
        <f>AND(FinPerf!U29,"AAAAAHv+v7c=")</f>
        <v>#VALUE!:noResult:No valid cells found for operation.</v>
      </c>
      <c r="GC73" s="15" t="str">
        <f>AND(FinPerf!V29,"AAAAAHv+v7g=")</f>
        <v>#VALUE!:noResult:No valid cells found for operation.</v>
      </c>
      <c r="GD73" s="15">
        <f>IF(FinPerf!R[-43],"AAAAAHv+v7k=",0)</f>
        <v>0</v>
      </c>
      <c r="GE73" s="15" t="str">
        <f>AND(FinPerf!A30,"AAAAAHv+v7o=")</f>
        <v>#VALUE!:noResult:No valid cells found for operation.</v>
      </c>
      <c r="GF73" s="15" t="str">
        <f>AND(FinPerf!B30,"AAAAAHv+v7s=")</f>
        <v>#VALUE!:noResult:No valid cells found for operation.</v>
      </c>
      <c r="GG73" s="15" t="str">
        <f>AND(FinPerf!C30,"AAAAAHv+v7w=")</f>
        <v>#VALUE!:noResult:No valid cells found for operation.</v>
      </c>
      <c r="GH73" s="15" t="b">
        <f>AND(FinPerf!D30,"AAAAAHv+v70=")</f>
        <v>1</v>
      </c>
      <c r="GI73" s="15" t="str">
        <f>AND(FinPerf!E30,"AAAAAHv+v74=")</f>
        <v>#VALUE!:noResult:No valid cells found for operation.</v>
      </c>
      <c r="GJ73" s="15" t="str">
        <f>AND(FinPerf!F30,"AAAAAHv+v78=")</f>
        <v>#VALUE!:noResult:No valid cells found for operation.</v>
      </c>
      <c r="GK73" s="15" t="str">
        <f>AND(FinPerf!G30,"AAAAAHv+v8A=")</f>
        <v>#VALUE!:noResult:No valid cells found for operation.</v>
      </c>
      <c r="GL73" s="15" t="str">
        <f>AND(FinPerf!H30,"AAAAAHv+v8E=")</f>
        <v>#VALUE!:noResult:No valid cells found for operation.</v>
      </c>
      <c r="GM73" s="15" t="str">
        <f>AND(FinPerf!I30,"AAAAAHv+v8I=")</f>
        <v>#VALUE!:noResult:No valid cells found for operation.</v>
      </c>
      <c r="GN73" s="15" t="str">
        <f>AND(FinPerf!J30,"AAAAAHv+v8M=")</f>
        <v>#VALUE!:noResult:No valid cells found for operation.</v>
      </c>
      <c r="GO73" s="15" t="str">
        <f>AND(FinPerf!K30,"AAAAAHv+v8Q=")</f>
        <v>#VALUE!:noResult:No valid cells found for operation.</v>
      </c>
      <c r="GP73" s="15" t="str">
        <f>AND(FinPerf!L30,"AAAAAHv+v8U=")</f>
        <v>#VALUE!:noResult:No valid cells found for operation.</v>
      </c>
      <c r="GQ73" s="15" t="str">
        <f>AND(FinPerf!M30,"AAAAAHv+v8Y=")</f>
        <v>#VALUE!:noResult:No valid cells found for operation.</v>
      </c>
      <c r="GR73" s="15" t="str">
        <f>AND(FinPerf!N30,"AAAAAHv+v8c=")</f>
        <v>#VALUE!:noResult:No valid cells found for operation.</v>
      </c>
      <c r="GS73" s="15" t="str">
        <f>AND(FinPerf!O30,"AAAAAHv+v8g=")</f>
        <v>#VALUE!:noResult:No valid cells found for operation.</v>
      </c>
      <c r="GT73" s="15" t="str">
        <f>AND(FinPerf!P30,"AAAAAHv+v8k=")</f>
        <v>#VALUE!:noResult:No valid cells found for operation.</v>
      </c>
      <c r="GU73" s="15" t="str">
        <f>AND(FinPerf!Q30,"AAAAAHv+v8o=")</f>
        <v>#VALUE!:noResult:No valid cells found for operation.</v>
      </c>
      <c r="GV73" s="15" t="str">
        <f>AND(FinPerf!R30,"AAAAAHv+v8s=")</f>
        <v>#VALUE!:noResult:No valid cells found for operation.</v>
      </c>
      <c r="GW73" s="15" t="str">
        <f>AND(FinPerf!S30,"AAAAAHv+v8w=")</f>
        <v>#VALUE!:noResult:No valid cells found for operation.</v>
      </c>
      <c r="GX73" s="15" t="str">
        <f>AND(FinPerf!T30,"AAAAAHv+v80=")</f>
        <v>#VALUE!:noResult:No valid cells found for operation.</v>
      </c>
      <c r="GY73" s="15" t="str">
        <f>AND(FinPerf!U30,"AAAAAHv+v84=")</f>
        <v>#VALUE!:noResult:No valid cells found for operation.</v>
      </c>
      <c r="GZ73" s="15" t="str">
        <f>AND(FinPerf!V30,"AAAAAHv+v88=")</f>
        <v>#VALUE!:noResult:No valid cells found for operation.</v>
      </c>
      <c r="HA73" s="15">
        <f>IF(FinPerf!R[-42],"AAAAAHv+v9A=",0)</f>
        <v>0</v>
      </c>
      <c r="HB73" s="15" t="str">
        <f>AND(FinPerf!A31,"AAAAAHv+v9E=")</f>
        <v>#VALUE!:noResult:No valid cells found for operation.</v>
      </c>
      <c r="HC73" s="15" t="str">
        <f>AND(FinPerf!B31,"AAAAAHv+v9I=")</f>
        <v>#VALUE!:noResult:No valid cells found for operation.</v>
      </c>
      <c r="HD73" s="15" t="str">
        <f>AND(FinPerf!C31,"AAAAAHv+v9M=")</f>
        <v>#VALUE!:noResult:No valid cells found for operation.</v>
      </c>
      <c r="HE73" s="15" t="str">
        <f>AND(FinPerf!D31,"AAAAAHv+v9Q=")</f>
        <v>#VALUE!:noResult:No valid cells found for operation.</v>
      </c>
      <c r="HF73" s="15" t="str">
        <f>AND(FinPerf!E31,"AAAAAHv+v9U=")</f>
        <v>#VALUE!:noResult:No valid cells found for operation.</v>
      </c>
      <c r="HG73" s="15" t="str">
        <f>AND(FinPerf!F31,"AAAAAHv+v9Y=")</f>
        <v>#VALUE!:noResult:No valid cells found for operation.</v>
      </c>
      <c r="HH73" s="15" t="str">
        <f>AND(FinPerf!G31,"AAAAAHv+v9c=")</f>
        <v>#VALUE!:noResult:No valid cells found for operation.</v>
      </c>
      <c r="HI73" s="15" t="str">
        <f>AND(FinPerf!H31,"AAAAAHv+v9g=")</f>
        <v>#VALUE!:noResult:No valid cells found for operation.</v>
      </c>
      <c r="HJ73" s="15" t="str">
        <f>AND(FinPerf!I31,"AAAAAHv+v9k=")</f>
        <v>#VALUE!:noResult:No valid cells found for operation.</v>
      </c>
      <c r="HK73" s="15" t="str">
        <f>AND(FinPerf!J31,"AAAAAHv+v9o=")</f>
        <v>#VALUE!:noResult:No valid cells found for operation.</v>
      </c>
      <c r="HL73" s="15" t="str">
        <f>AND(FinPerf!K31,"AAAAAHv+v9s=")</f>
        <v>#VALUE!:noResult:No valid cells found for operation.</v>
      </c>
      <c r="HM73" s="15" t="str">
        <f>AND(FinPerf!L31,"AAAAAHv+v9w=")</f>
        <v>#VALUE!:noResult:No valid cells found for operation.</v>
      </c>
      <c r="HN73" s="15" t="str">
        <f>AND(FinPerf!M31,"AAAAAHv+v90=")</f>
        <v>#VALUE!:noResult:No valid cells found for operation.</v>
      </c>
      <c r="HO73" s="15" t="str">
        <f>AND(FinPerf!N31,"AAAAAHv+v94=")</f>
        <v>#VALUE!:noResult:No valid cells found for operation.</v>
      </c>
      <c r="HP73" s="15" t="str">
        <f>AND(FinPerf!O31,"AAAAAHv+v98=")</f>
        <v>#VALUE!:noResult:No valid cells found for operation.</v>
      </c>
      <c r="HQ73" s="15" t="str">
        <f>AND(FinPerf!P31,"AAAAAHv+v+A=")</f>
        <v>#VALUE!:noResult:No valid cells found for operation.</v>
      </c>
      <c r="HR73" s="15" t="str">
        <f>AND(FinPerf!Q31,"AAAAAHv+v+E=")</f>
        <v>#VALUE!:noResult:No valid cells found for operation.</v>
      </c>
      <c r="HS73" s="15" t="str">
        <f>AND(FinPerf!R31,"AAAAAHv+v+I=")</f>
        <v>#VALUE!:noResult:No valid cells found for operation.</v>
      </c>
      <c r="HT73" s="15" t="str">
        <f>AND(FinPerf!S31,"AAAAAHv+v+M=")</f>
        <v>#VALUE!:noResult:No valid cells found for operation.</v>
      </c>
      <c r="HU73" s="15" t="str">
        <f>AND(FinPerf!T31,"AAAAAHv+v+Q=")</f>
        <v>#VALUE!:noResult:No valid cells found for operation.</v>
      </c>
      <c r="HV73" s="15" t="str">
        <f>AND(FinPerf!U31,"AAAAAHv+v+U=")</f>
        <v>#VALUE!:noResult:No valid cells found for operation.</v>
      </c>
      <c r="HW73" s="15" t="str">
        <f>AND(FinPerf!V31,"AAAAAHv+v+Y=")</f>
        <v>#VALUE!:noResult:No valid cells found for operation.</v>
      </c>
      <c r="HX73" s="15">
        <f>IF(FinPerf!R[-41],"AAAAAHv+v+c=",0)</f>
        <v>0</v>
      </c>
      <c r="HY73" s="15" t="str">
        <f>AND(FinPerf!A32,"AAAAAHv+v+g=")</f>
        <v>#VALUE!:noResult:No valid cells found for operation.</v>
      </c>
      <c r="HZ73" s="15" t="str">
        <f>AND(FinPerf!B32,"AAAAAHv+v+k=")</f>
        <v>#VALUE!:noResult:No valid cells found for operation.</v>
      </c>
      <c r="IA73" s="15" t="str">
        <f>AND(FinPerf!C32,"AAAAAHv+v+o=")</f>
        <v>#VALUE!:noResult:No valid cells found for operation.</v>
      </c>
      <c r="IB73" s="15" t="str">
        <f>AND(FinPerf!D32,"AAAAAHv+v+s=")</f>
        <v>#VALUE!:noResult:No valid cells found for operation.</v>
      </c>
      <c r="IC73" s="15" t="str">
        <f>AND(FinPerf!E32,"AAAAAHv+v+w=")</f>
        <v>#VALUE!:noResult:No valid cells found for operation.</v>
      </c>
      <c r="ID73" s="15" t="str">
        <f>AND(FinPerf!F32,"AAAAAHv+v+0=")</f>
        <v>#VALUE!:noResult:No valid cells found for operation.</v>
      </c>
      <c r="IE73" s="15" t="str">
        <f>AND(FinPerf!G32,"AAAAAHv+v+4=")</f>
        <v>#VALUE!:noResult:No valid cells found for operation.</v>
      </c>
      <c r="IF73" s="15" t="str">
        <f>AND(FinPerf!H32,"AAAAAHv+v+8=")</f>
        <v>#VALUE!:noResult:No valid cells found for operation.</v>
      </c>
      <c r="IG73" s="15" t="str">
        <f>AND(FinPerf!I32,"AAAAAHv+v/A=")</f>
        <v>#VALUE!:noResult:No valid cells found for operation.</v>
      </c>
      <c r="IH73" s="15" t="str">
        <f>AND(FinPerf!J32,"AAAAAHv+v/E=")</f>
        <v>#VALUE!:noResult:No valid cells found for operation.</v>
      </c>
      <c r="II73" s="15" t="str">
        <f>AND(FinPerf!K32,"AAAAAHv+v/I=")</f>
        <v>#VALUE!:noResult:No valid cells found for operation.</v>
      </c>
      <c r="IJ73" s="15" t="str">
        <f>AND(FinPerf!L32,"AAAAAHv+v/M=")</f>
        <v>#VALUE!:noResult:No valid cells found for operation.</v>
      </c>
      <c r="IK73" s="15" t="str">
        <f>AND(FinPerf!M32,"AAAAAHv+v/Q=")</f>
        <v>#VALUE!:noResult:No valid cells found for operation.</v>
      </c>
      <c r="IL73" s="15" t="str">
        <f>AND(FinPerf!N32,"AAAAAHv+v/U=")</f>
        <v>#VALUE!:noResult:No valid cells found for operation.</v>
      </c>
      <c r="IM73" s="15" t="str">
        <f>AND(FinPerf!O32,"AAAAAHv+v/Y=")</f>
        <v>#VALUE!:noResult:No valid cells found for operation.</v>
      </c>
      <c r="IN73" s="15" t="str">
        <f>AND(FinPerf!P32,"AAAAAHv+v/c=")</f>
        <v>#VALUE!:noResult:No valid cells found for operation.</v>
      </c>
      <c r="IO73" s="15" t="str">
        <f>AND(FinPerf!Q32,"AAAAAHv+v/g=")</f>
        <v>#VALUE!:noResult:No valid cells found for operation.</v>
      </c>
      <c r="IP73" s="15" t="str">
        <f>AND(FinPerf!R32,"AAAAAHv+v/k=")</f>
        <v>#VALUE!:noResult:No valid cells found for operation.</v>
      </c>
      <c r="IQ73" s="15" t="str">
        <f>AND(FinPerf!S32,"AAAAAHv+v/o=")</f>
        <v>#VALUE!:noResult:No valid cells found for operation.</v>
      </c>
      <c r="IR73" s="15" t="str">
        <f>AND(FinPerf!T32,"AAAAAHv+v/s=")</f>
        <v>#VALUE!:noResult:No valid cells found for operation.</v>
      </c>
      <c r="IS73" s="15" t="str">
        <f>AND(FinPerf!U32,"AAAAAHv+v/w=")</f>
        <v>#VALUE!:noResult:No valid cells found for operation.</v>
      </c>
      <c r="IT73" s="15" t="str">
        <f>AND(FinPerf!V32,"AAAAAHv+v/0=")</f>
        <v>#VALUE!:noResult:No valid cells found for operation.</v>
      </c>
      <c r="IU73" s="15">
        <f>IF(FinPerf!R[-40],"AAAAAHv+v/4=",0)</f>
        <v>0</v>
      </c>
      <c r="IV73" s="15" t="str">
        <f>AND(FinPerf!A33,"AAAAAHv+v/8=")</f>
        <v>#VALUE!:noResult:No valid cells found for operation.</v>
      </c>
    </row>
    <row r="74">
      <c r="A74" s="15" t="str">
        <f>AND(FinPerf!B33,"AAAAAH/v+wA=")</f>
        <v>#VALUE!:noResult:No valid cells found for operation.</v>
      </c>
      <c r="B74" s="15" t="str">
        <f>AND(FinPerf!C33,"AAAAAH/v+wE=")</f>
        <v>#VALUE!:noResult:No valid cells found for operation.</v>
      </c>
      <c r="C74" s="15" t="str">
        <f>AND(FinPerf!D33,"AAAAAH/v+wI=")</f>
        <v>#VALUE!:noResult:No valid cells found for operation.</v>
      </c>
      <c r="D74" s="15" t="str">
        <f>AND(FinPerf!E33,"AAAAAH/v+wM=")</f>
        <v>#VALUE!:noResult:No valid cells found for operation.</v>
      </c>
      <c r="E74" s="15" t="str">
        <f>AND(FinPerf!F33,"AAAAAH/v+wQ=")</f>
        <v>#VALUE!:noResult:No valid cells found for operation.</v>
      </c>
      <c r="F74" s="15" t="str">
        <f>AND(FinPerf!G33,"AAAAAH/v+wU=")</f>
        <v>#VALUE!:noResult:No valid cells found for operation.</v>
      </c>
      <c r="G74" s="15" t="str">
        <f>AND(FinPerf!H33,"AAAAAH/v+wY=")</f>
        <v>#VALUE!:noResult:No valid cells found for operation.</v>
      </c>
      <c r="H74" s="15" t="str">
        <f>AND(FinPerf!I33,"AAAAAH/v+wc=")</f>
        <v>#VALUE!:noResult:No valid cells found for operation.</v>
      </c>
      <c r="I74" s="15" t="str">
        <f>AND(FinPerf!J33,"AAAAAH/v+wg=")</f>
        <v>#VALUE!:noResult:No valid cells found for operation.</v>
      </c>
      <c r="J74" s="15" t="str">
        <f>AND(FinPerf!K33,"AAAAAH/v+wk=")</f>
        <v>#VALUE!:noResult:No valid cells found for operation.</v>
      </c>
      <c r="K74" s="15" t="str">
        <f>AND(FinPerf!L33,"AAAAAH/v+wo=")</f>
        <v>#VALUE!:noResult:No valid cells found for operation.</v>
      </c>
      <c r="L74" s="15" t="str">
        <f>AND(FinPerf!M33,"AAAAAH/v+ws=")</f>
        <v>#VALUE!:noResult:No valid cells found for operation.</v>
      </c>
      <c r="M74" s="15" t="str">
        <f>AND(FinPerf!N33,"AAAAAH/v+ww=")</f>
        <v>#VALUE!:noResult:No valid cells found for operation.</v>
      </c>
      <c r="N74" s="15" t="str">
        <f>AND(FinPerf!O33,"AAAAAH/v+w0=")</f>
        <v>#VALUE!:noResult:No valid cells found for operation.</v>
      </c>
      <c r="O74" s="15" t="str">
        <f>AND(FinPerf!P33,"AAAAAH/v+w4=")</f>
        <v>#VALUE!:noResult:No valid cells found for operation.</v>
      </c>
      <c r="P74" s="15" t="str">
        <f>AND(FinPerf!Q33,"AAAAAH/v+w8=")</f>
        <v>#VALUE!:noResult:No valid cells found for operation.</v>
      </c>
      <c r="Q74" s="15" t="str">
        <f>AND(FinPerf!R33,"AAAAAH/v+xA=")</f>
        <v>#VALUE!:noResult:No valid cells found for operation.</v>
      </c>
      <c r="R74" s="15" t="str">
        <f>AND(FinPerf!S33,"AAAAAH/v+xE=")</f>
        <v>#VALUE!:noResult:No valid cells found for operation.</v>
      </c>
      <c r="S74" s="15" t="str">
        <f>AND(FinPerf!T33,"AAAAAH/v+xI=")</f>
        <v>#VALUE!:noResult:No valid cells found for operation.</v>
      </c>
      <c r="T74" s="15" t="str">
        <f>AND(FinPerf!U33,"AAAAAH/v+xM=")</f>
        <v>#VALUE!:noResult:No valid cells found for operation.</v>
      </c>
      <c r="U74" s="15" t="str">
        <f>AND(FinPerf!V33,"AAAAAH/v+xQ=")</f>
        <v>#VALUE!:noResult:No valid cells found for operation.</v>
      </c>
      <c r="V74" s="15">
        <f>IF(FinPerf!R[-40],"AAAAAH/v+xU=",0)</f>
        <v>0</v>
      </c>
      <c r="W74" s="15" t="b">
        <f>AND(FinPerf!A34,"AAAAAH/v+xY=")</f>
        <v>1</v>
      </c>
      <c r="X74" s="15" t="str">
        <f>AND(FinPerf!B34,"AAAAAH/v+xc=")</f>
        <v>#VALUE!:noResult:No valid cells found for operation.</v>
      </c>
      <c r="Y74" s="15" t="b">
        <f>AND(FinPerf!C34,"AAAAAH/v+xg=")</f>
        <v>1</v>
      </c>
      <c r="Z74" s="15" t="str">
        <f>AND(FinPerf!D34,"AAAAAH/v+xk=")</f>
        <v>#VALUE!:noResult:No valid cells found for operation.</v>
      </c>
      <c r="AA74" s="15" t="str">
        <f>AND(FinPerf!E34,"AAAAAH/v+xo=")</f>
        <v>#VALUE!:noResult:No valid cells found for operation.</v>
      </c>
      <c r="AB74" s="15" t="str">
        <f>AND(FinPerf!F34,"AAAAAH/v+xs=")</f>
        <v>#VALUE!:noResult:No valid cells found for operation.</v>
      </c>
      <c r="AC74" s="15" t="str">
        <f>AND(FinPerf!G34,"AAAAAH/v+xw=")</f>
        <v>#VALUE!:noResult:No valid cells found for operation.</v>
      </c>
      <c r="AD74" s="15" t="str">
        <f>AND(FinPerf!H34,"AAAAAH/v+x0=")</f>
        <v>#VALUE!:noResult:No valid cells found for operation.</v>
      </c>
      <c r="AE74" s="15" t="str">
        <f>AND(FinPerf!I34,"AAAAAH/v+x4=")</f>
        <v>#VALUE!:noResult:No valid cells found for operation.</v>
      </c>
      <c r="AF74" s="15" t="str">
        <f>AND(FinPerf!J34,"AAAAAH/v+x8=")</f>
        <v>#VALUE!:noResult:No valid cells found for operation.</v>
      </c>
      <c r="AG74" s="15" t="str">
        <f>AND(FinPerf!K34,"AAAAAH/v+yA=")</f>
        <v>#VALUE!:noResult:No valid cells found for operation.</v>
      </c>
      <c r="AH74" s="15" t="str">
        <f>AND(FinPerf!L34,"AAAAAH/v+yE=")</f>
        <v>#VALUE!:noResult:No valid cells found for operation.</v>
      </c>
      <c r="AI74" s="15" t="str">
        <f>AND(FinPerf!M34,"AAAAAH/v+yI=")</f>
        <v>#VALUE!:noResult:No valid cells found for operation.</v>
      </c>
      <c r="AJ74" s="15" t="str">
        <f>AND(FinPerf!N34,"AAAAAH/v+yM=")</f>
        <v>#VALUE!:noResult:No valid cells found for operation.</v>
      </c>
      <c r="AK74" s="15" t="str">
        <f>AND(FinPerf!O34,"AAAAAH/v+yQ=")</f>
        <v>#VALUE!:noResult:No valid cells found for operation.</v>
      </c>
      <c r="AL74" s="15" t="str">
        <f>AND(FinPerf!P34,"AAAAAH/v+yU=")</f>
        <v>#VALUE!:noResult:No valid cells found for operation.</v>
      </c>
      <c r="AM74" s="15" t="str">
        <f>AND(FinPerf!Q34,"AAAAAH/v+yY=")</f>
        <v>#VALUE!:noResult:No valid cells found for operation.</v>
      </c>
      <c r="AN74" s="15" t="str">
        <f>AND(FinPerf!R34,"AAAAAH/v+yc=")</f>
        <v>#VALUE!:noResult:No valid cells found for operation.</v>
      </c>
      <c r="AO74" s="15" t="str">
        <f>AND(FinPerf!S34,"AAAAAH/v+yg=")</f>
        <v>#VALUE!:noResult:No valid cells found for operation.</v>
      </c>
      <c r="AP74" s="15" t="str">
        <f>AND(FinPerf!T34,"AAAAAH/v+yk=")</f>
        <v>#VALUE!:noResult:No valid cells found for operation.</v>
      </c>
      <c r="AQ74" s="15" t="str">
        <f>AND(FinPerf!U34,"AAAAAH/v+yo=")</f>
        <v>#VALUE!:noResult:No valid cells found for operation.</v>
      </c>
      <c r="AR74" s="15" t="str">
        <f>AND(FinPerf!V34,"AAAAAH/v+ys=")</f>
        <v>#VALUE!:noResult:No valid cells found for operation.</v>
      </c>
      <c r="AS74" s="15">
        <f>IF(FinPerf!R[-39],"AAAAAH/v+yw=",0)</f>
        <v>0</v>
      </c>
      <c r="AT74" s="15" t="str">
        <f>AND(FinPerf!A35,"AAAAAH/v+y0=")</f>
        <v>#VALUE!:noResult:No valid cells found for operation.</v>
      </c>
      <c r="AU74" s="15" t="str">
        <f>AND(FinPerf!B35,"AAAAAH/v+y4=")</f>
        <v>#VALUE!:noResult:No valid cells found for operation.</v>
      </c>
      <c r="AV74" s="15" t="str">
        <f>AND(FinPerf!C35,"AAAAAH/v+y8=")</f>
        <v>#VALUE!:noResult:No valid cells found for operation.</v>
      </c>
      <c r="AW74" s="15" t="b">
        <f>AND(FinPerf!D35,"AAAAAH/v+zA=")</f>
        <v>1</v>
      </c>
      <c r="AX74" s="15" t="str">
        <f>AND(FinPerf!E35,"AAAAAH/v+zE=")</f>
        <v>#VALUE!:noResult:No valid cells found for operation.</v>
      </c>
      <c r="AY74" s="15" t="str">
        <f>AND(FinPerf!F35,"AAAAAH/v+zI=")</f>
        <v>#VALUE!:noResult:No valid cells found for operation.</v>
      </c>
      <c r="AZ74" s="15" t="str">
        <f>AND(FinPerf!G35,"AAAAAH/v+zM=")</f>
        <v>#VALUE!:noResult:No valid cells found for operation.</v>
      </c>
      <c r="BA74" s="15" t="str">
        <f>AND(FinPerf!H35,"AAAAAH/v+zQ=")</f>
        <v>#VALUE!:noResult:No valid cells found for operation.</v>
      </c>
      <c r="BB74" s="15" t="str">
        <f>AND(FinPerf!I35,"AAAAAH/v+zU=")</f>
        <v>#VALUE!:noResult:No valid cells found for operation.</v>
      </c>
      <c r="BC74" s="15" t="str">
        <f>AND(FinPerf!J35,"AAAAAH/v+zY=")</f>
        <v>#VALUE!:noResult:No valid cells found for operation.</v>
      </c>
      <c r="BD74" s="15" t="str">
        <f>AND(FinPerf!K35,"AAAAAH/v+zc=")</f>
        <v>#VALUE!:noResult:No valid cells found for operation.</v>
      </c>
      <c r="BE74" s="15" t="str">
        <f>AND(FinPerf!L35,"AAAAAH/v+zg=")</f>
        <v>#VALUE!:noResult:No valid cells found for operation.</v>
      </c>
      <c r="BF74" s="15" t="str">
        <f>AND(FinPerf!M35,"AAAAAH/v+zk=")</f>
        <v>#VALUE!:noResult:No valid cells found for operation.</v>
      </c>
      <c r="BG74" s="15" t="str">
        <f>AND(FinPerf!N35,"AAAAAH/v+zo=")</f>
        <v>#VALUE!:noResult:No valid cells found for operation.</v>
      </c>
      <c r="BH74" s="15" t="str">
        <f>AND(FinPerf!O35,"AAAAAH/v+zs=")</f>
        <v>#VALUE!:noResult:No valid cells found for operation.</v>
      </c>
      <c r="BI74" s="15" t="str">
        <f>AND(FinPerf!P35,"AAAAAH/v+zw=")</f>
        <v>#VALUE!:noResult:No valid cells found for operation.</v>
      </c>
      <c r="BJ74" s="15" t="str">
        <f>AND(FinPerf!Q35,"AAAAAH/v+z0=")</f>
        <v>#VALUE!:noResult:No valid cells found for operation.</v>
      </c>
      <c r="BK74" s="15" t="str">
        <f>AND(FinPerf!R35,"AAAAAH/v+z4=")</f>
        <v>#VALUE!:noResult:No valid cells found for operation.</v>
      </c>
      <c r="BL74" s="15" t="str">
        <f>AND(FinPerf!S35,"AAAAAH/v+z8=")</f>
        <v>#VALUE!:noResult:No valid cells found for operation.</v>
      </c>
      <c r="BM74" s="15" t="str">
        <f>AND(FinPerf!T35,"AAAAAH/v+0A=")</f>
        <v>#VALUE!:noResult:No valid cells found for operation.</v>
      </c>
      <c r="BN74" s="15" t="str">
        <f>AND(FinPerf!U35,"AAAAAH/v+0E=")</f>
        <v>#VALUE!:noResult:No valid cells found for operation.</v>
      </c>
      <c r="BO74" s="15" t="str">
        <f>AND(FinPerf!V35,"AAAAAH/v+0I=")</f>
        <v>#VALUE!:noResult:No valid cells found for operation.</v>
      </c>
      <c r="BP74" s="15">
        <f>IF(FinPerf!R[-38],"AAAAAH/v+0M=",0)</f>
        <v>0</v>
      </c>
      <c r="BQ74" s="15" t="str">
        <f>AND(FinPerf!A36,"AAAAAH/v+0Q=")</f>
        <v>#VALUE!:noResult:No valid cells found for operation.</v>
      </c>
      <c r="BR74" s="15" t="str">
        <f>AND(FinPerf!B36,"AAAAAH/v+0U=")</f>
        <v>#VALUE!:noResult:No valid cells found for operation.</v>
      </c>
      <c r="BS74" s="15" t="str">
        <f>AND(FinPerf!C36,"AAAAAH/v+0Y=")</f>
        <v>#VALUE!:noResult:No valid cells found for operation.</v>
      </c>
      <c r="BT74" s="15" t="str">
        <f>AND(FinPerf!D36,"AAAAAH/v+0c=")</f>
        <v>#VALUE!:noResult:No valid cells found for operation.</v>
      </c>
      <c r="BU74" s="15" t="str">
        <f>AND(FinPerf!E36,"AAAAAH/v+0g=")</f>
        <v>#VALUE!:noResult:No valid cells found for operation.</v>
      </c>
      <c r="BV74" s="15" t="str">
        <f>AND(FinPerf!F36,"AAAAAH/v+0k=")</f>
        <v>#VALUE!:noResult:No valid cells found for operation.</v>
      </c>
      <c r="BW74" s="15" t="str">
        <f>AND(FinPerf!G36,"AAAAAH/v+0o=")</f>
        <v>#VALUE!:noResult:No valid cells found for operation.</v>
      </c>
      <c r="BX74" s="15" t="str">
        <f>AND(FinPerf!H36,"AAAAAH/v+0s=")</f>
        <v>#VALUE!:noResult:No valid cells found for operation.</v>
      </c>
      <c r="BY74" s="15" t="str">
        <f>AND(FinPerf!I36,"AAAAAH/v+0w=")</f>
        <v>#VALUE!:noResult:No valid cells found for operation.</v>
      </c>
      <c r="BZ74" s="15" t="str">
        <f>AND(FinPerf!J36,"AAAAAH/v+00=")</f>
        <v>#VALUE!:noResult:No valid cells found for operation.</v>
      </c>
      <c r="CA74" s="15" t="str">
        <f>AND(FinPerf!K36,"AAAAAH/v+04=")</f>
        <v>#VALUE!:noResult:No valid cells found for operation.</v>
      </c>
      <c r="CB74" s="15" t="str">
        <f>AND(FinPerf!L36,"AAAAAH/v+08=")</f>
        <v>#VALUE!:noResult:No valid cells found for operation.</v>
      </c>
      <c r="CC74" s="15" t="str">
        <f>AND(FinPerf!M36,"AAAAAH/v+1A=")</f>
        <v>#VALUE!:noResult:No valid cells found for operation.</v>
      </c>
      <c r="CD74" s="15" t="str">
        <f>AND(FinPerf!N36,"AAAAAH/v+1E=")</f>
        <v>#VALUE!:noResult:No valid cells found for operation.</v>
      </c>
      <c r="CE74" s="15" t="str">
        <f>AND(FinPerf!O36,"AAAAAH/v+1I=")</f>
        <v>#VALUE!:noResult:No valid cells found for operation.</v>
      </c>
      <c r="CF74" s="15" t="str">
        <f>AND(FinPerf!P36,"AAAAAH/v+1M=")</f>
        <v>#VALUE!:noResult:No valid cells found for operation.</v>
      </c>
      <c r="CG74" s="15" t="str">
        <f>AND(FinPerf!Q36,"AAAAAH/v+1Q=")</f>
        <v>#VALUE!:noResult:No valid cells found for operation.</v>
      </c>
      <c r="CH74" s="15" t="str">
        <f>AND(FinPerf!R36,"AAAAAH/v+1U=")</f>
        <v>#VALUE!:noResult:No valid cells found for operation.</v>
      </c>
      <c r="CI74" s="15" t="str">
        <f>AND(FinPerf!S36,"AAAAAH/v+1Y=")</f>
        <v>#VALUE!:noResult:No valid cells found for operation.</v>
      </c>
      <c r="CJ74" s="15" t="str">
        <f>AND(FinPerf!T36,"AAAAAH/v+1c=")</f>
        <v>#VALUE!:noResult:No valid cells found for operation.</v>
      </c>
      <c r="CK74" s="15" t="str">
        <f>AND(FinPerf!U36,"AAAAAH/v+1g=")</f>
        <v>#VALUE!:noResult:No valid cells found for operation.</v>
      </c>
      <c r="CL74" s="15" t="str">
        <f>AND(FinPerf!V36,"AAAAAH/v+1k=")</f>
        <v>#VALUE!:noResult:No valid cells found for operation.</v>
      </c>
      <c r="CM74" s="15">
        <f>IF(FinPerf!R[-37],"AAAAAH/v+1o=",0)</f>
        <v>0</v>
      </c>
      <c r="CN74" s="15" t="str">
        <f>AND(FinPerf!A37,"AAAAAH/v+1s=")</f>
        <v>#VALUE!:noResult:No valid cells found for operation.</v>
      </c>
      <c r="CO74" s="15" t="str">
        <f>AND(FinPerf!B37,"AAAAAH/v+1w=")</f>
        <v>#VALUE!:noResult:No valid cells found for operation.</v>
      </c>
      <c r="CP74" s="15" t="str">
        <f>AND(FinPerf!C37,"AAAAAH/v+10=")</f>
        <v>#VALUE!:noResult:No valid cells found for operation.</v>
      </c>
      <c r="CQ74" s="15" t="str">
        <f>AND(FinPerf!D37,"AAAAAH/v+14=")</f>
        <v>#VALUE!:noResult:No valid cells found for operation.</v>
      </c>
      <c r="CR74" s="15" t="str">
        <f>AND(FinPerf!E37,"AAAAAH/v+18=")</f>
        <v>#VALUE!:noResult:No valid cells found for operation.</v>
      </c>
      <c r="CS74" s="15" t="str">
        <f>AND(FinPerf!F37,"AAAAAH/v+2A=")</f>
        <v>#VALUE!:noResult:No valid cells found for operation.</v>
      </c>
      <c r="CT74" s="15" t="str">
        <f>AND(FinPerf!G37,"AAAAAH/v+2E=")</f>
        <v>#VALUE!:noResult:No valid cells found for operation.</v>
      </c>
      <c r="CU74" s="15" t="str">
        <f>AND(FinPerf!H37,"AAAAAH/v+2I=")</f>
        <v>#VALUE!:noResult:No valid cells found for operation.</v>
      </c>
      <c r="CV74" s="15" t="str">
        <f>AND(FinPerf!I37,"AAAAAH/v+2M=")</f>
        <v>#VALUE!:noResult:No valid cells found for operation.</v>
      </c>
      <c r="CW74" s="15" t="str">
        <f>AND(FinPerf!J37,"AAAAAH/v+2Q=")</f>
        <v>#VALUE!:noResult:No valid cells found for operation.</v>
      </c>
      <c r="CX74" s="15" t="str">
        <f>AND(FinPerf!K37,"AAAAAH/v+2U=")</f>
        <v>#VALUE!:noResult:No valid cells found for operation.</v>
      </c>
      <c r="CY74" s="15" t="str">
        <f>AND(FinPerf!L37,"AAAAAH/v+2Y=")</f>
        <v>#VALUE!:noResult:No valid cells found for operation.</v>
      </c>
      <c r="CZ74" s="15" t="str">
        <f>AND(FinPerf!M37,"AAAAAH/v+2c=")</f>
        <v>#VALUE!:noResult:No valid cells found for operation.</v>
      </c>
      <c r="DA74" s="15" t="str">
        <f>AND(FinPerf!N37,"AAAAAH/v+2g=")</f>
        <v>#VALUE!:noResult:No valid cells found for operation.</v>
      </c>
      <c r="DB74" s="15" t="str">
        <f>AND(FinPerf!O37,"AAAAAH/v+2k=")</f>
        <v>#VALUE!:noResult:No valid cells found for operation.</v>
      </c>
      <c r="DC74" s="15" t="str">
        <f>AND(FinPerf!P37,"AAAAAH/v+2o=")</f>
        <v>#VALUE!:noResult:No valid cells found for operation.</v>
      </c>
      <c r="DD74" s="15" t="str">
        <f>AND(FinPerf!Q37,"AAAAAH/v+2s=")</f>
        <v>#VALUE!:noResult:No valid cells found for operation.</v>
      </c>
      <c r="DE74" s="15" t="str">
        <f>AND(FinPerf!R37,"AAAAAH/v+2w=")</f>
        <v>#VALUE!:noResult:No valid cells found for operation.</v>
      </c>
      <c r="DF74" s="15" t="str">
        <f>AND(FinPerf!S37,"AAAAAH/v+20=")</f>
        <v>#VALUE!:noResult:No valid cells found for operation.</v>
      </c>
      <c r="DG74" s="15" t="str">
        <f>AND(FinPerf!T37,"AAAAAH/v+24=")</f>
        <v>#VALUE!:noResult:No valid cells found for operation.</v>
      </c>
      <c r="DH74" s="15" t="str">
        <f>AND(FinPerf!U37,"AAAAAH/v+28=")</f>
        <v>#VALUE!:noResult:No valid cells found for operation.</v>
      </c>
      <c r="DI74" s="15" t="str">
        <f>AND(FinPerf!V37,"AAAAAH/v+3A=")</f>
        <v>#VALUE!:noResult:No valid cells found for operation.</v>
      </c>
      <c r="DJ74" s="15">
        <f>IF(FinPerf!R[-36],"AAAAAH/v+3E=",0)</f>
        <v>0</v>
      </c>
      <c r="DK74" s="15" t="b">
        <f>AND(FinPerf!A38,"AAAAAH/v+3I=")</f>
        <v>1</v>
      </c>
      <c r="DL74" s="15" t="str">
        <f>AND(FinPerf!B38,"AAAAAH/v+3M=")</f>
        <v>#VALUE!:noResult:No valid cells found for operation.</v>
      </c>
      <c r="DM74" s="15" t="b">
        <f>AND(FinPerf!C38,"AAAAAH/v+3Q=")</f>
        <v>0</v>
      </c>
      <c r="DN74" s="15" t="str">
        <f>AND(FinPerf!D38,"AAAAAH/v+3U=")</f>
        <v>#VALUE!:noResult:No valid cells found for operation.</v>
      </c>
      <c r="DO74" s="15" t="str">
        <f>AND(FinPerf!E38,"AAAAAH/v+3Y=")</f>
        <v>#VALUE!:noResult:No valid cells found for operation.</v>
      </c>
      <c r="DP74" s="15" t="str">
        <f>AND(FinPerf!F38,"AAAAAH/v+3c=")</f>
        <v>#VALUE!:noResult:No valid cells found for operation.</v>
      </c>
      <c r="DQ74" s="15" t="str">
        <f>AND(FinPerf!G38,"AAAAAH/v+3g=")</f>
        <v>#VALUE!:noResult:No valid cells found for operation.</v>
      </c>
      <c r="DR74" s="15" t="str">
        <f>AND(FinPerf!H38,"AAAAAH/v+3k=")</f>
        <v>#VALUE!:noResult:No valid cells found for operation.</v>
      </c>
      <c r="DS74" s="15" t="str">
        <f>AND(FinPerf!I38,"AAAAAH/v+3o=")</f>
        <v>#VALUE!:noResult:No valid cells found for operation.</v>
      </c>
      <c r="DT74" s="15" t="str">
        <f>AND(FinPerf!J38,"AAAAAH/v+3s=")</f>
        <v>#VALUE!:noResult:No valid cells found for operation.</v>
      </c>
      <c r="DU74" s="15" t="str">
        <f>AND(FinPerf!K38,"AAAAAH/v+3w=")</f>
        <v>#VALUE!:noResult:No valid cells found for operation.</v>
      </c>
      <c r="DV74" s="15" t="str">
        <f>AND(FinPerf!L38,"AAAAAH/v+30=")</f>
        <v>#VALUE!:noResult:No valid cells found for operation.</v>
      </c>
      <c r="DW74" s="15" t="str">
        <f>AND(FinPerf!M38,"AAAAAH/v+34=")</f>
        <v>#VALUE!:noResult:No valid cells found for operation.</v>
      </c>
      <c r="DX74" s="15" t="str">
        <f>AND(FinPerf!N38,"AAAAAH/v+38=")</f>
        <v>#VALUE!:noResult:No valid cells found for operation.</v>
      </c>
      <c r="DY74" s="15" t="str">
        <f>AND(FinPerf!O38,"AAAAAH/v+4A=")</f>
        <v>#VALUE!:noResult:No valid cells found for operation.</v>
      </c>
      <c r="DZ74" s="15" t="str">
        <f>AND(FinPerf!P38,"AAAAAH/v+4E=")</f>
        <v>#VALUE!:noResult:No valid cells found for operation.</v>
      </c>
      <c r="EA74" s="15" t="str">
        <f>AND(FinPerf!Q38,"AAAAAH/v+4I=")</f>
        <v>#VALUE!:noResult:No valid cells found for operation.</v>
      </c>
      <c r="EB74" s="15" t="str">
        <f>AND(FinPerf!R38,"AAAAAH/v+4M=")</f>
        <v>#VALUE!:noResult:No valid cells found for operation.</v>
      </c>
      <c r="EC74" s="15" t="str">
        <f>AND(FinPerf!S38,"AAAAAH/v+4Q=")</f>
        <v>#VALUE!:noResult:No valid cells found for operation.</v>
      </c>
      <c r="ED74" s="15" t="str">
        <f>AND(FinPerf!T38,"AAAAAH/v+4U=")</f>
        <v>#VALUE!:noResult:No valid cells found for operation.</v>
      </c>
      <c r="EE74" s="15" t="str">
        <f>AND(FinPerf!U38,"AAAAAH/v+4Y=")</f>
        <v>#VALUE!:noResult:No valid cells found for operation.</v>
      </c>
      <c r="EF74" s="15" t="str">
        <f>AND(FinPerf!V38,"AAAAAH/v+4c=")</f>
        <v>#VALUE!:noResult:No valid cells found for operation.</v>
      </c>
      <c r="EG74" s="15">
        <f>IF(FinPerf!R[-35],"AAAAAH/v+4g=",0)</f>
        <v>0</v>
      </c>
      <c r="EH74" s="15" t="b">
        <f>AND(FinPerf!A39,"AAAAAH/v+4k=")</f>
        <v>1</v>
      </c>
      <c r="EI74" s="15" t="str">
        <f>AND(FinPerf!B39,"AAAAAH/v+4o=")</f>
        <v>#VALUE!:noResult:No valid cells found for operation.</v>
      </c>
      <c r="EJ74" s="15" t="b">
        <f>AND(FinPerf!C39,"AAAAAH/v+4s=")</f>
        <v>0</v>
      </c>
      <c r="EK74" s="15" t="str">
        <f>AND(FinPerf!D39,"AAAAAH/v+4w=")</f>
        <v>#VALUE!:noResult:No valid cells found for operation.</v>
      </c>
      <c r="EL74" s="15" t="str">
        <f>AND(FinPerf!E39,"AAAAAH/v+40=")</f>
        <v>#VALUE!:noResult:No valid cells found for operation.</v>
      </c>
      <c r="EM74" s="15" t="str">
        <f>AND(FinPerf!F39,"AAAAAH/v+44=")</f>
        <v>#VALUE!:noResult:No valid cells found for operation.</v>
      </c>
      <c r="EN74" s="15" t="str">
        <f>AND(FinPerf!G39,"AAAAAH/v+48=")</f>
        <v>#VALUE!:noResult:No valid cells found for operation.</v>
      </c>
      <c r="EO74" s="15" t="str">
        <f>AND(FinPerf!H39,"AAAAAH/v+5A=")</f>
        <v>#VALUE!:noResult:No valid cells found for operation.</v>
      </c>
      <c r="EP74" s="15" t="str">
        <f>AND(FinPerf!I39,"AAAAAH/v+5E=")</f>
        <v>#VALUE!:noResult:No valid cells found for operation.</v>
      </c>
      <c r="EQ74" s="15" t="str">
        <f>AND(FinPerf!J39,"AAAAAH/v+5I=")</f>
        <v>#VALUE!:noResult:No valid cells found for operation.</v>
      </c>
      <c r="ER74" s="15" t="str">
        <f>AND(FinPerf!K39,"AAAAAH/v+5M=")</f>
        <v>#VALUE!:noResult:No valid cells found for operation.</v>
      </c>
      <c r="ES74" s="15" t="str">
        <f>AND(FinPerf!L39,"AAAAAH/v+5Q=")</f>
        <v>#VALUE!:noResult:No valid cells found for operation.</v>
      </c>
      <c r="ET74" s="15" t="str">
        <f>AND(FinPerf!M39,"AAAAAH/v+5U=")</f>
        <v>#VALUE!:noResult:No valid cells found for operation.</v>
      </c>
      <c r="EU74" s="15" t="str">
        <f>AND(FinPerf!N39,"AAAAAH/v+5Y=")</f>
        <v>#VALUE!:noResult:No valid cells found for operation.</v>
      </c>
      <c r="EV74" s="15" t="str">
        <f>AND(FinPerf!O39,"AAAAAH/v+5c=")</f>
        <v>#VALUE!:noResult:No valid cells found for operation.</v>
      </c>
      <c r="EW74" s="15" t="str">
        <f>AND(FinPerf!P39,"AAAAAH/v+5g=")</f>
        <v>#VALUE!:noResult:No valid cells found for operation.</v>
      </c>
      <c r="EX74" s="15" t="str">
        <f>AND(FinPerf!Q39,"AAAAAH/v+5k=")</f>
        <v>#VALUE!:noResult:No valid cells found for operation.</v>
      </c>
      <c r="EY74" s="15" t="str">
        <f>AND(FinPerf!R39,"AAAAAH/v+5o=")</f>
        <v>#VALUE!:noResult:No valid cells found for operation.</v>
      </c>
      <c r="EZ74" s="15" t="str">
        <f>AND(FinPerf!S39,"AAAAAH/v+5s=")</f>
        <v>#VALUE!:noResult:No valid cells found for operation.</v>
      </c>
      <c r="FA74" s="15" t="str">
        <f>AND(FinPerf!T39,"AAAAAH/v+5w=")</f>
        <v>#VALUE!:noResult:No valid cells found for operation.</v>
      </c>
      <c r="FB74" s="15" t="str">
        <f>AND(FinPerf!U39,"AAAAAH/v+50=")</f>
        <v>#VALUE!:noResult:No valid cells found for operation.</v>
      </c>
      <c r="FC74" s="15" t="str">
        <f>AND(FinPerf!V39,"AAAAAH/v+54=")</f>
        <v>#VALUE!:noResult:No valid cells found for operation.</v>
      </c>
      <c r="FD74" s="15">
        <f>IF(FinPerf!R[-34],"AAAAAH/v+58=",0)</f>
        <v>0</v>
      </c>
      <c r="FE74" s="15" t="str">
        <f>AND(FinPerf!A40,"AAAAAH/v+6A=")</f>
        <v>#VALUE!:noResult:No valid cells found for operation.</v>
      </c>
      <c r="FF74" s="15" t="str">
        <f>AND(FinPerf!B40,"AAAAAH/v+6E=")</f>
        <v>#VALUE!:noResult:No valid cells found for operation.</v>
      </c>
      <c r="FG74" s="15" t="str">
        <f>AND(FinPerf!C40,"AAAAAH/v+6I=")</f>
        <v>#VALUE!:noResult:No valid cells found for operation.</v>
      </c>
      <c r="FH74" s="15" t="b">
        <f>AND(FinPerf!D40,"AAAAAH/v+6M=")</f>
        <v>0</v>
      </c>
      <c r="FI74" s="15" t="str">
        <f>AND(FinPerf!E40,"AAAAAH/v+6Q=")</f>
        <v>#VALUE!:noResult:No valid cells found for operation.</v>
      </c>
      <c r="FJ74" s="15" t="str">
        <f>AND(FinPerf!F40,"AAAAAH/v+6U=")</f>
        <v>#VALUE!:noResult:No valid cells found for operation.</v>
      </c>
      <c r="FK74" s="15" t="str">
        <f>AND(FinPerf!G40,"AAAAAH/v+6Y=")</f>
        <v>#VALUE!:noResult:No valid cells found for operation.</v>
      </c>
      <c r="FL74" s="15" t="str">
        <f>AND(FinPerf!H40,"AAAAAH/v+6c=")</f>
        <v>#VALUE!:noResult:No valid cells found for operation.</v>
      </c>
      <c r="FM74" s="15" t="str">
        <f>AND(FinPerf!I40,"AAAAAH/v+6g=")</f>
        <v>#VALUE!:noResult:No valid cells found for operation.</v>
      </c>
      <c r="FN74" s="15" t="str">
        <f>AND(FinPerf!J40,"AAAAAH/v+6k=")</f>
        <v>#VALUE!:noResult:No valid cells found for operation.</v>
      </c>
      <c r="FO74" s="15" t="str">
        <f>AND(FinPerf!K40,"AAAAAH/v+6o=")</f>
        <v>#VALUE!:noResult:No valid cells found for operation.</v>
      </c>
      <c r="FP74" s="15" t="str">
        <f>AND(FinPerf!L40,"AAAAAH/v+6s=")</f>
        <v>#VALUE!:noResult:No valid cells found for operation.</v>
      </c>
      <c r="FQ74" s="15" t="str">
        <f>AND(FinPerf!M40,"AAAAAH/v+6w=")</f>
        <v>#VALUE!:noResult:No valid cells found for operation.</v>
      </c>
      <c r="FR74" s="15" t="str">
        <f>AND(FinPerf!N40,"AAAAAH/v+60=")</f>
        <v>#VALUE!:noResult:No valid cells found for operation.</v>
      </c>
      <c r="FS74" s="15" t="str">
        <f>AND(FinPerf!O40,"AAAAAH/v+64=")</f>
        <v>#VALUE!:noResult:No valid cells found for operation.</v>
      </c>
      <c r="FT74" s="15" t="str">
        <f>AND(FinPerf!P40,"AAAAAH/v+68=")</f>
        <v>#VALUE!:noResult:No valid cells found for operation.</v>
      </c>
      <c r="FU74" s="15" t="str">
        <f>AND(FinPerf!Q40,"AAAAAH/v+7A=")</f>
        <v>#VALUE!:noResult:No valid cells found for operation.</v>
      </c>
      <c r="FV74" s="15" t="str">
        <f>AND(FinPerf!R40,"AAAAAH/v+7E=")</f>
        <v>#VALUE!:noResult:No valid cells found for operation.</v>
      </c>
      <c r="FW74" s="15" t="str">
        <f>AND(FinPerf!S40,"AAAAAH/v+7I=")</f>
        <v>#VALUE!:noResult:No valid cells found for operation.</v>
      </c>
      <c r="FX74" s="15" t="str">
        <f>AND(FinPerf!T40,"AAAAAH/v+7M=")</f>
        <v>#VALUE!:noResult:No valid cells found for operation.</v>
      </c>
      <c r="FY74" s="15" t="str">
        <f>AND(FinPerf!U40,"AAAAAH/v+7Q=")</f>
        <v>#VALUE!:noResult:No valid cells found for operation.</v>
      </c>
      <c r="FZ74" s="15" t="str">
        <f>AND(FinPerf!V40,"AAAAAH/v+7U=")</f>
        <v>#VALUE!:noResult:No valid cells found for operation.</v>
      </c>
      <c r="GA74" s="15">
        <f>IF(FinPerf!R[-33],"AAAAAH/v+7Y=",0)</f>
        <v>0</v>
      </c>
      <c r="GB74" s="15" t="str">
        <f>AND(FinPerf!A41,"AAAAAH/v+7c=")</f>
        <v>#VALUE!:noResult:No valid cells found for operation.</v>
      </c>
      <c r="GC74" s="15" t="str">
        <f>AND(FinPerf!B41,"AAAAAH/v+7g=")</f>
        <v>#VALUE!:noResult:No valid cells found for operation.</v>
      </c>
      <c r="GD74" s="15" t="str">
        <f>AND(FinPerf!C41,"AAAAAH/v+7k=")</f>
        <v>#VALUE!:noResult:No valid cells found for operation.</v>
      </c>
      <c r="GE74" s="15" t="str">
        <f>AND(FinPerf!D41,"AAAAAH/v+7o=")</f>
        <v>#VALUE!:noResult:No valid cells found for operation.</v>
      </c>
      <c r="GF74" s="15" t="b">
        <f>AND(FinPerf!E41,"AAAAAH/v+7s=")</f>
        <v>1</v>
      </c>
      <c r="GG74" s="15" t="str">
        <f>AND(FinPerf!F41,"AAAAAH/v+7w=")</f>
        <v>#VALUE!:noResult:No valid cells found for operation.</v>
      </c>
      <c r="GH74" s="15" t="str">
        <f>AND(FinPerf!G41,"AAAAAH/v+70=")</f>
        <v>#VALUE!:noResult:No valid cells found for operation.</v>
      </c>
      <c r="GI74" s="15" t="str">
        <f>AND(FinPerf!H41,"AAAAAH/v+74=")</f>
        <v>#VALUE!:noResult:No valid cells found for operation.</v>
      </c>
      <c r="GJ74" s="15" t="str">
        <f>AND(FinPerf!I41,"AAAAAH/v+78=")</f>
        <v>#VALUE!:noResult:No valid cells found for operation.</v>
      </c>
      <c r="GK74" s="15" t="str">
        <f>AND(FinPerf!J41,"AAAAAH/v+8A=")</f>
        <v>#VALUE!:noResult:No valid cells found for operation.</v>
      </c>
      <c r="GL74" s="15" t="str">
        <f>AND(FinPerf!K41,"AAAAAH/v+8E=")</f>
        <v>#VALUE!:noResult:No valid cells found for operation.</v>
      </c>
      <c r="GM74" s="15" t="str">
        <f>AND(FinPerf!L41,"AAAAAH/v+8I=")</f>
        <v>#VALUE!:noResult:No valid cells found for operation.</v>
      </c>
      <c r="GN74" s="15" t="str">
        <f>AND(FinPerf!M41,"AAAAAH/v+8M=")</f>
        <v>#VALUE!:noResult:No valid cells found for operation.</v>
      </c>
      <c r="GO74" s="15" t="str">
        <f>AND(FinPerf!N41,"AAAAAH/v+8Q=")</f>
        <v>#VALUE!:noResult:No valid cells found for operation.</v>
      </c>
      <c r="GP74" s="15" t="str">
        <f>AND(FinPerf!O41,"AAAAAH/v+8U=")</f>
        <v>#VALUE!:noResult:No valid cells found for operation.</v>
      </c>
      <c r="GQ74" s="15" t="str">
        <f>AND(FinPerf!P41,"AAAAAH/v+8Y=")</f>
        <v>#VALUE!:noResult:No valid cells found for operation.</v>
      </c>
      <c r="GR74" s="15" t="str">
        <f>AND(FinPerf!Q41,"AAAAAH/v+8c=")</f>
        <v>#VALUE!:noResult:No valid cells found for operation.</v>
      </c>
      <c r="GS74" s="15" t="str">
        <f>AND(FinPerf!R41,"AAAAAH/v+8g=")</f>
        <v>#VALUE!:noResult:No valid cells found for operation.</v>
      </c>
      <c r="GT74" s="15" t="str">
        <f>AND(FinPerf!S41,"AAAAAH/v+8k=")</f>
        <v>#VALUE!:noResult:No valid cells found for operation.</v>
      </c>
      <c r="GU74" s="15" t="str">
        <f>AND(FinPerf!T41,"AAAAAH/v+8o=")</f>
        <v>#VALUE!:noResult:No valid cells found for operation.</v>
      </c>
      <c r="GV74" s="15" t="str">
        <f>AND(FinPerf!U41,"AAAAAH/v+8s=")</f>
        <v>#VALUE!:noResult:No valid cells found for operation.</v>
      </c>
      <c r="GW74" s="15" t="str">
        <f>AND(FinPerf!V41,"AAAAAH/v+8w=")</f>
        <v>#VALUE!:noResult:No valid cells found for operation.</v>
      </c>
      <c r="GX74" s="15">
        <f>IF(FinPerf!R[-32],"AAAAAH/v+80=",0)</f>
        <v>0</v>
      </c>
      <c r="GY74" s="15" t="str">
        <f>AND(FinPerf!A42,"AAAAAH/v+84=")</f>
        <v>#VALUE!:noResult:No valid cells found for operation.</v>
      </c>
      <c r="GZ74" s="15" t="str">
        <f>AND(FinPerf!B42,"AAAAAH/v+88=")</f>
        <v>#VALUE!:noResult:No valid cells found for operation.</v>
      </c>
      <c r="HA74" s="15" t="str">
        <f>AND(FinPerf!C42,"AAAAAH/v+9A=")</f>
        <v>#VALUE!:noResult:No valid cells found for operation.</v>
      </c>
      <c r="HB74" s="15" t="str">
        <f>AND(FinPerf!D42,"AAAAAH/v+9E=")</f>
        <v>#VALUE!:noResult:No valid cells found for operation.</v>
      </c>
      <c r="HC74" s="15" t="str">
        <f>AND(FinPerf!E42,"AAAAAH/v+9I=")</f>
        <v>#VALUE!:noResult:No valid cells found for operation.</v>
      </c>
      <c r="HD74" s="15" t="str">
        <f>AND(FinPerf!F42,"AAAAAH/v+9M=")</f>
        <v>#VALUE!:noResult:No valid cells found for operation.</v>
      </c>
      <c r="HE74" s="15" t="str">
        <f>AND(FinPerf!G42,"AAAAAH/v+9Q=")</f>
        <v>#VALUE!:noResult:No valid cells found for operation.</v>
      </c>
      <c r="HF74" s="15" t="str">
        <f>AND(FinPerf!H42,"AAAAAH/v+9U=")</f>
        <v>#VALUE!:noResult:No valid cells found for operation.</v>
      </c>
      <c r="HG74" s="15" t="str">
        <f>AND(FinPerf!I42,"AAAAAH/v+9Y=")</f>
        <v>#VALUE!:noResult:No valid cells found for operation.</v>
      </c>
      <c r="HH74" s="15" t="str">
        <f>AND(FinPerf!J42,"AAAAAH/v+9c=")</f>
        <v>#VALUE!:noResult:No valid cells found for operation.</v>
      </c>
      <c r="HI74" s="15" t="str">
        <f>AND(FinPerf!K42,"AAAAAH/v+9g=")</f>
        <v>#VALUE!:noResult:No valid cells found for operation.</v>
      </c>
      <c r="HJ74" s="15" t="str">
        <f>AND(FinPerf!L42,"AAAAAH/v+9k=")</f>
        <v>#VALUE!:noResult:No valid cells found for operation.</v>
      </c>
      <c r="HK74" s="15" t="str">
        <f>AND(FinPerf!M42,"AAAAAH/v+9o=")</f>
        <v>#VALUE!:noResult:No valid cells found for operation.</v>
      </c>
      <c r="HL74" s="15" t="str">
        <f>AND(FinPerf!N42,"AAAAAH/v+9s=")</f>
        <v>#VALUE!:noResult:No valid cells found for operation.</v>
      </c>
      <c r="HM74" s="15" t="str">
        <f>AND(FinPerf!O42,"AAAAAH/v+9w=")</f>
        <v>#VALUE!:noResult:No valid cells found for operation.</v>
      </c>
      <c r="HN74" s="15" t="str">
        <f>AND(FinPerf!P42,"AAAAAH/v+90=")</f>
        <v>#VALUE!:noResult:No valid cells found for operation.</v>
      </c>
      <c r="HO74" s="15" t="str">
        <f>AND(FinPerf!Q42,"AAAAAH/v+94=")</f>
        <v>#VALUE!:noResult:No valid cells found for operation.</v>
      </c>
      <c r="HP74" s="15" t="str">
        <f>AND(FinPerf!R42,"AAAAAH/v+98=")</f>
        <v>#VALUE!:noResult:No valid cells found for operation.</v>
      </c>
      <c r="HQ74" s="15" t="str">
        <f>AND(FinPerf!S42,"AAAAAH/v++A=")</f>
        <v>#VALUE!:noResult:No valid cells found for operation.</v>
      </c>
      <c r="HR74" s="15" t="str">
        <f>AND(FinPerf!T42,"AAAAAH/v++E=")</f>
        <v>#VALUE!:noResult:No valid cells found for operation.</v>
      </c>
      <c r="HS74" s="15" t="str">
        <f>AND(FinPerf!U42,"AAAAAH/v++I=")</f>
        <v>#VALUE!:noResult:No valid cells found for operation.</v>
      </c>
      <c r="HT74" s="15" t="str">
        <f>AND(FinPerf!V42,"AAAAAH/v++M=")</f>
        <v>#VALUE!:noResult:No valid cells found for operation.</v>
      </c>
      <c r="HU74" s="15">
        <f>IF(FinPerf!R[-31],"AAAAAH/v++Q=",0)</f>
        <v>0</v>
      </c>
      <c r="HV74" s="15" t="str">
        <f>AND(FinPerf!A43,"AAAAAH/v++U=")</f>
        <v>#VALUE!:noResult:No valid cells found for operation.</v>
      </c>
      <c r="HW74" s="15" t="str">
        <f>AND(FinPerf!B43,"AAAAAH/v++Y=")</f>
        <v>#VALUE!:noResult:No valid cells found for operation.</v>
      </c>
      <c r="HX74" s="15" t="str">
        <f>AND(FinPerf!C43,"AAAAAH/v++c=")</f>
        <v>#VALUE!:noResult:No valid cells found for operation.</v>
      </c>
      <c r="HY74" s="15" t="str">
        <f>AND(FinPerf!D43,"AAAAAH/v++g=")</f>
        <v>#VALUE!:noResult:No valid cells found for operation.</v>
      </c>
      <c r="HZ74" s="15" t="str">
        <f>AND(FinPerf!E43,"AAAAAH/v++k=")</f>
        <v>#VALUE!:noResult:No valid cells found for operation.</v>
      </c>
      <c r="IA74" s="15" t="str">
        <f>AND(FinPerf!F43,"AAAAAH/v++o=")</f>
        <v>#VALUE!:noResult:No valid cells found for operation.</v>
      </c>
      <c r="IB74" s="15" t="str">
        <f>AND(FinPerf!G43,"AAAAAH/v++s=")</f>
        <v>#VALUE!:noResult:No valid cells found for operation.</v>
      </c>
      <c r="IC74" s="15" t="str">
        <f>AND(FinPerf!H43,"AAAAAH/v++w=")</f>
        <v>#VALUE!:noResult:No valid cells found for operation.</v>
      </c>
      <c r="ID74" s="15" t="str">
        <f>AND(FinPerf!I43,"AAAAAH/v++0=")</f>
        <v>#VALUE!:noResult:No valid cells found for operation.</v>
      </c>
      <c r="IE74" s="15" t="str">
        <f>AND(FinPerf!J43,"AAAAAH/v++4=")</f>
        <v>#VALUE!:noResult:No valid cells found for operation.</v>
      </c>
      <c r="IF74" s="15" t="str">
        <f>AND(FinPerf!K43,"AAAAAH/v++8=")</f>
        <v>#VALUE!:noResult:No valid cells found for operation.</v>
      </c>
      <c r="IG74" s="15" t="str">
        <f>AND(FinPerf!L43,"AAAAAH/v+/A=")</f>
        <v>#VALUE!:noResult:No valid cells found for operation.</v>
      </c>
      <c r="IH74" s="15" t="str">
        <f>AND(FinPerf!M43,"AAAAAH/v+/E=")</f>
        <v>#VALUE!:noResult:No valid cells found for operation.</v>
      </c>
      <c r="II74" s="15" t="str">
        <f>AND(FinPerf!N43,"AAAAAH/v+/I=")</f>
        <v>#VALUE!:noResult:No valid cells found for operation.</v>
      </c>
      <c r="IJ74" s="15" t="str">
        <f>AND(FinPerf!O43,"AAAAAH/v+/M=")</f>
        <v>#VALUE!:noResult:No valid cells found for operation.</v>
      </c>
      <c r="IK74" s="15" t="str">
        <f>AND(FinPerf!P43,"AAAAAH/v+/Q=")</f>
        <v>#VALUE!:noResult:No valid cells found for operation.</v>
      </c>
      <c r="IL74" s="15" t="str">
        <f>AND(FinPerf!Q43,"AAAAAH/v+/U=")</f>
        <v>#VALUE!:noResult:No valid cells found for operation.</v>
      </c>
      <c r="IM74" s="15" t="str">
        <f>AND(FinPerf!R43,"AAAAAH/v+/Y=")</f>
        <v>#VALUE!:noResult:No valid cells found for operation.</v>
      </c>
      <c r="IN74" s="15" t="str">
        <f>AND(FinPerf!S43,"AAAAAH/v+/c=")</f>
        <v>#VALUE!:noResult:No valid cells found for operation.</v>
      </c>
      <c r="IO74" s="15" t="str">
        <f>AND(FinPerf!T43,"AAAAAH/v+/g=")</f>
        <v>#VALUE!:noResult:No valid cells found for operation.</v>
      </c>
      <c r="IP74" s="15" t="str">
        <f>AND(FinPerf!U43,"AAAAAH/v+/k=")</f>
        <v>#VALUE!:noResult:No valid cells found for operation.</v>
      </c>
      <c r="IQ74" s="15" t="str">
        <f>AND(FinPerf!V43,"AAAAAH/v+/o=")</f>
        <v>#VALUE!:noResult:No valid cells found for operation.</v>
      </c>
      <c r="IR74" s="15">
        <f>IF(FinPerf!R[-30],"AAAAAH/v+/s=",0)</f>
        <v>0</v>
      </c>
      <c r="IS74" s="15" t="str">
        <f>AND(FinPerf!A44,"AAAAAH/v+/w=")</f>
        <v>#VALUE!:noResult:No valid cells found for operation.</v>
      </c>
      <c r="IT74" s="15" t="str">
        <f>AND(FinPerf!B44,"AAAAAH/v+/0=")</f>
        <v>#VALUE!:noResult:No valid cells found for operation.</v>
      </c>
      <c r="IU74" s="15" t="str">
        <f>AND(FinPerf!C44,"AAAAAH/v+/4=")</f>
        <v>#VALUE!:noResult:No valid cells found for operation.</v>
      </c>
      <c r="IV74" s="15" t="str">
        <f>AND(FinPerf!D44,"AAAAAH/v+/8=")</f>
        <v>#VALUE!:noResult:No valid cells found for operation.</v>
      </c>
    </row>
    <row r="75">
      <c r="A75" s="15" t="str">
        <f>AND(FinPerf!E44,"AAAAAE/VdwA=")</f>
        <v>#VALUE!:noResult:No valid cells found for operation.</v>
      </c>
      <c r="B75" s="15" t="str">
        <f>AND(FinPerf!F44,"AAAAAE/VdwE=")</f>
        <v>#VALUE!:noResult:No valid cells found for operation.</v>
      </c>
      <c r="C75" s="15" t="str">
        <f>AND(FinPerf!G44,"AAAAAE/VdwI=")</f>
        <v>#VALUE!:noResult:No valid cells found for operation.</v>
      </c>
      <c r="D75" s="15" t="str">
        <f>AND(FinPerf!H44,"AAAAAE/VdwM=")</f>
        <v>#VALUE!:noResult:No valid cells found for operation.</v>
      </c>
      <c r="E75" s="15" t="str">
        <f>AND(FinPerf!I44,"AAAAAE/VdwQ=")</f>
        <v>#VALUE!:noResult:No valid cells found for operation.</v>
      </c>
      <c r="F75" s="15" t="str">
        <f>AND(FinPerf!J44,"AAAAAE/VdwU=")</f>
        <v>#VALUE!:noResult:No valid cells found for operation.</v>
      </c>
      <c r="G75" s="15" t="str">
        <f>AND(FinPerf!K44,"AAAAAE/VdwY=")</f>
        <v>#VALUE!:noResult:No valid cells found for operation.</v>
      </c>
      <c r="H75" s="15" t="str">
        <f>AND(FinPerf!L44,"AAAAAE/Vdwc=")</f>
        <v>#VALUE!:noResult:No valid cells found for operation.</v>
      </c>
      <c r="I75" s="15" t="str">
        <f>AND(FinPerf!M44,"AAAAAE/Vdwg=")</f>
        <v>#VALUE!:noResult:No valid cells found for operation.</v>
      </c>
      <c r="J75" s="15" t="str">
        <f>AND(FinPerf!N44,"AAAAAE/Vdwk=")</f>
        <v>#VALUE!:noResult:No valid cells found for operation.</v>
      </c>
      <c r="K75" s="15" t="str">
        <f>AND(FinPerf!O44,"AAAAAE/Vdwo=")</f>
        <v>#VALUE!:noResult:No valid cells found for operation.</v>
      </c>
      <c r="L75" s="15" t="str">
        <f>AND(FinPerf!P44,"AAAAAE/Vdws=")</f>
        <v>#VALUE!:noResult:No valid cells found for operation.</v>
      </c>
      <c r="M75" s="15" t="str">
        <f>AND(FinPerf!Q44,"AAAAAE/Vdww=")</f>
        <v>#VALUE!:noResult:No valid cells found for operation.</v>
      </c>
      <c r="N75" s="15" t="str">
        <f>AND(FinPerf!R44,"AAAAAE/Vdw0=")</f>
        <v>#VALUE!:noResult:No valid cells found for operation.</v>
      </c>
      <c r="O75" s="15" t="str">
        <f>AND(FinPerf!S44,"AAAAAE/Vdw4=")</f>
        <v>#VALUE!:noResult:No valid cells found for operation.</v>
      </c>
      <c r="P75" s="15" t="str">
        <f>AND(FinPerf!T44,"AAAAAE/Vdw8=")</f>
        <v>#VALUE!:noResult:No valid cells found for operation.</v>
      </c>
      <c r="Q75" s="15" t="str">
        <f>AND(FinPerf!U44,"AAAAAE/VdxA=")</f>
        <v>#VALUE!:noResult:No valid cells found for operation.</v>
      </c>
      <c r="R75" s="15" t="str">
        <f>AND(FinPerf!V44,"AAAAAE/VdxE=")</f>
        <v>#VALUE!:noResult:No valid cells found for operation.</v>
      </c>
      <c r="S75" s="15" t="str">
        <f>#REF!</f>
        <v>#REF!:refOutOfRange</v>
      </c>
      <c r="T75" s="15" t="b">
        <f>AND(FinPerf!A55,"AAAAAE/VdxM=")</f>
        <v>1</v>
      </c>
      <c r="U75" s="15" t="str">
        <f>AND(FinPerf!B55,"AAAAAE/VdxQ=")</f>
        <v>#VALUE!:noResult:No valid cells found for operation.</v>
      </c>
      <c r="V75" s="15" t="b">
        <f>AND(FinPerf!C55,"AAAAAE/VdxU=")</f>
        <v>0</v>
      </c>
      <c r="W75" s="15" t="str">
        <f>AND(FinPerf!D55,"AAAAAE/VdxY=")</f>
        <v>#VALUE!:noResult:No valid cells found for operation.</v>
      </c>
      <c r="X75" s="15" t="str">
        <f>AND(FinPerf!E55,"AAAAAE/Vdxc=")</f>
        <v>#VALUE!:noResult:No valid cells found for operation.</v>
      </c>
      <c r="Y75" s="15" t="str">
        <f>AND(FinPerf!F55,"AAAAAE/Vdxg=")</f>
        <v>#VALUE!:noResult:No valid cells found for operation.</v>
      </c>
      <c r="Z75" s="15" t="str">
        <f>#REF!</f>
        <v>#VALUE!:noResult:No valid cells found for operation.</v>
      </c>
      <c r="AA75" s="15" t="str">
        <f>#REF!</f>
        <v>#VALUE!:noResult:No valid cells found for operation.</v>
      </c>
      <c r="AB75" s="15" t="str">
        <f>#REF!</f>
        <v>#VALUE!:noResult:No valid cells found for operation.</v>
      </c>
      <c r="AC75" s="15" t="str">
        <f>#REF!</f>
        <v>#VALUE!:noResult:No valid cells found for operation.</v>
      </c>
      <c r="AD75" s="15" t="str">
        <f>#REF!</f>
        <v>#VALUE!:noResult:No valid cells found for operation.</v>
      </c>
      <c r="AE75" s="15" t="str">
        <f>#REF!</f>
        <v>#VALUE!:noResult:No valid cells found for operation.</v>
      </c>
      <c r="AF75" s="15" t="str">
        <f>#REF!</f>
        <v>#VALUE!:noResult:No valid cells found for operation.</v>
      </c>
      <c r="AG75" s="15" t="str">
        <f>#REF!</f>
        <v>#VALUE!:noResult:No valid cells found for operation.</v>
      </c>
      <c r="AH75" s="15" t="str">
        <f>#REF!</f>
        <v>#VALUE!:noResult:No valid cells found for operation.</v>
      </c>
      <c r="AI75" s="15" t="str">
        <f>#REF!</f>
        <v>#VALUE!:noResult:No valid cells found for operation.</v>
      </c>
      <c r="AJ75" s="15" t="str">
        <f>#REF!</f>
        <v>#VALUE!:noResult:No valid cells found for operation.</v>
      </c>
      <c r="AK75" s="15" t="str">
        <f>#REF!</f>
        <v>#VALUE!:noResult:No valid cells found for operation.</v>
      </c>
      <c r="AL75" s="15" t="str">
        <f>#REF!</f>
        <v>#VALUE!:noResult:No valid cells found for operation.</v>
      </c>
      <c r="AM75" s="15" t="str">
        <f>#REF!</f>
        <v>#VALUE!:noResult:No valid cells found for operation.</v>
      </c>
      <c r="AN75" s="15" t="str">
        <f>#REF!</f>
        <v>#VALUE!:noResult:No valid cells found for operation.</v>
      </c>
      <c r="AO75" s="15" t="str">
        <f>#REF!</f>
        <v>#VALUE!:noResult:No valid cells found for operation.</v>
      </c>
      <c r="AP75" s="15">
        <f>IF(FinPerf!R[-30],"AAAAAE/Vdyk=",0)</f>
        <v>0</v>
      </c>
      <c r="AQ75" s="15" t="b">
        <f>AND(FinPerf!A45,"AAAAAE/Vdyo=")</f>
        <v>1</v>
      </c>
      <c r="AR75" s="15" t="str">
        <f>AND(FinPerf!B45,"AAAAAE/Vdys=")</f>
        <v>#VALUE!:noResult:No valid cells found for operation.</v>
      </c>
      <c r="AS75" s="15" t="b">
        <f>AND(FinPerf!C45,"AAAAAE/Vdyw=")</f>
        <v>1</v>
      </c>
      <c r="AT75" s="15" t="str">
        <f>AND(FinPerf!D45,"AAAAAE/Vdy0=")</f>
        <v>#VALUE!:noResult:No valid cells found for operation.</v>
      </c>
      <c r="AU75" s="15" t="str">
        <f>AND(FinPerf!E45,"AAAAAE/Vdy4=")</f>
        <v>#VALUE!:noResult:No valid cells found for operation.</v>
      </c>
      <c r="AV75" s="15" t="str">
        <f>AND(FinPerf!F45,"AAAAAE/Vdy8=")</f>
        <v>#VALUE!:noResult:No valid cells found for operation.</v>
      </c>
      <c r="AW75" s="15" t="str">
        <f>AND(FinPerf!G45,"AAAAAE/VdzA=")</f>
        <v>#VALUE!:noResult:No valid cells found for operation.</v>
      </c>
      <c r="AX75" s="15" t="str">
        <f>AND(FinPerf!H45,"AAAAAE/VdzE=")</f>
        <v>#VALUE!:noResult:No valid cells found for operation.</v>
      </c>
      <c r="AY75" s="15" t="str">
        <f>AND(FinPerf!I45,"AAAAAE/VdzI=")</f>
        <v>#VALUE!:noResult:No valid cells found for operation.</v>
      </c>
      <c r="AZ75" s="15" t="str">
        <f>AND(FinPerf!J45,"AAAAAE/VdzM=")</f>
        <v>#VALUE!:noResult:No valid cells found for operation.</v>
      </c>
      <c r="BA75" s="15" t="str">
        <f>AND(FinPerf!K45,"AAAAAE/VdzQ=")</f>
        <v>#VALUE!:noResult:No valid cells found for operation.</v>
      </c>
      <c r="BB75" s="15" t="str">
        <f>AND(FinPerf!L45,"AAAAAE/VdzU=")</f>
        <v>#VALUE!:noResult:No valid cells found for operation.</v>
      </c>
      <c r="BC75" s="15" t="str">
        <f>AND(FinPerf!M45,"AAAAAE/VdzY=")</f>
        <v>#VALUE!:noResult:No valid cells found for operation.</v>
      </c>
      <c r="BD75" s="15" t="str">
        <f>AND(FinPerf!N45,"AAAAAE/Vdzc=")</f>
        <v>#VALUE!:noResult:No valid cells found for operation.</v>
      </c>
      <c r="BE75" s="15" t="str">
        <f>AND(FinPerf!O45,"AAAAAE/Vdzg=")</f>
        <v>#VALUE!:noResult:No valid cells found for operation.</v>
      </c>
      <c r="BF75" s="15" t="str">
        <f>AND(FinPerf!P45,"AAAAAE/Vdzk=")</f>
        <v>#VALUE!:noResult:No valid cells found for operation.</v>
      </c>
      <c r="BG75" s="15" t="str">
        <f>AND(FinPerf!Q45,"AAAAAE/Vdzo=")</f>
        <v>#VALUE!:noResult:No valid cells found for operation.</v>
      </c>
      <c r="BH75" s="15" t="str">
        <f>AND(FinPerf!R45,"AAAAAE/Vdzs=")</f>
        <v>#VALUE!:noResult:No valid cells found for operation.</v>
      </c>
      <c r="BI75" s="15" t="str">
        <f>AND(FinPerf!S45,"AAAAAE/Vdzw=")</f>
        <v>#VALUE!:noResult:No valid cells found for operation.</v>
      </c>
      <c r="BJ75" s="15" t="str">
        <f>AND(FinPerf!T45,"AAAAAE/Vdz0=")</f>
        <v>#VALUE!:noResult:No valid cells found for operation.</v>
      </c>
      <c r="BK75" s="15" t="str">
        <f>AND(FinPerf!U45,"AAAAAE/Vdz4=")</f>
        <v>#VALUE!:noResult:No valid cells found for operation.</v>
      </c>
      <c r="BL75" s="15" t="str">
        <f>AND(FinPerf!V45,"AAAAAE/Vdz8=")</f>
        <v>#VALUE!:noResult:No valid cells found for operation.</v>
      </c>
      <c r="BM75" s="15">
        <f>IF(FinPerf!R[-29],"AAAAAE/Vd0A=",0)</f>
        <v>0</v>
      </c>
      <c r="BN75" s="15" t="b">
        <f>AND(FinPerf!A46,"AAAAAE/Vd0E=")</f>
        <v>1</v>
      </c>
      <c r="BO75" s="15" t="str">
        <f>AND(FinPerf!B46,"AAAAAE/Vd0I=")</f>
        <v>#VALUE!:noResult:No valid cells found for operation.</v>
      </c>
      <c r="BP75" s="15" t="b">
        <f>AND(FinPerf!C46,"AAAAAE/Vd0M=")</f>
        <v>0</v>
      </c>
      <c r="BQ75" s="15" t="str">
        <f>AND(FinPerf!D46,"AAAAAE/Vd0Q=")</f>
        <v>#VALUE!:noResult:No valid cells found for operation.</v>
      </c>
      <c r="BR75" s="15" t="str">
        <f>AND(FinPerf!E46,"AAAAAE/Vd0U=")</f>
        <v>#VALUE!:noResult:No valid cells found for operation.</v>
      </c>
      <c r="BS75" s="15" t="str">
        <f>AND(FinPerf!F46,"AAAAAE/Vd0Y=")</f>
        <v>#VALUE!:noResult:No valid cells found for operation.</v>
      </c>
      <c r="BT75" s="15" t="str">
        <f>AND(FinPerf!G46,"AAAAAE/Vd0c=")</f>
        <v>#VALUE!:noResult:No valid cells found for operation.</v>
      </c>
      <c r="BU75" s="15" t="str">
        <f>AND(FinPerf!H46,"AAAAAE/Vd0g=")</f>
        <v>#VALUE!:noResult:No valid cells found for operation.</v>
      </c>
      <c r="BV75" s="15" t="str">
        <f>AND(FinPerf!I46,"AAAAAE/Vd0k=")</f>
        <v>#VALUE!:noResult:No valid cells found for operation.</v>
      </c>
      <c r="BW75" s="15" t="str">
        <f>AND(FinPerf!J46,"AAAAAE/Vd0o=")</f>
        <v>#VALUE!:noResult:No valid cells found for operation.</v>
      </c>
      <c r="BX75" s="15" t="str">
        <f>AND(FinPerf!K46,"AAAAAE/Vd0s=")</f>
        <v>#VALUE!:noResult:No valid cells found for operation.</v>
      </c>
      <c r="BY75" s="15" t="str">
        <f>AND(FinPerf!L46,"AAAAAE/Vd0w=")</f>
        <v>#VALUE!:noResult:No valid cells found for operation.</v>
      </c>
      <c r="BZ75" s="15" t="str">
        <f>AND(FinPerf!M46,"AAAAAE/Vd00=")</f>
        <v>#VALUE!:noResult:No valid cells found for operation.</v>
      </c>
      <c r="CA75" s="15" t="str">
        <f>AND(FinPerf!N46,"AAAAAE/Vd04=")</f>
        <v>#VALUE!:noResult:No valid cells found for operation.</v>
      </c>
      <c r="CB75" s="15" t="str">
        <f>AND(FinPerf!O46,"AAAAAE/Vd08=")</f>
        <v>#VALUE!:noResult:No valid cells found for operation.</v>
      </c>
      <c r="CC75" s="15" t="str">
        <f>AND(FinPerf!P46,"AAAAAE/Vd1A=")</f>
        <v>#VALUE!:noResult:No valid cells found for operation.</v>
      </c>
      <c r="CD75" s="15" t="str">
        <f>AND(FinPerf!Q46,"AAAAAE/Vd1E=")</f>
        <v>#VALUE!:noResult:No valid cells found for operation.</v>
      </c>
      <c r="CE75" s="15" t="str">
        <f>AND(FinPerf!R46,"AAAAAE/Vd1I=")</f>
        <v>#VALUE!:noResult:No valid cells found for operation.</v>
      </c>
      <c r="CF75" s="15" t="str">
        <f>AND(FinPerf!S46,"AAAAAE/Vd1M=")</f>
        <v>#VALUE!:noResult:No valid cells found for operation.</v>
      </c>
      <c r="CG75" s="15" t="str">
        <f>AND(FinPerf!T46,"AAAAAE/Vd1Q=")</f>
        <v>#VALUE!:noResult:No valid cells found for operation.</v>
      </c>
      <c r="CH75" s="15" t="str">
        <f>AND(FinPerf!U46,"AAAAAE/Vd1U=")</f>
        <v>#VALUE!:noResult:No valid cells found for operation.</v>
      </c>
      <c r="CI75" s="15" t="str">
        <f>AND(FinPerf!V46,"AAAAAE/Vd1Y=")</f>
        <v>#VALUE!:noResult:No valid cells found for operation.</v>
      </c>
      <c r="CJ75" s="15">
        <f>IF(FinPerf!R[-28],"AAAAAE/Vd1c=",0)</f>
        <v>0</v>
      </c>
      <c r="CK75" s="15" t="b">
        <f>AND(FinPerf!A47,"AAAAAE/Vd1g=")</f>
        <v>1</v>
      </c>
      <c r="CL75" s="15" t="str">
        <f>AND(FinPerf!B47,"AAAAAE/Vd1k=")</f>
        <v>#VALUE!:noResult:No valid cells found for operation.</v>
      </c>
      <c r="CM75" s="15" t="b">
        <f>AND(FinPerf!C47,"AAAAAE/Vd1o=")</f>
        <v>0</v>
      </c>
      <c r="CN75" s="15" t="str">
        <f>AND(FinPerf!D47,"AAAAAE/Vd1s=")</f>
        <v>#VALUE!:noResult:No valid cells found for operation.</v>
      </c>
      <c r="CO75" s="15" t="str">
        <f>AND(FinPerf!E47,"AAAAAE/Vd1w=")</f>
        <v>#VALUE!:noResult:No valid cells found for operation.</v>
      </c>
      <c r="CP75" s="15" t="str">
        <f>AND(FinPerf!F47,"AAAAAE/Vd10=")</f>
        <v>#VALUE!:noResult:No valid cells found for operation.</v>
      </c>
      <c r="CQ75" s="15" t="str">
        <f>AND(FinPerf!G47,"AAAAAE/Vd14=")</f>
        <v>#VALUE!:noResult:No valid cells found for operation.</v>
      </c>
      <c r="CR75" s="15" t="str">
        <f>AND(FinPerf!H47,"AAAAAE/Vd18=")</f>
        <v>#VALUE!:noResult:No valid cells found for operation.</v>
      </c>
      <c r="CS75" s="15" t="str">
        <f>AND(FinPerf!I47,"AAAAAE/Vd2A=")</f>
        <v>#VALUE!:noResult:No valid cells found for operation.</v>
      </c>
      <c r="CT75" s="15" t="str">
        <f>AND(FinPerf!J47,"AAAAAE/Vd2E=")</f>
        <v>#VALUE!:noResult:No valid cells found for operation.</v>
      </c>
      <c r="CU75" s="15" t="str">
        <f>AND(FinPerf!K47,"AAAAAE/Vd2I=")</f>
        <v>#VALUE!:noResult:No valid cells found for operation.</v>
      </c>
      <c r="CV75" s="15" t="str">
        <f>AND(FinPerf!L47,"AAAAAE/Vd2M=")</f>
        <v>#VALUE!:noResult:No valid cells found for operation.</v>
      </c>
      <c r="CW75" s="15" t="str">
        <f>AND(FinPerf!M47,"AAAAAE/Vd2Q=")</f>
        <v>#VALUE!:noResult:No valid cells found for operation.</v>
      </c>
      <c r="CX75" s="15" t="str">
        <f>AND(FinPerf!N47,"AAAAAE/Vd2U=")</f>
        <v>#VALUE!:noResult:No valid cells found for operation.</v>
      </c>
      <c r="CY75" s="15" t="str">
        <f>AND(FinPerf!O47,"AAAAAE/Vd2Y=")</f>
        <v>#VALUE!:noResult:No valid cells found for operation.</v>
      </c>
      <c r="CZ75" s="15" t="str">
        <f>AND(FinPerf!P47,"AAAAAE/Vd2c=")</f>
        <v>#VALUE!:noResult:No valid cells found for operation.</v>
      </c>
      <c r="DA75" s="15" t="str">
        <f>AND(FinPerf!Q47,"AAAAAE/Vd2g=")</f>
        <v>#VALUE!:noResult:No valid cells found for operation.</v>
      </c>
      <c r="DB75" s="15" t="str">
        <f>AND(FinPerf!R47,"AAAAAE/Vd2k=")</f>
        <v>#VALUE!:noResult:No valid cells found for operation.</v>
      </c>
      <c r="DC75" s="15" t="str">
        <f>AND(FinPerf!S47,"AAAAAE/Vd2o=")</f>
        <v>#VALUE!:noResult:No valid cells found for operation.</v>
      </c>
      <c r="DD75" s="15" t="str">
        <f>AND(FinPerf!T47,"AAAAAE/Vd2s=")</f>
        <v>#VALUE!:noResult:No valid cells found for operation.</v>
      </c>
      <c r="DE75" s="15" t="str">
        <f>AND(FinPerf!U47,"AAAAAE/Vd2w=")</f>
        <v>#VALUE!:noResult:No valid cells found for operation.</v>
      </c>
      <c r="DF75" s="15" t="str">
        <f>AND(FinPerf!V47,"AAAAAE/Vd20=")</f>
        <v>#VALUE!:noResult:No valid cells found for operation.</v>
      </c>
      <c r="DG75" s="15">
        <f>IF(FinPerf!R[-24],"AAAAAE/Vd24=",0)</f>
        <v>0</v>
      </c>
      <c r="DH75" s="15" t="b">
        <f>AND(FinPerf!A51,"AAAAAE/Vd28=")</f>
        <v>1</v>
      </c>
      <c r="DI75" s="15" t="str">
        <f>AND(FinPerf!B51,"AAAAAE/Vd3A=")</f>
        <v>#VALUE!:noResult:No valid cells found for operation.</v>
      </c>
      <c r="DJ75" s="15" t="b">
        <f>AND(FinPerf!C51,"AAAAAE/Vd3E=")</f>
        <v>1</v>
      </c>
      <c r="DK75" s="15" t="str">
        <f>AND(FinPerf!D51,"AAAAAE/Vd3I=")</f>
        <v>#VALUE!:noResult:No valid cells found for operation.</v>
      </c>
      <c r="DL75" s="15" t="str">
        <f>AND(FinPerf!E51,"AAAAAE/Vd3M=")</f>
        <v>#VALUE!:noResult:No valid cells found for operation.</v>
      </c>
      <c r="DM75" s="15" t="str">
        <f>AND(FinPerf!F51,"AAAAAE/Vd3Q=")</f>
        <v>#VALUE!:noResult:No valid cells found for operation.</v>
      </c>
      <c r="DN75" s="15" t="str">
        <f>AND(FinPerf!G51,"AAAAAE/Vd3U=")</f>
        <v>#VALUE!:noResult:No valid cells found for operation.</v>
      </c>
      <c r="DO75" s="15" t="str">
        <f>AND(FinPerf!H51,"AAAAAE/Vd3Y=")</f>
        <v>#VALUE!:noResult:No valid cells found for operation.</v>
      </c>
      <c r="DP75" s="15" t="str">
        <f>AND(FinPerf!I51,"AAAAAE/Vd3c=")</f>
        <v>#VALUE!:noResult:No valid cells found for operation.</v>
      </c>
      <c r="DQ75" s="15" t="str">
        <f>AND(FinPerf!J51,"AAAAAE/Vd3g=")</f>
        <v>#VALUE!:noResult:No valid cells found for operation.</v>
      </c>
      <c r="DR75" s="15" t="str">
        <f>AND(FinPerf!K51,"AAAAAE/Vd3k=")</f>
        <v>#VALUE!:noResult:No valid cells found for operation.</v>
      </c>
      <c r="DS75" s="15" t="str">
        <f>AND(FinPerf!L51,"AAAAAE/Vd3o=")</f>
        <v>#VALUE!:noResult:No valid cells found for operation.</v>
      </c>
      <c r="DT75" s="15" t="str">
        <f>AND(FinPerf!M51,"AAAAAE/Vd3s=")</f>
        <v>#VALUE!:noResult:No valid cells found for operation.</v>
      </c>
      <c r="DU75" s="15" t="str">
        <f>AND(FinPerf!N51,"AAAAAE/Vd3w=")</f>
        <v>#VALUE!:noResult:No valid cells found for operation.</v>
      </c>
      <c r="DV75" s="15" t="str">
        <f>AND(FinPerf!O51,"AAAAAE/Vd30=")</f>
        <v>#VALUE!:noResult:No valid cells found for operation.</v>
      </c>
      <c r="DW75" s="15" t="str">
        <f>AND(FinPerf!P51,"AAAAAE/Vd34=")</f>
        <v>#VALUE!:noResult:No valid cells found for operation.</v>
      </c>
      <c r="DX75" s="15" t="str">
        <f>AND(FinPerf!Q51,"AAAAAE/Vd38=")</f>
        <v>#VALUE!:noResult:No valid cells found for operation.</v>
      </c>
      <c r="DY75" s="15" t="str">
        <f>AND(FinPerf!R51,"AAAAAE/Vd4A=")</f>
        <v>#VALUE!:noResult:No valid cells found for operation.</v>
      </c>
      <c r="DZ75" s="15" t="str">
        <f>AND(FinPerf!S51,"AAAAAE/Vd4E=")</f>
        <v>#VALUE!:noResult:No valid cells found for operation.</v>
      </c>
      <c r="EA75" s="15" t="str">
        <f>AND(FinPerf!T51,"AAAAAE/Vd4I=")</f>
        <v>#VALUE!:noResult:No valid cells found for operation.</v>
      </c>
      <c r="EB75" s="15" t="str">
        <f>AND(FinPerf!U51,"AAAAAE/Vd4M=")</f>
        <v>#VALUE!:noResult:No valid cells found for operation.</v>
      </c>
      <c r="EC75" s="15" t="str">
        <f>AND(FinPerf!V51,"AAAAAE/Vd4Q=")</f>
        <v>#VALUE!:noResult:No valid cells found for operation.</v>
      </c>
      <c r="ED75" s="15">
        <f>IF(FinPerf!R[-23],"AAAAAE/Vd4U=",0)</f>
        <v>0</v>
      </c>
      <c r="EE75" s="15" t="str">
        <f>AND(FinPerf!A52,"AAAAAE/Vd4Y=")</f>
        <v>#VALUE!:noResult:No valid cells found for operation.</v>
      </c>
      <c r="EF75" s="15" t="str">
        <f>AND(FinPerf!B52,"AAAAAE/Vd4c=")</f>
        <v>#VALUE!:noResult:No valid cells found for operation.</v>
      </c>
      <c r="EG75" s="15" t="str">
        <f>AND(FinPerf!C52,"AAAAAE/Vd4g=")</f>
        <v>#VALUE!:noResult:No valid cells found for operation.</v>
      </c>
      <c r="EH75" s="15" t="b">
        <f>AND(FinPerf!D52,"AAAAAE/Vd4k=")</f>
        <v>1</v>
      </c>
      <c r="EI75" s="15" t="str">
        <f>AND(FinPerf!E52,"AAAAAE/Vd4o=")</f>
        <v>#VALUE!:noResult:No valid cells found for operation.</v>
      </c>
      <c r="EJ75" s="15" t="str">
        <f>AND(FinPerf!F52,"AAAAAE/Vd4s=")</f>
        <v>#VALUE!:noResult:No valid cells found for operation.</v>
      </c>
      <c r="EK75" s="15" t="str">
        <f>AND(FinPerf!G52,"AAAAAE/Vd4w=")</f>
        <v>#VALUE!:noResult:No valid cells found for operation.</v>
      </c>
      <c r="EL75" s="15" t="str">
        <f>AND(FinPerf!H52,"AAAAAE/Vd40=")</f>
        <v>#VALUE!:noResult:No valid cells found for operation.</v>
      </c>
      <c r="EM75" s="15" t="str">
        <f>AND(FinPerf!I52,"AAAAAE/Vd44=")</f>
        <v>#VALUE!:noResult:No valid cells found for operation.</v>
      </c>
      <c r="EN75" s="15" t="str">
        <f>AND(FinPerf!J52,"AAAAAE/Vd48=")</f>
        <v>#VALUE!:noResult:No valid cells found for operation.</v>
      </c>
      <c r="EO75" s="15" t="str">
        <f>AND(FinPerf!K52,"AAAAAE/Vd5A=")</f>
        <v>#VALUE!:noResult:No valid cells found for operation.</v>
      </c>
      <c r="EP75" s="15" t="str">
        <f>AND(FinPerf!L52,"AAAAAE/Vd5E=")</f>
        <v>#VALUE!:noResult:No valid cells found for operation.</v>
      </c>
      <c r="EQ75" s="15" t="str">
        <f>AND(FinPerf!M52,"AAAAAE/Vd5I=")</f>
        <v>#VALUE!:noResult:No valid cells found for operation.</v>
      </c>
      <c r="ER75" s="15" t="str">
        <f>AND(FinPerf!N52,"AAAAAE/Vd5M=")</f>
        <v>#VALUE!:noResult:No valid cells found for operation.</v>
      </c>
      <c r="ES75" s="15" t="str">
        <f>AND(FinPerf!O52,"AAAAAE/Vd5Q=")</f>
        <v>#VALUE!:noResult:No valid cells found for operation.</v>
      </c>
      <c r="ET75" s="15" t="str">
        <f>AND(FinPerf!P52,"AAAAAE/Vd5U=")</f>
        <v>#VALUE!:noResult:No valid cells found for operation.</v>
      </c>
      <c r="EU75" s="15" t="str">
        <f>AND(FinPerf!Q52,"AAAAAE/Vd5Y=")</f>
        <v>#VALUE!:noResult:No valid cells found for operation.</v>
      </c>
      <c r="EV75" s="15" t="str">
        <f>AND(FinPerf!R52,"AAAAAE/Vd5c=")</f>
        <v>#VALUE!:noResult:No valid cells found for operation.</v>
      </c>
      <c r="EW75" s="15" t="str">
        <f>AND(FinPerf!S52,"AAAAAE/Vd5g=")</f>
        <v>#VALUE!:noResult:No valid cells found for operation.</v>
      </c>
      <c r="EX75" s="15" t="str">
        <f>AND(FinPerf!T52,"AAAAAE/Vd5k=")</f>
        <v>#VALUE!:noResult:No valid cells found for operation.</v>
      </c>
      <c r="EY75" s="15" t="str">
        <f>AND(FinPerf!U52,"AAAAAE/Vd5o=")</f>
        <v>#VALUE!:noResult:No valid cells found for operation.</v>
      </c>
      <c r="EZ75" s="15" t="str">
        <f>AND(FinPerf!V52,"AAAAAE/Vd5s=")</f>
        <v>#VALUE!:noResult:No valid cells found for operation.</v>
      </c>
      <c r="FA75" s="15">
        <f>IF(FinPerf!R[-15],"AAAAAE/Vd5w=",0)</f>
        <v>0</v>
      </c>
      <c r="FB75" s="15" t="str">
        <f>AND(FinPerf!A60,"AAAAAE/Vd50=")</f>
        <v>#VALUE!:noResult:No valid cells found for operation.</v>
      </c>
      <c r="FC75" s="15" t="str">
        <f>AND(FinPerf!B60,"AAAAAE/Vd54=")</f>
        <v>#VALUE!:noResult:No valid cells found for operation.</v>
      </c>
      <c r="FD75" s="15" t="str">
        <f>AND(FinPerf!C60,"AAAAAE/Vd58=")</f>
        <v>#VALUE!:noResult:No valid cells found for operation.</v>
      </c>
      <c r="FE75" s="15" t="str">
        <f>AND(FinPerf!D60,"AAAAAE/Vd6A=")</f>
        <v>#VALUE!:noResult:No valid cells found for operation.</v>
      </c>
      <c r="FF75" s="15" t="str">
        <f>AND(FinPerf!E60,"AAAAAE/Vd6E=")</f>
        <v>#VALUE!:noResult:No valid cells found for operation.</v>
      </c>
      <c r="FG75" s="15" t="str">
        <f>AND(FinPerf!F60,"AAAAAE/Vd6I=")</f>
        <v>#VALUE!:noResult:No valid cells found for operation.</v>
      </c>
      <c r="FH75" s="15" t="str">
        <f>AND(FinPerf!G60,"AAAAAE/Vd6M=")</f>
        <v>#VALUE!:noResult:No valid cells found for operation.</v>
      </c>
      <c r="FI75" s="15" t="str">
        <f>AND(FinPerf!H60,"AAAAAE/Vd6Q=")</f>
        <v>#VALUE!:noResult:No valid cells found for operation.</v>
      </c>
      <c r="FJ75" s="15" t="str">
        <f>AND(FinPerf!I60,"AAAAAE/Vd6U=")</f>
        <v>#VALUE!:noResult:No valid cells found for operation.</v>
      </c>
      <c r="FK75" s="15" t="str">
        <f>AND(FinPerf!J60,"AAAAAE/Vd6Y=")</f>
        <v>#VALUE!:noResult:No valid cells found for operation.</v>
      </c>
      <c r="FL75" s="15" t="str">
        <f>AND(FinPerf!K60,"AAAAAE/Vd6c=")</f>
        <v>#VALUE!:noResult:No valid cells found for operation.</v>
      </c>
      <c r="FM75" s="15" t="str">
        <f>AND(FinPerf!L60,"AAAAAE/Vd6g=")</f>
        <v>#VALUE!:noResult:No valid cells found for operation.</v>
      </c>
      <c r="FN75" s="15" t="str">
        <f>AND(FinPerf!M60,"AAAAAE/Vd6k=")</f>
        <v>#VALUE!:noResult:No valid cells found for operation.</v>
      </c>
      <c r="FO75" s="15" t="str">
        <f>AND(FinPerf!N60,"AAAAAE/Vd6o=")</f>
        <v>#VALUE!:noResult:No valid cells found for operation.</v>
      </c>
      <c r="FP75" s="15" t="str">
        <f>AND(FinPerf!O60,"AAAAAE/Vd6s=")</f>
        <v>#VALUE!:noResult:No valid cells found for operation.</v>
      </c>
      <c r="FQ75" s="15" t="str">
        <f>AND(FinPerf!P60,"AAAAAE/Vd6w=")</f>
        <v>#VALUE!:noResult:No valid cells found for operation.</v>
      </c>
      <c r="FR75" s="15" t="str">
        <f>AND(FinPerf!Q60,"AAAAAE/Vd60=")</f>
        <v>#VALUE!:noResult:No valid cells found for operation.</v>
      </c>
      <c r="FS75" s="15" t="str">
        <f>AND(FinPerf!R60,"AAAAAE/Vd64=")</f>
        <v>#VALUE!:noResult:No valid cells found for operation.</v>
      </c>
      <c r="FT75" s="15" t="str">
        <f>AND(FinPerf!S60,"AAAAAE/Vd68=")</f>
        <v>#VALUE!:noResult:No valid cells found for operation.</v>
      </c>
      <c r="FU75" s="15" t="str">
        <f>AND(FinPerf!T60,"AAAAAE/Vd7A=")</f>
        <v>#VALUE!:noResult:No valid cells found for operation.</v>
      </c>
      <c r="FV75" s="15" t="str">
        <f>AND(FinPerf!U60,"AAAAAE/Vd7E=")</f>
        <v>#VALUE!:noResult:No valid cells found for operation.</v>
      </c>
      <c r="FW75" s="15" t="str">
        <f>AND(FinPerf!V60,"AAAAAE/Vd7I=")</f>
        <v>#VALUE!:noResult:No valid cells found for operation.</v>
      </c>
      <c r="FX75" s="15">
        <f>IF(FinPerf!R[-14],"AAAAAE/Vd7M=",0)</f>
        <v>0</v>
      </c>
      <c r="FY75" s="15" t="str">
        <f>AND(FinPerf!A61,"AAAAAE/Vd7Q=")</f>
        <v>#VALUE!:noResult:No valid cells found for operation.</v>
      </c>
      <c r="FZ75" s="15" t="str">
        <f>AND(FinPerf!B61,"AAAAAE/Vd7U=")</f>
        <v>#VALUE!:noResult:No valid cells found for operation.</v>
      </c>
      <c r="GA75" s="15" t="str">
        <f>AND(FinPerf!C61,"AAAAAE/Vd7Y=")</f>
        <v>#VALUE!:noResult:No valid cells found for operation.</v>
      </c>
      <c r="GB75" s="15" t="str">
        <f>AND(FinPerf!D61,"AAAAAE/Vd7c=")</f>
        <v>#VALUE!:noResult:No valid cells found for operation.</v>
      </c>
      <c r="GC75" s="15" t="str">
        <f>AND(FinPerf!E61,"AAAAAE/Vd7g=")</f>
        <v>#VALUE!:noResult:No valid cells found for operation.</v>
      </c>
      <c r="GD75" s="15" t="str">
        <f>AND(FinPerf!F61,"AAAAAE/Vd7k=")</f>
        <v>#VALUE!:noResult:No valid cells found for operation.</v>
      </c>
      <c r="GE75" s="15" t="str">
        <f>AND(FinPerf!G61,"AAAAAE/Vd7o=")</f>
        <v>#VALUE!:noResult:No valid cells found for operation.</v>
      </c>
      <c r="GF75" s="15" t="str">
        <f>AND(FinPerf!H61,"AAAAAE/Vd7s=")</f>
        <v>#VALUE!:noResult:No valid cells found for operation.</v>
      </c>
      <c r="GG75" s="15" t="str">
        <f>AND(FinPerf!I61,"AAAAAE/Vd7w=")</f>
        <v>#VALUE!:noResult:No valid cells found for operation.</v>
      </c>
      <c r="GH75" s="15" t="str">
        <f>AND(FinPerf!J61,"AAAAAE/Vd70=")</f>
        <v>#VALUE!:noResult:No valid cells found for operation.</v>
      </c>
      <c r="GI75" s="15" t="str">
        <f>AND(FinPerf!K61,"AAAAAE/Vd74=")</f>
        <v>#VALUE!:noResult:No valid cells found for operation.</v>
      </c>
      <c r="GJ75" s="15" t="str">
        <f>AND(FinPerf!L61,"AAAAAE/Vd78=")</f>
        <v>#VALUE!:noResult:No valid cells found for operation.</v>
      </c>
      <c r="GK75" s="15" t="str">
        <f>AND(FinPerf!M61,"AAAAAE/Vd8A=")</f>
        <v>#VALUE!:noResult:No valid cells found for operation.</v>
      </c>
      <c r="GL75" s="15" t="str">
        <f>AND(FinPerf!N61,"AAAAAE/Vd8E=")</f>
        <v>#VALUE!:noResult:No valid cells found for operation.</v>
      </c>
      <c r="GM75" s="15" t="str">
        <f>AND(FinPerf!O61,"AAAAAE/Vd8I=")</f>
        <v>#VALUE!:noResult:No valid cells found for operation.</v>
      </c>
      <c r="GN75" s="15" t="str">
        <f>AND(FinPerf!P61,"AAAAAE/Vd8M=")</f>
        <v>#VALUE!:noResult:No valid cells found for operation.</v>
      </c>
      <c r="GO75" s="15" t="str">
        <f>AND(FinPerf!Q61,"AAAAAE/Vd8Q=")</f>
        <v>#VALUE!:noResult:No valid cells found for operation.</v>
      </c>
      <c r="GP75" s="15" t="str">
        <f>AND(FinPerf!R61,"AAAAAE/Vd8U=")</f>
        <v>#VALUE!:noResult:No valid cells found for operation.</v>
      </c>
      <c r="GQ75" s="15" t="str">
        <f>AND(FinPerf!S61,"AAAAAE/Vd8Y=")</f>
        <v>#VALUE!:noResult:No valid cells found for operation.</v>
      </c>
      <c r="GR75" s="15" t="str">
        <f>AND(FinPerf!T61,"AAAAAE/Vd8c=")</f>
        <v>#VALUE!:noResult:No valid cells found for operation.</v>
      </c>
      <c r="GS75" s="15" t="str">
        <f>AND(FinPerf!U61,"AAAAAE/Vd8g=")</f>
        <v>#VALUE!:noResult:No valid cells found for operation.</v>
      </c>
      <c r="GT75" s="15" t="str">
        <f>AND(FinPerf!V61,"AAAAAE/Vd8k=")</f>
        <v>#VALUE!:noResult:No valid cells found for operation.</v>
      </c>
      <c r="GU75" s="15" t="str">
        <f>#REF!</f>
        <v>#REF!:refOutOfRange</v>
      </c>
      <c r="GV75" s="15" t="str">
        <f>#REF!</f>
        <v>#VALUE!:noResult:No valid cells found for operation.</v>
      </c>
      <c r="GW75" s="15" t="str">
        <f>#REF!</f>
        <v>#VALUE!:noResult:No valid cells found for operation.</v>
      </c>
      <c r="GX75" s="15" t="str">
        <f>#REF!</f>
        <v>#VALUE!:noResult:No valid cells found for operation.</v>
      </c>
      <c r="GY75" s="15" t="str">
        <f>#REF!</f>
        <v>#VALUE!:noResult:No valid cells found for operation.</v>
      </c>
      <c r="GZ75" s="15" t="str">
        <f>#REF!</f>
        <v>#VALUE!:noResult:No valid cells found for operation.</v>
      </c>
      <c r="HA75" s="15" t="str">
        <f>#REF!</f>
        <v>#VALUE!:noResult:No valid cells found for operation.</v>
      </c>
      <c r="HB75" s="15" t="str">
        <f>#REF!</f>
        <v>#VALUE!:noResult:No valid cells found for operation.</v>
      </c>
      <c r="HC75" s="15" t="str">
        <f>#REF!</f>
        <v>#VALUE!:noResult:No valid cells found for operation.</v>
      </c>
      <c r="HD75" s="15" t="str">
        <f>#REF!</f>
        <v>#VALUE!:noResult:No valid cells found for operation.</v>
      </c>
      <c r="HE75" s="15" t="str">
        <f>#REF!</f>
        <v>#VALUE!:noResult:No valid cells found for operation.</v>
      </c>
      <c r="HF75" s="15" t="str">
        <f>#REF!</f>
        <v>#VALUE!:noResult:No valid cells found for operation.</v>
      </c>
      <c r="HG75" s="15" t="str">
        <f>#REF!</f>
        <v>#VALUE!:noResult:No valid cells found for operation.</v>
      </c>
      <c r="HH75" s="15" t="str">
        <f>#REF!</f>
        <v>#VALUE!:noResult:No valid cells found for operation.</v>
      </c>
      <c r="HI75" s="15" t="str">
        <f>#REF!</f>
        <v>#VALUE!:noResult:No valid cells found for operation.</v>
      </c>
      <c r="HJ75" s="15" t="str">
        <f>#REF!</f>
        <v>#VALUE!:noResult:No valid cells found for operation.</v>
      </c>
      <c r="HK75" s="15" t="str">
        <f>#REF!</f>
        <v>#VALUE!:noResult:No valid cells found for operation.</v>
      </c>
      <c r="HL75" s="15" t="str">
        <f>#REF!</f>
        <v>#VALUE!:noResult:No valid cells found for operation.</v>
      </c>
      <c r="HM75" s="15" t="str">
        <f>#REF!</f>
        <v>#VALUE!:noResult:No valid cells found for operation.</v>
      </c>
      <c r="HN75" s="15" t="str">
        <f>#REF!</f>
        <v>#VALUE!:noResult:No valid cells found for operation.</v>
      </c>
      <c r="HO75" s="15" t="str">
        <f>#REF!</f>
        <v>#VALUE!:noResult:No valid cells found for operation.</v>
      </c>
      <c r="HP75" s="15" t="str">
        <f>#REF!</f>
        <v>#VALUE!:noResult:No valid cells found for operation.</v>
      </c>
      <c r="HQ75" s="15" t="str">
        <f>#REF!</f>
        <v>#VALUE!:noResult:No valid cells found for operation.</v>
      </c>
      <c r="HR75" s="15">
        <f>IF(FinPerf!R[-13],"AAAAAE/Vd+E=",0)</f>
        <v>0</v>
      </c>
      <c r="HS75" s="15" t="b">
        <f>AND(FinPerf!A62,"AAAAAE/Vd+I=")</f>
        <v>1</v>
      </c>
      <c r="HT75" s="15" t="str">
        <f>AND(FinPerf!B62,"AAAAAE/Vd+M=")</f>
        <v>#VALUE!:noResult:No valid cells found for operation.</v>
      </c>
      <c r="HU75" s="15" t="b">
        <f>AND(FinPerf!C62,"AAAAAE/Vd+Q=")</f>
        <v>1</v>
      </c>
      <c r="HV75" s="15" t="str">
        <f>AND(FinPerf!D62,"AAAAAE/Vd+U=")</f>
        <v>#VALUE!:noResult:No valid cells found for operation.</v>
      </c>
      <c r="HW75" s="15" t="str">
        <f>AND(FinPerf!E62,"AAAAAE/Vd+Y=")</f>
        <v>#VALUE!:noResult:No valid cells found for operation.</v>
      </c>
      <c r="HX75" s="15" t="str">
        <f>AND(FinPerf!F62,"AAAAAE/Vd+c=")</f>
        <v>#VALUE!:noResult:No valid cells found for operation.</v>
      </c>
      <c r="HY75" s="15" t="str">
        <f>AND(FinPerf!G62,"AAAAAE/Vd+g=")</f>
        <v>#VALUE!:noResult:No valid cells found for operation.</v>
      </c>
      <c r="HZ75" s="15" t="str">
        <f>AND(FinPerf!H62,"AAAAAE/Vd+k=")</f>
        <v>#VALUE!:noResult:No valid cells found for operation.</v>
      </c>
      <c r="IA75" s="15" t="str">
        <f>AND(FinPerf!I62,"AAAAAE/Vd+o=")</f>
        <v>#VALUE!:noResult:No valid cells found for operation.</v>
      </c>
      <c r="IB75" s="15" t="str">
        <f>AND(FinPerf!J62,"AAAAAE/Vd+s=")</f>
        <v>#VALUE!:noResult:No valid cells found for operation.</v>
      </c>
      <c r="IC75" s="15" t="str">
        <f>AND(FinPerf!K62,"AAAAAE/Vd+w=")</f>
        <v>#VALUE!:noResult:No valid cells found for operation.</v>
      </c>
      <c r="ID75" s="15" t="str">
        <f>AND(FinPerf!L62,"AAAAAE/Vd+0=")</f>
        <v>#VALUE!:noResult:No valid cells found for operation.</v>
      </c>
      <c r="IE75" s="15" t="str">
        <f>AND(FinPerf!M62,"AAAAAE/Vd+4=")</f>
        <v>#VALUE!:noResult:No valid cells found for operation.</v>
      </c>
      <c r="IF75" s="15" t="str">
        <f>AND(FinPerf!N62,"AAAAAE/Vd+8=")</f>
        <v>#VALUE!:noResult:No valid cells found for operation.</v>
      </c>
      <c r="IG75" s="15" t="str">
        <f>AND(FinPerf!O62,"AAAAAE/Vd/A=")</f>
        <v>#VALUE!:noResult:No valid cells found for operation.</v>
      </c>
      <c r="IH75" s="15" t="str">
        <f>AND(FinPerf!P62,"AAAAAE/Vd/E=")</f>
        <v>#VALUE!:noResult:No valid cells found for operation.</v>
      </c>
      <c r="II75" s="15" t="str">
        <f>AND(FinPerf!Q62,"AAAAAE/Vd/I=")</f>
        <v>#VALUE!:noResult:No valid cells found for operation.</v>
      </c>
      <c r="IJ75" s="15" t="str">
        <f>AND(FinPerf!R62,"AAAAAE/Vd/M=")</f>
        <v>#VALUE!:noResult:No valid cells found for operation.</v>
      </c>
      <c r="IK75" s="15" t="str">
        <f>AND(FinPerf!S62,"AAAAAE/Vd/Q=")</f>
        <v>#VALUE!:noResult:No valid cells found for operation.</v>
      </c>
      <c r="IL75" s="15" t="str">
        <f>AND(FinPerf!T62,"AAAAAE/Vd/U=")</f>
        <v>#VALUE!:noResult:No valid cells found for operation.</v>
      </c>
      <c r="IM75" s="15" t="str">
        <f>AND(FinPerf!U62,"AAAAAE/Vd/Y=")</f>
        <v>#VALUE!:noResult:No valid cells found for operation.</v>
      </c>
      <c r="IN75" s="15" t="str">
        <f>AND(FinPerf!V62,"AAAAAE/Vd/c=")</f>
        <v>#VALUE!:noResult:No valid cells found for operation.</v>
      </c>
      <c r="IO75" s="15">
        <f>IF(FinPerf!R[-12],"AAAAAE/Vd/g=",0)</f>
        <v>0</v>
      </c>
      <c r="IP75" s="15" t="b">
        <f>AND(FinPerf!A63,"AAAAAE/Vd/k=")</f>
        <v>1</v>
      </c>
      <c r="IQ75" s="15" t="str">
        <f>AND(FinPerf!B63,"AAAAAE/Vd/o=")</f>
        <v>#VALUE!:noResult:No valid cells found for operation.</v>
      </c>
      <c r="IR75" s="15" t="b">
        <f>AND(FinPerf!C63,"AAAAAE/Vd/s=")</f>
        <v>1</v>
      </c>
      <c r="IS75" s="15" t="str">
        <f>AND(FinPerf!D63,"AAAAAE/Vd/w=")</f>
        <v>#VALUE!:noResult:No valid cells found for operation.</v>
      </c>
      <c r="IT75" s="15" t="str">
        <f>AND(FinPerf!E63,"AAAAAE/Vd/0=")</f>
        <v>#VALUE!:noResult:No valid cells found for operation.</v>
      </c>
      <c r="IU75" s="15" t="str">
        <f>AND(FinPerf!F63,"AAAAAE/Vd/4=")</f>
        <v>#VALUE!:noResult:No valid cells found for operation.</v>
      </c>
      <c r="IV75" s="15" t="str">
        <f>AND(FinPerf!G63,"AAAAAE/Vd/8=")</f>
        <v>#VALUE!:noResult:No valid cells found for operation.</v>
      </c>
    </row>
    <row r="76">
      <c r="A76" s="15" t="str">
        <f>AND(FinPerf!H63,"AAAAAH9fewA=")</f>
        <v>#VALUE!:noResult:No valid cells found for operation.</v>
      </c>
      <c r="B76" s="15" t="str">
        <f>AND(FinPerf!I63,"AAAAAH9fewE=")</f>
        <v>#VALUE!:noResult:No valid cells found for operation.</v>
      </c>
      <c r="C76" s="15" t="str">
        <f>AND(FinPerf!J63,"AAAAAH9fewI=")</f>
        <v>#VALUE!:noResult:No valid cells found for operation.</v>
      </c>
      <c r="D76" s="15" t="str">
        <f>AND(FinPerf!K63,"AAAAAH9fewM=")</f>
        <v>#VALUE!:noResult:No valid cells found for operation.</v>
      </c>
      <c r="E76" s="15" t="str">
        <f>AND(FinPerf!L63,"AAAAAH9fewQ=")</f>
        <v>#VALUE!:noResult:No valid cells found for operation.</v>
      </c>
      <c r="F76" s="15" t="str">
        <f>AND(FinPerf!M63,"AAAAAH9fewU=")</f>
        <v>#VALUE!:noResult:No valid cells found for operation.</v>
      </c>
      <c r="G76" s="15" t="str">
        <f>AND(FinPerf!N63,"AAAAAH9fewY=")</f>
        <v>#VALUE!:noResult:No valid cells found for operation.</v>
      </c>
      <c r="H76" s="15" t="str">
        <f>AND(FinPerf!O63,"AAAAAH9fewc=")</f>
        <v>#VALUE!:noResult:No valid cells found for operation.</v>
      </c>
      <c r="I76" s="15" t="str">
        <f>AND(FinPerf!P63,"AAAAAH9fewg=")</f>
        <v>#VALUE!:noResult:No valid cells found for operation.</v>
      </c>
      <c r="J76" s="15" t="str">
        <f>AND(FinPerf!Q63,"AAAAAH9fewk=")</f>
        <v>#VALUE!:noResult:No valid cells found for operation.</v>
      </c>
      <c r="K76" s="15" t="str">
        <f>AND(FinPerf!R63,"AAAAAH9fewo=")</f>
        <v>#VALUE!:noResult:No valid cells found for operation.</v>
      </c>
      <c r="L76" s="15" t="str">
        <f>AND(FinPerf!S63,"AAAAAH9fews=")</f>
        <v>#VALUE!:noResult:No valid cells found for operation.</v>
      </c>
      <c r="M76" s="15" t="str">
        <f>AND(FinPerf!T63,"AAAAAH9feww=")</f>
        <v>#VALUE!:noResult:No valid cells found for operation.</v>
      </c>
      <c r="N76" s="15" t="str">
        <f>AND(FinPerf!U63,"AAAAAH9few0=")</f>
        <v>#VALUE!:noResult:No valid cells found for operation.</v>
      </c>
      <c r="O76" s="15" t="str">
        <f>AND(FinPerf!V63,"AAAAAH9few4=")</f>
        <v>#VALUE!:noResult:No valid cells found for operation.</v>
      </c>
      <c r="P76" s="15">
        <f>IF(FinPerf!R[-12],"AAAAAH9few8=",0)</f>
        <v>0</v>
      </c>
      <c r="Q76" s="15" t="b">
        <f>AND(FinPerf!A64,"AAAAAH9fexA=")</f>
        <v>1</v>
      </c>
      <c r="R76" s="15" t="str">
        <f>AND(FinPerf!B64,"AAAAAH9fexE=")</f>
        <v>#VALUE!:noResult:No valid cells found for operation.</v>
      </c>
      <c r="S76" s="15" t="b">
        <f>AND(FinPerf!C64,"AAAAAH9fexI=")</f>
        <v>1</v>
      </c>
      <c r="T76" s="15" t="str">
        <f>AND(FinPerf!D64,"AAAAAH9fexM=")</f>
        <v>#VALUE!:noResult:No valid cells found for operation.</v>
      </c>
      <c r="U76" s="15" t="str">
        <f>AND(FinPerf!E64,"AAAAAH9fexQ=")</f>
        <v>#VALUE!:noResult:No valid cells found for operation.</v>
      </c>
      <c r="V76" s="15" t="str">
        <f>AND(FinPerf!F64,"AAAAAH9fexU=")</f>
        <v>#VALUE!:noResult:No valid cells found for operation.</v>
      </c>
      <c r="W76" s="15" t="str">
        <f>AND(FinPerf!G64,"AAAAAH9fexY=")</f>
        <v>#VALUE!:noResult:No valid cells found for operation.</v>
      </c>
      <c r="X76" s="15" t="str">
        <f>AND(FinPerf!H64,"AAAAAH9fexc=")</f>
        <v>#VALUE!:noResult:No valid cells found for operation.</v>
      </c>
      <c r="Y76" s="15" t="str">
        <f>AND(FinPerf!I64,"AAAAAH9fexg=")</f>
        <v>#VALUE!:noResult:No valid cells found for operation.</v>
      </c>
      <c r="Z76" s="15" t="str">
        <f>AND(FinPerf!J64,"AAAAAH9fexk=")</f>
        <v>#VALUE!:noResult:No valid cells found for operation.</v>
      </c>
      <c r="AA76" s="15" t="str">
        <f>AND(FinPerf!K64,"AAAAAH9fexo=")</f>
        <v>#VALUE!:noResult:No valid cells found for operation.</v>
      </c>
      <c r="AB76" s="15" t="str">
        <f>AND(FinPerf!L64,"AAAAAH9fexs=")</f>
        <v>#VALUE!:noResult:No valid cells found for operation.</v>
      </c>
      <c r="AC76" s="15" t="str">
        <f>AND(FinPerf!M64,"AAAAAH9fexw=")</f>
        <v>#VALUE!:noResult:No valid cells found for operation.</v>
      </c>
      <c r="AD76" s="15" t="str">
        <f>AND(FinPerf!N64,"AAAAAH9fex0=")</f>
        <v>#VALUE!:noResult:No valid cells found for operation.</v>
      </c>
      <c r="AE76" s="15" t="str">
        <f>AND(FinPerf!O64,"AAAAAH9fex4=")</f>
        <v>#VALUE!:noResult:No valid cells found for operation.</v>
      </c>
      <c r="AF76" s="15" t="str">
        <f>AND(FinPerf!P64,"AAAAAH9fex8=")</f>
        <v>#VALUE!:noResult:No valid cells found for operation.</v>
      </c>
      <c r="AG76" s="15" t="str">
        <f>AND(FinPerf!Q64,"AAAAAH9feyA=")</f>
        <v>#VALUE!:noResult:No valid cells found for operation.</v>
      </c>
      <c r="AH76" s="15" t="str">
        <f>AND(FinPerf!R64,"AAAAAH9feyE=")</f>
        <v>#VALUE!:noResult:No valid cells found for operation.</v>
      </c>
      <c r="AI76" s="15" t="str">
        <f>AND(FinPerf!S64,"AAAAAH9feyI=")</f>
        <v>#VALUE!:noResult:No valid cells found for operation.</v>
      </c>
      <c r="AJ76" s="15" t="str">
        <f>AND(FinPerf!T64,"AAAAAH9feyM=")</f>
        <v>#VALUE!:noResult:No valid cells found for operation.</v>
      </c>
      <c r="AK76" s="15" t="str">
        <f>AND(FinPerf!U64,"AAAAAH9feyQ=")</f>
        <v>#VALUE!:noResult:No valid cells found for operation.</v>
      </c>
      <c r="AL76" s="15" t="str">
        <f>AND(FinPerf!V64,"AAAAAH9feyU=")</f>
        <v>#VALUE!:noResult:No valid cells found for operation.</v>
      </c>
      <c r="AM76" s="15">
        <f>IF(FinPerf!R[-11],"AAAAAH9feyY=",0)</f>
        <v>0</v>
      </c>
      <c r="AN76" s="15" t="b">
        <f>AND(FinPerf!A65,"AAAAAH9feyc=")</f>
        <v>1</v>
      </c>
      <c r="AO76" s="15" t="str">
        <f>AND(FinPerf!B65,"AAAAAH9feyg=")</f>
        <v>#VALUE!:noResult:No valid cells found for operation.</v>
      </c>
      <c r="AP76" s="15" t="b">
        <f>AND(FinPerf!C65,"AAAAAH9feyk=")</f>
        <v>0</v>
      </c>
      <c r="AQ76" s="15" t="str">
        <f>AND(FinPerf!D65,"AAAAAH9feyo=")</f>
        <v>#VALUE!:noResult:No valid cells found for operation.</v>
      </c>
      <c r="AR76" s="15" t="str">
        <f>AND(FinPerf!E65,"AAAAAH9feys=")</f>
        <v>#VALUE!:noResult:No valid cells found for operation.</v>
      </c>
      <c r="AS76" s="15" t="str">
        <f>AND(FinPerf!F65,"AAAAAH9feyw=")</f>
        <v>#VALUE!:noResult:No valid cells found for operation.</v>
      </c>
      <c r="AT76" s="15" t="str">
        <f>AND(FinPerf!G65,"AAAAAH9fey0=")</f>
        <v>#VALUE!:noResult:No valid cells found for operation.</v>
      </c>
      <c r="AU76" s="15" t="str">
        <f>AND(FinPerf!H65,"AAAAAH9fey4=")</f>
        <v>#VALUE!:noResult:No valid cells found for operation.</v>
      </c>
      <c r="AV76" s="15" t="str">
        <f>AND(FinPerf!I65,"AAAAAH9fey8=")</f>
        <v>#VALUE!:noResult:No valid cells found for operation.</v>
      </c>
      <c r="AW76" s="15" t="str">
        <f>AND(FinPerf!J65,"AAAAAH9fezA=")</f>
        <v>#VALUE!:noResult:No valid cells found for operation.</v>
      </c>
      <c r="AX76" s="15" t="str">
        <f>AND(FinPerf!K65,"AAAAAH9fezE=")</f>
        <v>#VALUE!:noResult:No valid cells found for operation.</v>
      </c>
      <c r="AY76" s="15" t="str">
        <f>AND(FinPerf!L65,"AAAAAH9fezI=")</f>
        <v>#VALUE!:noResult:No valid cells found for operation.</v>
      </c>
      <c r="AZ76" s="15" t="str">
        <f>AND(FinPerf!M65,"AAAAAH9fezM=")</f>
        <v>#VALUE!:noResult:No valid cells found for operation.</v>
      </c>
      <c r="BA76" s="15" t="str">
        <f>AND(FinPerf!N65,"AAAAAH9fezQ=")</f>
        <v>#VALUE!:noResult:No valid cells found for operation.</v>
      </c>
      <c r="BB76" s="15" t="str">
        <f>AND(FinPerf!O65,"AAAAAH9fezU=")</f>
        <v>#VALUE!:noResult:No valid cells found for operation.</v>
      </c>
      <c r="BC76" s="15" t="str">
        <f>AND(FinPerf!P65,"AAAAAH9fezY=")</f>
        <v>#VALUE!:noResult:No valid cells found for operation.</v>
      </c>
      <c r="BD76" s="15" t="str">
        <f>AND(FinPerf!Q65,"AAAAAH9fezc=")</f>
        <v>#VALUE!:noResult:No valid cells found for operation.</v>
      </c>
      <c r="BE76" s="15" t="str">
        <f>AND(FinPerf!R65,"AAAAAH9fezg=")</f>
        <v>#VALUE!:noResult:No valid cells found for operation.</v>
      </c>
      <c r="BF76" s="15" t="str">
        <f>AND(FinPerf!S65,"AAAAAH9fezk=")</f>
        <v>#VALUE!:noResult:No valid cells found for operation.</v>
      </c>
      <c r="BG76" s="15" t="str">
        <f>AND(FinPerf!T65,"AAAAAH9fezo=")</f>
        <v>#VALUE!:noResult:No valid cells found for operation.</v>
      </c>
      <c r="BH76" s="15" t="str">
        <f>AND(FinPerf!U65,"AAAAAH9fezs=")</f>
        <v>#VALUE!:noResult:No valid cells found for operation.</v>
      </c>
      <c r="BI76" s="15" t="str">
        <f>AND(FinPerf!V65,"AAAAAH9fezw=")</f>
        <v>#VALUE!:noResult:No valid cells found for operation.</v>
      </c>
      <c r="BJ76" s="15">
        <f>IF(FinPerf!R[-10],"AAAAAH9fez0=",0)</f>
        <v>0</v>
      </c>
      <c r="BK76" s="15" t="b">
        <f>AND(FinPerf!A66,"AAAAAH9fez4=")</f>
        <v>1</v>
      </c>
      <c r="BL76" s="15" t="str">
        <f>AND(FinPerf!B66,"AAAAAH9fez8=")</f>
        <v>#VALUE!:noResult:No valid cells found for operation.</v>
      </c>
      <c r="BM76" s="15" t="b">
        <f>AND(FinPerf!C66,"AAAAAH9fe0A=")</f>
        <v>1</v>
      </c>
      <c r="BN76" s="15" t="str">
        <f>AND(FinPerf!D66,"AAAAAH9fe0E=")</f>
        <v>#VALUE!:noResult:No valid cells found for operation.</v>
      </c>
      <c r="BO76" s="15" t="str">
        <f>AND(FinPerf!E66,"AAAAAH9fe0I=")</f>
        <v>#VALUE!:noResult:No valid cells found for operation.</v>
      </c>
      <c r="BP76" s="15" t="str">
        <f>AND(FinPerf!F66,"AAAAAH9fe0M=")</f>
        <v>#VALUE!:noResult:No valid cells found for operation.</v>
      </c>
      <c r="BQ76" s="15" t="str">
        <f>AND(FinPerf!G66,"AAAAAH9fe0Q=")</f>
        <v>#VALUE!:noResult:No valid cells found for operation.</v>
      </c>
      <c r="BR76" s="15" t="str">
        <f>AND(FinPerf!H66,"AAAAAH9fe0U=")</f>
        <v>#VALUE!:noResult:No valid cells found for operation.</v>
      </c>
      <c r="BS76" s="15" t="str">
        <f>AND(FinPerf!I66,"AAAAAH9fe0Y=")</f>
        <v>#VALUE!:noResult:No valid cells found for operation.</v>
      </c>
      <c r="BT76" s="15" t="str">
        <f>AND(FinPerf!J66,"AAAAAH9fe0c=")</f>
        <v>#VALUE!:noResult:No valid cells found for operation.</v>
      </c>
      <c r="BU76" s="15" t="str">
        <f>AND(FinPerf!K66,"AAAAAH9fe0g=")</f>
        <v>#VALUE!:noResult:No valid cells found for operation.</v>
      </c>
      <c r="BV76" s="15" t="str">
        <f>AND(FinPerf!L66,"AAAAAH9fe0k=")</f>
        <v>#VALUE!:noResult:No valid cells found for operation.</v>
      </c>
      <c r="BW76" s="15" t="str">
        <f>AND(FinPerf!M66,"AAAAAH9fe0o=")</f>
        <v>#VALUE!:noResult:No valid cells found for operation.</v>
      </c>
      <c r="BX76" s="15" t="str">
        <f>AND(FinPerf!N66,"AAAAAH9fe0s=")</f>
        <v>#VALUE!:noResult:No valid cells found for operation.</v>
      </c>
      <c r="BY76" s="15" t="str">
        <f>AND(FinPerf!O66,"AAAAAH9fe0w=")</f>
        <v>#VALUE!:noResult:No valid cells found for operation.</v>
      </c>
      <c r="BZ76" s="15" t="str">
        <f>AND(FinPerf!P66,"AAAAAH9fe00=")</f>
        <v>#VALUE!:noResult:No valid cells found for operation.</v>
      </c>
      <c r="CA76" s="15" t="str">
        <f>AND(FinPerf!Q66,"AAAAAH9fe04=")</f>
        <v>#VALUE!:noResult:No valid cells found for operation.</v>
      </c>
      <c r="CB76" s="15" t="str">
        <f>AND(FinPerf!R66,"AAAAAH9fe08=")</f>
        <v>#VALUE!:noResult:No valid cells found for operation.</v>
      </c>
      <c r="CC76" s="15" t="str">
        <f>AND(FinPerf!S66,"AAAAAH9fe1A=")</f>
        <v>#VALUE!:noResult:No valid cells found for operation.</v>
      </c>
      <c r="CD76" s="15" t="str">
        <f>AND(FinPerf!T66,"AAAAAH9fe1E=")</f>
        <v>#VALUE!:noResult:No valid cells found for operation.</v>
      </c>
      <c r="CE76" s="15" t="str">
        <f>AND(FinPerf!U66,"AAAAAH9fe1I=")</f>
        <v>#VALUE!:noResult:No valid cells found for operation.</v>
      </c>
      <c r="CF76" s="15" t="str">
        <f>AND(FinPerf!V66,"AAAAAH9fe1M=")</f>
        <v>#VALUE!:noResult:No valid cells found for operation.</v>
      </c>
      <c r="CG76" s="15">
        <f>IF(FinPerf!R[-9],"AAAAAH9fe1Q=",0)</f>
        <v>0</v>
      </c>
      <c r="CH76" s="15" t="b">
        <f>AND(FinPerf!A67,"AAAAAH9fe1U=")</f>
        <v>1</v>
      </c>
      <c r="CI76" s="15" t="str">
        <f>AND(FinPerf!B67,"AAAAAH9fe1Y=")</f>
        <v>#VALUE!:noResult:No valid cells found for operation.</v>
      </c>
      <c r="CJ76" s="15" t="b">
        <f>AND(FinPerf!C67,"AAAAAH9fe1c=")</f>
        <v>0</v>
      </c>
      <c r="CK76" s="15" t="str">
        <f>AND(FinPerf!D67,"AAAAAH9fe1g=")</f>
        <v>#VALUE!:noResult:No valid cells found for operation.</v>
      </c>
      <c r="CL76" s="15" t="str">
        <f>AND(FinPerf!E67,"AAAAAH9fe1k=")</f>
        <v>#VALUE!:noResult:No valid cells found for operation.</v>
      </c>
      <c r="CM76" s="15" t="str">
        <f>AND(FinPerf!F67,"AAAAAH9fe1o=")</f>
        <v>#VALUE!:noResult:No valid cells found for operation.</v>
      </c>
      <c r="CN76" s="15" t="str">
        <f>AND(FinPerf!G67,"AAAAAH9fe1s=")</f>
        <v>#VALUE!:noResult:No valid cells found for operation.</v>
      </c>
      <c r="CO76" s="15" t="str">
        <f>AND(FinPerf!H67,"AAAAAH9fe1w=")</f>
        <v>#VALUE!:noResult:No valid cells found for operation.</v>
      </c>
      <c r="CP76" s="15" t="str">
        <f>AND(FinPerf!I67,"AAAAAH9fe10=")</f>
        <v>#VALUE!:noResult:No valid cells found for operation.</v>
      </c>
      <c r="CQ76" s="15" t="str">
        <f>AND(FinPerf!J67,"AAAAAH9fe14=")</f>
        <v>#VALUE!:noResult:No valid cells found for operation.</v>
      </c>
      <c r="CR76" s="15" t="str">
        <f>AND(FinPerf!K67,"AAAAAH9fe18=")</f>
        <v>#VALUE!:noResult:No valid cells found for operation.</v>
      </c>
      <c r="CS76" s="15" t="str">
        <f>AND(FinPerf!L67,"AAAAAH9fe2A=")</f>
        <v>#VALUE!:noResult:No valid cells found for operation.</v>
      </c>
      <c r="CT76" s="15" t="str">
        <f>AND(FinPerf!M67,"AAAAAH9fe2E=")</f>
        <v>#VALUE!:noResult:No valid cells found for operation.</v>
      </c>
      <c r="CU76" s="15" t="str">
        <f>AND(FinPerf!N67,"AAAAAH9fe2I=")</f>
        <v>#VALUE!:noResult:No valid cells found for operation.</v>
      </c>
      <c r="CV76" s="15" t="str">
        <f>AND(FinPerf!O67,"AAAAAH9fe2M=")</f>
        <v>#VALUE!:noResult:No valid cells found for operation.</v>
      </c>
      <c r="CW76" s="15" t="str">
        <f>AND(FinPerf!P67,"AAAAAH9fe2Q=")</f>
        <v>#VALUE!:noResult:No valid cells found for operation.</v>
      </c>
      <c r="CX76" s="15" t="str">
        <f>AND(FinPerf!Q67,"AAAAAH9fe2U=")</f>
        <v>#VALUE!:noResult:No valid cells found for operation.</v>
      </c>
      <c r="CY76" s="15" t="str">
        <f>AND(FinPerf!R67,"AAAAAH9fe2Y=")</f>
        <v>#VALUE!:noResult:No valid cells found for operation.</v>
      </c>
      <c r="CZ76" s="15" t="str">
        <f>AND(FinPerf!S67,"AAAAAH9fe2c=")</f>
        <v>#VALUE!:noResult:No valid cells found for operation.</v>
      </c>
      <c r="DA76" s="15" t="str">
        <f>AND(FinPerf!T67,"AAAAAH9fe2g=")</f>
        <v>#VALUE!:noResult:No valid cells found for operation.</v>
      </c>
      <c r="DB76" s="15" t="str">
        <f>AND(FinPerf!U67,"AAAAAH9fe2k=")</f>
        <v>#VALUE!:noResult:No valid cells found for operation.</v>
      </c>
      <c r="DC76" s="15" t="str">
        <f>AND(FinPerf!V67,"AAAAAH9fe2o=")</f>
        <v>#VALUE!:noResult:No valid cells found for operation.</v>
      </c>
      <c r="DD76" s="15">
        <f>IF(FinPerf!R[-8],"AAAAAH9fe2s=",0)</f>
        <v>0</v>
      </c>
      <c r="DE76" s="15" t="b">
        <f>AND(FinPerf!A68,"AAAAAH9fe2w=")</f>
        <v>1</v>
      </c>
      <c r="DF76" s="15" t="str">
        <f>AND(FinPerf!B68,"AAAAAH9fe20=")</f>
        <v>#VALUE!:noResult:No valid cells found for operation.</v>
      </c>
      <c r="DG76" s="15" t="b">
        <f>AND(FinPerf!C68,"AAAAAH9fe24=")</f>
        <v>0</v>
      </c>
      <c r="DH76" s="15" t="str">
        <f>AND(FinPerf!D68,"AAAAAH9fe28=")</f>
        <v>#VALUE!:noResult:No valid cells found for operation.</v>
      </c>
      <c r="DI76" s="15" t="str">
        <f>AND(FinPerf!E68,"AAAAAH9fe3A=")</f>
        <v>#VALUE!:noResult:No valid cells found for operation.</v>
      </c>
      <c r="DJ76" s="15" t="str">
        <f>AND(FinPerf!F68,"AAAAAH9fe3E=")</f>
        <v>#VALUE!:noResult:No valid cells found for operation.</v>
      </c>
      <c r="DK76" s="15" t="str">
        <f>AND(FinPerf!G68,"AAAAAH9fe3I=")</f>
        <v>#VALUE!:noResult:No valid cells found for operation.</v>
      </c>
      <c r="DL76" s="15" t="str">
        <f>AND(FinPerf!H68,"AAAAAH9fe3M=")</f>
        <v>#VALUE!:noResult:No valid cells found for operation.</v>
      </c>
      <c r="DM76" s="15" t="str">
        <f>AND(FinPerf!I68,"AAAAAH9fe3Q=")</f>
        <v>#VALUE!:noResult:No valid cells found for operation.</v>
      </c>
      <c r="DN76" s="15" t="str">
        <f>AND(FinPerf!J68,"AAAAAH9fe3U=")</f>
        <v>#VALUE!:noResult:No valid cells found for operation.</v>
      </c>
      <c r="DO76" s="15" t="str">
        <f>AND(FinPerf!K68,"AAAAAH9fe3Y=")</f>
        <v>#VALUE!:noResult:No valid cells found for operation.</v>
      </c>
      <c r="DP76" s="15" t="str">
        <f>AND(FinPerf!L68,"AAAAAH9fe3c=")</f>
        <v>#VALUE!:noResult:No valid cells found for operation.</v>
      </c>
      <c r="DQ76" s="15" t="str">
        <f>AND(FinPerf!M68,"AAAAAH9fe3g=")</f>
        <v>#VALUE!:noResult:No valid cells found for operation.</v>
      </c>
      <c r="DR76" s="15" t="str">
        <f>AND(FinPerf!N68,"AAAAAH9fe3k=")</f>
        <v>#VALUE!:noResult:No valid cells found for operation.</v>
      </c>
      <c r="DS76" s="15" t="str">
        <f>AND(FinPerf!O68,"AAAAAH9fe3o=")</f>
        <v>#VALUE!:noResult:No valid cells found for operation.</v>
      </c>
      <c r="DT76" s="15" t="str">
        <f>AND(FinPerf!P68,"AAAAAH9fe3s=")</f>
        <v>#VALUE!:noResult:No valid cells found for operation.</v>
      </c>
      <c r="DU76" s="15" t="str">
        <f>AND(FinPerf!Q68,"AAAAAH9fe3w=")</f>
        <v>#VALUE!:noResult:No valid cells found for operation.</v>
      </c>
      <c r="DV76" s="15" t="str">
        <f>AND(FinPerf!R68,"AAAAAH9fe30=")</f>
        <v>#VALUE!:noResult:No valid cells found for operation.</v>
      </c>
      <c r="DW76" s="15" t="str">
        <f>AND(FinPerf!S68,"AAAAAH9fe34=")</f>
        <v>#VALUE!:noResult:No valid cells found for operation.</v>
      </c>
      <c r="DX76" s="15" t="str">
        <f>AND(FinPerf!T68,"AAAAAH9fe38=")</f>
        <v>#VALUE!:noResult:No valid cells found for operation.</v>
      </c>
      <c r="DY76" s="15" t="str">
        <f>AND(FinPerf!U68,"AAAAAH9fe4A=")</f>
        <v>#VALUE!:noResult:No valid cells found for operation.</v>
      </c>
      <c r="DZ76" s="15" t="str">
        <f>AND(FinPerf!V68,"AAAAAH9fe4E=")</f>
        <v>#VALUE!:noResult:No valid cells found for operation.</v>
      </c>
      <c r="EA76" s="15">
        <f>IF(FinPerf!R[-7],"AAAAAH9fe4I=",0)</f>
        <v>0</v>
      </c>
      <c r="EB76" s="15" t="b">
        <f>AND(FinPerf!A69,"AAAAAH9fe4M=")</f>
        <v>1</v>
      </c>
      <c r="EC76" s="15" t="str">
        <f>AND(FinPerf!B69,"AAAAAH9fe4Q=")</f>
        <v>#VALUE!:noResult:No valid cells found for operation.</v>
      </c>
      <c r="ED76" s="15" t="b">
        <f>AND(FinPerf!C69,"AAAAAH9fe4U=")</f>
        <v>1</v>
      </c>
      <c r="EE76" s="15" t="str">
        <f>AND(FinPerf!D69,"AAAAAH9fe4Y=")</f>
        <v>#VALUE!:noResult:No valid cells found for operation.</v>
      </c>
      <c r="EF76" s="15" t="str">
        <f>AND(FinPerf!E69,"AAAAAH9fe4c=")</f>
        <v>#VALUE!:noResult:No valid cells found for operation.</v>
      </c>
      <c r="EG76" s="15" t="str">
        <f>AND(FinPerf!F69,"AAAAAH9fe4g=")</f>
        <v>#VALUE!:noResult:No valid cells found for operation.</v>
      </c>
      <c r="EH76" s="15" t="str">
        <f>AND(FinPerf!G69,"AAAAAH9fe4k=")</f>
        <v>#VALUE!:noResult:No valid cells found for operation.</v>
      </c>
      <c r="EI76" s="15" t="str">
        <f>AND(FinPerf!H69,"AAAAAH9fe4o=")</f>
        <v>#VALUE!:noResult:No valid cells found for operation.</v>
      </c>
      <c r="EJ76" s="15" t="str">
        <f>AND(FinPerf!I69,"AAAAAH9fe4s=")</f>
        <v>#VALUE!:noResult:No valid cells found for operation.</v>
      </c>
      <c r="EK76" s="15" t="str">
        <f>AND(FinPerf!J69,"AAAAAH9fe4w=")</f>
        <v>#VALUE!:noResult:No valid cells found for operation.</v>
      </c>
      <c r="EL76" s="15" t="str">
        <f>AND(FinPerf!K69,"AAAAAH9fe40=")</f>
        <v>#VALUE!:noResult:No valid cells found for operation.</v>
      </c>
      <c r="EM76" s="15" t="str">
        <f>AND(FinPerf!L69,"AAAAAH9fe44=")</f>
        <v>#VALUE!:noResult:No valid cells found for operation.</v>
      </c>
      <c r="EN76" s="15" t="str">
        <f>AND(FinPerf!M69,"AAAAAH9fe48=")</f>
        <v>#VALUE!:noResult:No valid cells found for operation.</v>
      </c>
      <c r="EO76" s="15" t="str">
        <f>AND(FinPerf!N69,"AAAAAH9fe5A=")</f>
        <v>#VALUE!:noResult:No valid cells found for operation.</v>
      </c>
      <c r="EP76" s="15" t="str">
        <f>AND(FinPerf!O69,"AAAAAH9fe5E=")</f>
        <v>#VALUE!:noResult:No valid cells found for operation.</v>
      </c>
      <c r="EQ76" s="15" t="str">
        <f>AND(FinPerf!P69,"AAAAAH9fe5I=")</f>
        <v>#VALUE!:noResult:No valid cells found for operation.</v>
      </c>
      <c r="ER76" s="15" t="str">
        <f>AND(FinPerf!Q69,"AAAAAH9fe5M=")</f>
        <v>#VALUE!:noResult:No valid cells found for operation.</v>
      </c>
      <c r="ES76" s="15" t="str">
        <f>AND(FinPerf!R69,"AAAAAH9fe5Q=")</f>
        <v>#VALUE!:noResult:No valid cells found for operation.</v>
      </c>
      <c r="ET76" s="15" t="str">
        <f>AND(FinPerf!S69,"AAAAAH9fe5U=")</f>
        <v>#VALUE!:noResult:No valid cells found for operation.</v>
      </c>
      <c r="EU76" s="15" t="str">
        <f>AND(FinPerf!T69,"AAAAAH9fe5Y=")</f>
        <v>#VALUE!:noResult:No valid cells found for operation.</v>
      </c>
      <c r="EV76" s="15" t="str">
        <f>AND(FinPerf!U69,"AAAAAH9fe5c=")</f>
        <v>#VALUE!:noResult:No valid cells found for operation.</v>
      </c>
      <c r="EW76" s="15" t="str">
        <f>AND(FinPerf!V69,"AAAAAH9fe5g=")</f>
        <v>#VALUE!:noResult:No valid cells found for operation.</v>
      </c>
      <c r="EX76" s="15">
        <f>IF(FinPerf!R[-3],"AAAAAH9fe5k=",0)</f>
        <v>0</v>
      </c>
      <c r="EY76" s="15" t="b">
        <f>AND(FinPerf!A73,"AAAAAH9fe5o=")</f>
        <v>1</v>
      </c>
      <c r="EZ76" s="15" t="str">
        <f>AND(FinPerf!B73,"AAAAAH9fe5s=")</f>
        <v>#VALUE!:noResult:No valid cells found for operation.</v>
      </c>
      <c r="FA76" s="15" t="b">
        <f>AND(FinPerf!C73,"AAAAAH9fe5w=")</f>
        <v>1</v>
      </c>
      <c r="FB76" s="15" t="str">
        <f>AND(FinPerf!D73,"AAAAAH9fe50=")</f>
        <v>#VALUE!:noResult:No valid cells found for operation.</v>
      </c>
      <c r="FC76" s="15" t="str">
        <f>AND(FinPerf!E73,"AAAAAH9fe54=")</f>
        <v>#VALUE!:noResult:No valid cells found for operation.</v>
      </c>
      <c r="FD76" s="15" t="str">
        <f>AND(FinPerf!F73,"AAAAAH9fe58=")</f>
        <v>#VALUE!:noResult:No valid cells found for operation.</v>
      </c>
      <c r="FE76" s="15" t="str">
        <f>AND(FinPerf!G73,"AAAAAH9fe6A=")</f>
        <v>#VALUE!:noResult:No valid cells found for operation.</v>
      </c>
      <c r="FF76" s="15" t="str">
        <f>AND(FinPerf!H73,"AAAAAH9fe6E=")</f>
        <v>#VALUE!:noResult:No valid cells found for operation.</v>
      </c>
      <c r="FG76" s="15" t="str">
        <f>AND(FinPerf!I73,"AAAAAH9fe6I=")</f>
        <v>#VALUE!:noResult:No valid cells found for operation.</v>
      </c>
      <c r="FH76" s="15" t="str">
        <f>AND(FinPerf!J73,"AAAAAH9fe6M=")</f>
        <v>#VALUE!:noResult:No valid cells found for operation.</v>
      </c>
      <c r="FI76" s="15" t="str">
        <f>AND(FinPerf!K73,"AAAAAH9fe6Q=")</f>
        <v>#VALUE!:noResult:No valid cells found for operation.</v>
      </c>
      <c r="FJ76" s="15" t="str">
        <f>AND(FinPerf!L73,"AAAAAH9fe6U=")</f>
        <v>#VALUE!:noResult:No valid cells found for operation.</v>
      </c>
      <c r="FK76" s="15" t="str">
        <f>AND(FinPerf!M73,"AAAAAH9fe6Y=")</f>
        <v>#VALUE!:noResult:No valid cells found for operation.</v>
      </c>
      <c r="FL76" s="15" t="str">
        <f>AND(FinPerf!N73,"AAAAAH9fe6c=")</f>
        <v>#VALUE!:noResult:No valid cells found for operation.</v>
      </c>
      <c r="FM76" s="15" t="str">
        <f>AND(FinPerf!O73,"AAAAAH9fe6g=")</f>
        <v>#VALUE!:noResult:No valid cells found for operation.</v>
      </c>
      <c r="FN76" s="15" t="str">
        <f>AND(FinPerf!P73,"AAAAAH9fe6k=")</f>
        <v>#VALUE!:noResult:No valid cells found for operation.</v>
      </c>
      <c r="FO76" s="15" t="str">
        <f>AND(FinPerf!Q73,"AAAAAH9fe6o=")</f>
        <v>#VALUE!:noResult:No valid cells found for operation.</v>
      </c>
      <c r="FP76" s="15" t="str">
        <f>AND(FinPerf!R73,"AAAAAH9fe6s=")</f>
        <v>#VALUE!:noResult:No valid cells found for operation.</v>
      </c>
      <c r="FQ76" s="15" t="str">
        <f>AND(FinPerf!S73,"AAAAAH9fe6w=")</f>
        <v>#VALUE!:noResult:No valid cells found for operation.</v>
      </c>
      <c r="FR76" s="15" t="str">
        <f>AND(FinPerf!T73,"AAAAAH9fe60=")</f>
        <v>#VALUE!:noResult:No valid cells found for operation.</v>
      </c>
      <c r="FS76" s="15" t="str">
        <f>AND(FinPerf!U73,"AAAAAH9fe64=")</f>
        <v>#VALUE!:noResult:No valid cells found for operation.</v>
      </c>
      <c r="FT76" s="15" t="str">
        <f>AND(FinPerf!V73,"AAAAAH9fe68=")</f>
        <v>#VALUE!:noResult:No valid cells found for operation.</v>
      </c>
      <c r="FU76" s="15" t="str">
        <f>#REF!</f>
        <v>#REF!:refOutOfRange</v>
      </c>
      <c r="FV76" s="15" t="str">
        <f>#REF!</f>
        <v>#VALUE!:noResult:No valid cells found for operation.</v>
      </c>
      <c r="FW76" s="15" t="str">
        <f>#REF!</f>
        <v>#VALUE!:noResult:No valid cells found for operation.</v>
      </c>
      <c r="FX76" s="15" t="str">
        <f>#REF!</f>
        <v>#VALUE!:noResult:No valid cells found for operation.</v>
      </c>
      <c r="FY76" s="15" t="str">
        <f>#REF!</f>
        <v>#VALUE!:noResult:No valid cells found for operation.</v>
      </c>
      <c r="FZ76" s="15" t="str">
        <f>#REF!</f>
        <v>#VALUE!:noResult:No valid cells found for operation.</v>
      </c>
      <c r="GA76" s="15" t="str">
        <f>#REF!</f>
        <v>#VALUE!:noResult:No valid cells found for operation.</v>
      </c>
      <c r="GB76" s="15" t="str">
        <f>#REF!</f>
        <v>#VALUE!:noResult:No valid cells found for operation.</v>
      </c>
      <c r="GC76" s="15" t="str">
        <f>#REF!</f>
        <v>#VALUE!:noResult:No valid cells found for operation.</v>
      </c>
      <c r="GD76" s="15" t="str">
        <f>#REF!</f>
        <v>#VALUE!:noResult:No valid cells found for operation.</v>
      </c>
      <c r="GE76" s="15" t="str">
        <f>#REF!</f>
        <v>#VALUE!:noResult:No valid cells found for operation.</v>
      </c>
      <c r="GF76" s="15" t="str">
        <f>#REF!</f>
        <v>#VALUE!:noResult:No valid cells found for operation.</v>
      </c>
      <c r="GG76" s="15" t="str">
        <f>#REF!</f>
        <v>#VALUE!:noResult:No valid cells found for operation.</v>
      </c>
      <c r="GH76" s="15" t="str">
        <f>#REF!</f>
        <v>#VALUE!:noResult:No valid cells found for operation.</v>
      </c>
      <c r="GI76" s="15" t="str">
        <f>#REF!</f>
        <v>#VALUE!:noResult:No valid cells found for operation.</v>
      </c>
      <c r="GJ76" s="15" t="str">
        <f>#REF!</f>
        <v>#VALUE!:noResult:No valid cells found for operation.</v>
      </c>
      <c r="GK76" s="15" t="str">
        <f>#REF!</f>
        <v>#VALUE!:noResult:No valid cells found for operation.</v>
      </c>
      <c r="GL76" s="15" t="str">
        <f>#REF!</f>
        <v>#VALUE!:noResult:No valid cells found for operation.</v>
      </c>
      <c r="GM76" s="15" t="str">
        <f>#REF!</f>
        <v>#VALUE!:noResult:No valid cells found for operation.</v>
      </c>
      <c r="GN76" s="15" t="str">
        <f>#REF!</f>
        <v>#VALUE!:noResult:No valid cells found for operation.</v>
      </c>
      <c r="GO76" s="15" t="str">
        <f>#REF!</f>
        <v>#VALUE!:noResult:No valid cells found for operation.</v>
      </c>
      <c r="GP76" s="15" t="str">
        <f>#REF!</f>
        <v>#VALUE!:noResult:No valid cells found for operation.</v>
      </c>
      <c r="GQ76" s="15" t="str">
        <f>#REF!</f>
        <v>#VALUE!:noResult:No valid cells found for operation.</v>
      </c>
      <c r="GR76" s="15">
        <f>IF(FinPerf!R,"AAAAAH9fe8c=",0)</f>
        <v>0</v>
      </c>
      <c r="GS76" s="15" t="b">
        <f>AND(FinPerf!A76,"AAAAAH9fe8g=")</f>
        <v>1</v>
      </c>
      <c r="GT76" s="15" t="str">
        <f>AND(FinPerf!B76,"AAAAAH9fe8k=")</f>
        <v>#VALUE!:noResult:No valid cells found for operation.</v>
      </c>
      <c r="GU76" s="15" t="b">
        <f>AND(FinPerf!C76,"AAAAAH9fe8o=")</f>
        <v>1</v>
      </c>
      <c r="GV76" s="15" t="str">
        <f>AND(FinPerf!D76,"AAAAAH9fe8s=")</f>
        <v>#VALUE!:noResult:No valid cells found for operation.</v>
      </c>
      <c r="GW76" s="15" t="str">
        <f>AND(FinPerf!E76,"AAAAAH9fe8w=")</f>
        <v>#VALUE!:noResult:No valid cells found for operation.</v>
      </c>
      <c r="GX76" s="15" t="str">
        <f>AND(FinPerf!F76,"AAAAAH9fe80=")</f>
        <v>#VALUE!:noResult:No valid cells found for operation.</v>
      </c>
      <c r="GY76" s="15" t="str">
        <f>AND(FinPerf!G76,"AAAAAH9fe84=")</f>
        <v>#VALUE!:noResult:No valid cells found for operation.</v>
      </c>
      <c r="GZ76" s="15" t="str">
        <f>AND(FinPerf!H76,"AAAAAH9fe88=")</f>
        <v>#VALUE!:noResult:No valid cells found for operation.</v>
      </c>
      <c r="HA76" s="15" t="str">
        <f>AND(FinPerf!I76,"AAAAAH9fe9A=")</f>
        <v>#VALUE!:noResult:No valid cells found for operation.</v>
      </c>
      <c r="HB76" s="15" t="str">
        <f>AND(FinPerf!J76,"AAAAAH9fe9E=")</f>
        <v>#VALUE!:noResult:No valid cells found for operation.</v>
      </c>
      <c r="HC76" s="15" t="str">
        <f>AND(FinPerf!K76,"AAAAAH9fe9I=")</f>
        <v>#VALUE!:noResult:No valid cells found for operation.</v>
      </c>
      <c r="HD76" s="15" t="str">
        <f>AND(FinPerf!L76,"AAAAAH9fe9M=")</f>
        <v>#VALUE!:noResult:No valid cells found for operation.</v>
      </c>
      <c r="HE76" s="15" t="str">
        <f>AND(FinPerf!M76,"AAAAAH9fe9Q=")</f>
        <v>#VALUE!:noResult:No valid cells found for operation.</v>
      </c>
      <c r="HF76" s="15" t="str">
        <f>AND(FinPerf!N76,"AAAAAH9fe9U=")</f>
        <v>#VALUE!:noResult:No valid cells found for operation.</v>
      </c>
      <c r="HG76" s="15" t="str">
        <f>AND(FinPerf!O76,"AAAAAH9fe9Y=")</f>
        <v>#VALUE!:noResult:No valid cells found for operation.</v>
      </c>
      <c r="HH76" s="15" t="str">
        <f>AND(FinPerf!P76,"AAAAAH9fe9c=")</f>
        <v>#VALUE!:noResult:No valid cells found for operation.</v>
      </c>
      <c r="HI76" s="15" t="str">
        <f>AND(FinPerf!Q76,"AAAAAH9fe9g=")</f>
        <v>#VALUE!:noResult:No valid cells found for operation.</v>
      </c>
      <c r="HJ76" s="15" t="str">
        <f>AND(FinPerf!R76,"AAAAAH9fe9k=")</f>
        <v>#VALUE!:noResult:No valid cells found for operation.</v>
      </c>
      <c r="HK76" s="15" t="str">
        <f>AND(FinPerf!S76,"AAAAAH9fe9o=")</f>
        <v>#VALUE!:noResult:No valid cells found for operation.</v>
      </c>
      <c r="HL76" s="15" t="str">
        <f>AND(FinPerf!T76,"AAAAAH9fe9s=")</f>
        <v>#VALUE!:noResult:No valid cells found for operation.</v>
      </c>
      <c r="HM76" s="15" t="str">
        <f>AND(FinPerf!U76,"AAAAAH9fe9w=")</f>
        <v>#VALUE!:noResult:No valid cells found for operation.</v>
      </c>
      <c r="HN76" s="15" t="str">
        <f>AND(FinPerf!V76,"AAAAAH9fe90=")</f>
        <v>#VALUE!:noResult:No valid cells found for operation.</v>
      </c>
      <c r="HO76" s="15">
        <f>IF(FinPerf!R[1],"AAAAAH9fe94=",0)</f>
        <v>0</v>
      </c>
      <c r="HP76" s="15" t="str">
        <f>AND(FinPerf!A77,"AAAAAH9fe98=")</f>
        <v>#VALUE!:noResult:No valid cells found for operation.</v>
      </c>
      <c r="HQ76" s="15" t="str">
        <f>AND(FinPerf!B77,"AAAAAH9fe+A=")</f>
        <v>#VALUE!:noResult:No valid cells found for operation.</v>
      </c>
      <c r="HR76" s="15" t="str">
        <f>AND(FinPerf!C77,"AAAAAH9fe+E=")</f>
        <v>#VALUE!:noResult:No valid cells found for operation.</v>
      </c>
      <c r="HS76" s="15" t="b">
        <f>AND(FinPerf!D77,"AAAAAH9fe+I=")</f>
        <v>1</v>
      </c>
      <c r="HT76" s="15" t="str">
        <f>AND(FinPerf!E77,"AAAAAH9fe+M=")</f>
        <v>#VALUE!:noResult:No valid cells found for operation.</v>
      </c>
      <c r="HU76" s="15" t="str">
        <f>AND(FinPerf!F77,"AAAAAH9fe+Q=")</f>
        <v>#VALUE!:noResult:No valid cells found for operation.</v>
      </c>
      <c r="HV76" s="15" t="str">
        <f>AND(FinPerf!G77,"AAAAAH9fe+U=")</f>
        <v>#VALUE!:noResult:No valid cells found for operation.</v>
      </c>
      <c r="HW76" s="15" t="str">
        <f>AND(FinPerf!H77,"AAAAAH9fe+Y=")</f>
        <v>#VALUE!:noResult:No valid cells found for operation.</v>
      </c>
      <c r="HX76" s="15" t="str">
        <f>AND(FinPerf!I77,"AAAAAH9fe+c=")</f>
        <v>#VALUE!:noResult:No valid cells found for operation.</v>
      </c>
      <c r="HY76" s="15" t="str">
        <f>AND(FinPerf!J77,"AAAAAH9fe+g=")</f>
        <v>#VALUE!:noResult:No valid cells found for operation.</v>
      </c>
      <c r="HZ76" s="15" t="str">
        <f>AND(FinPerf!K77,"AAAAAH9fe+k=")</f>
        <v>#VALUE!:noResult:No valid cells found for operation.</v>
      </c>
      <c r="IA76" s="15" t="str">
        <f>AND(FinPerf!L77,"AAAAAH9fe+o=")</f>
        <v>#VALUE!:noResult:No valid cells found for operation.</v>
      </c>
      <c r="IB76" s="15" t="str">
        <f>AND(FinPerf!M77,"AAAAAH9fe+s=")</f>
        <v>#VALUE!:noResult:No valid cells found for operation.</v>
      </c>
      <c r="IC76" s="15" t="str">
        <f>AND(FinPerf!N77,"AAAAAH9fe+w=")</f>
        <v>#VALUE!:noResult:No valid cells found for operation.</v>
      </c>
      <c r="ID76" s="15" t="str">
        <f>AND(FinPerf!O77,"AAAAAH9fe+0=")</f>
        <v>#VALUE!:noResult:No valid cells found for operation.</v>
      </c>
      <c r="IE76" s="15" t="str">
        <f>AND(FinPerf!P77,"AAAAAH9fe+4=")</f>
        <v>#VALUE!:noResult:No valid cells found for operation.</v>
      </c>
      <c r="IF76" s="15" t="str">
        <f>AND(FinPerf!Q77,"AAAAAH9fe+8=")</f>
        <v>#VALUE!:noResult:No valid cells found for operation.</v>
      </c>
      <c r="IG76" s="15" t="str">
        <f>AND(FinPerf!R77,"AAAAAH9fe/A=")</f>
        <v>#VALUE!:noResult:No valid cells found for operation.</v>
      </c>
      <c r="IH76" s="15" t="str">
        <f>AND(FinPerf!S77,"AAAAAH9fe/E=")</f>
        <v>#VALUE!:noResult:No valid cells found for operation.</v>
      </c>
      <c r="II76" s="15" t="str">
        <f>AND(FinPerf!T77,"AAAAAH9fe/I=")</f>
        <v>#VALUE!:noResult:No valid cells found for operation.</v>
      </c>
      <c r="IJ76" s="15" t="str">
        <f>AND(FinPerf!U77,"AAAAAH9fe/M=")</f>
        <v>#VALUE!:noResult:No valid cells found for operation.</v>
      </c>
      <c r="IK76" s="15" t="str">
        <f>AND(FinPerf!V77,"AAAAAH9fe/Q=")</f>
        <v>#VALUE!:noResult:No valid cells found for operation.</v>
      </c>
      <c r="IL76" s="15">
        <f>IF(FinPerf!R[2],"AAAAAH9fe/U=",0)</f>
        <v>0</v>
      </c>
      <c r="IM76" s="15" t="str">
        <f>AND(FinPerf!A78,"AAAAAH9fe/Y=")</f>
        <v>#VALUE!:noResult:No valid cells found for operation.</v>
      </c>
      <c r="IN76" s="15" t="str">
        <f>AND(FinPerf!B78,"AAAAAH9fe/c=")</f>
        <v>#VALUE!:noResult:No valid cells found for operation.</v>
      </c>
      <c r="IO76" s="15" t="str">
        <f>AND(FinPerf!C78,"AAAAAH9fe/g=")</f>
        <v>#VALUE!:noResult:No valid cells found for operation.</v>
      </c>
      <c r="IP76" s="15" t="str">
        <f>AND(FinPerf!D78,"AAAAAH9fe/k=")</f>
        <v>#VALUE!:noResult:No valid cells found for operation.</v>
      </c>
      <c r="IQ76" s="15" t="str">
        <f>AND(FinPerf!E78,"AAAAAH9fe/o=")</f>
        <v>#VALUE!:noResult:No valid cells found for operation.</v>
      </c>
      <c r="IR76" s="15" t="str">
        <f>AND(FinPerf!F78,"AAAAAH9fe/s=")</f>
        <v>#VALUE!:noResult:No valid cells found for operation.</v>
      </c>
      <c r="IS76" s="15" t="str">
        <f>AND(FinPerf!G78,"AAAAAH9fe/w=")</f>
        <v>#VALUE!:noResult:No valid cells found for operation.</v>
      </c>
      <c r="IT76" s="15" t="str">
        <f>AND(FinPerf!H78,"AAAAAH9fe/0=")</f>
        <v>#VALUE!:noResult:No valid cells found for operation.</v>
      </c>
      <c r="IU76" s="15" t="str">
        <f>AND(FinPerf!I78,"AAAAAH9fe/4=")</f>
        <v>#VALUE!:noResult:No valid cells found for operation.</v>
      </c>
      <c r="IV76" s="15" t="str">
        <f>AND(FinPerf!J78,"AAAAAH9fe/8=")</f>
        <v>#VALUE!:noResult:No valid cells found for operation.</v>
      </c>
    </row>
    <row r="77">
      <c r="A77" s="15" t="str">
        <f>AND(FinPerf!K78,"AAAAAGr+/gA=")</f>
        <v>#VALUE!:noResult:No valid cells found for operation.</v>
      </c>
      <c r="B77" s="15" t="str">
        <f>AND(FinPerf!L78,"AAAAAGr+/gE=")</f>
        <v>#VALUE!:noResult:No valid cells found for operation.</v>
      </c>
      <c r="C77" s="15" t="str">
        <f>AND(FinPerf!M78,"AAAAAGr+/gI=")</f>
        <v>#VALUE!:noResult:No valid cells found for operation.</v>
      </c>
      <c r="D77" s="15" t="str">
        <f>AND(FinPerf!N78,"AAAAAGr+/gM=")</f>
        <v>#VALUE!:noResult:No valid cells found for operation.</v>
      </c>
      <c r="E77" s="15" t="str">
        <f>AND(FinPerf!O78,"AAAAAGr+/gQ=")</f>
        <v>#VALUE!:noResult:No valid cells found for operation.</v>
      </c>
      <c r="F77" s="15" t="str">
        <f>AND(FinPerf!P78,"AAAAAGr+/gU=")</f>
        <v>#VALUE!:noResult:No valid cells found for operation.</v>
      </c>
      <c r="G77" s="15" t="str">
        <f>AND(FinPerf!Q78,"AAAAAGr+/gY=")</f>
        <v>#VALUE!:noResult:No valid cells found for operation.</v>
      </c>
      <c r="H77" s="15" t="str">
        <f>AND(FinPerf!R78,"AAAAAGr+/gc=")</f>
        <v>#VALUE!:noResult:No valid cells found for operation.</v>
      </c>
      <c r="I77" s="15" t="str">
        <f>AND(FinPerf!S78,"AAAAAGr+/gg=")</f>
        <v>#VALUE!:noResult:No valid cells found for operation.</v>
      </c>
      <c r="J77" s="15" t="str">
        <f>AND(FinPerf!T78,"AAAAAGr+/gk=")</f>
        <v>#VALUE!:noResult:No valid cells found for operation.</v>
      </c>
      <c r="K77" s="15" t="str">
        <f>AND(FinPerf!U78,"AAAAAGr+/go=")</f>
        <v>#VALUE!:noResult:No valid cells found for operation.</v>
      </c>
      <c r="L77" s="15" t="str">
        <f>AND(FinPerf!V78,"AAAAAGr+/gs=")</f>
        <v>#VALUE!:noResult:No valid cells found for operation.</v>
      </c>
      <c r="M77" s="15">
        <f>IF(FinPerf!R[2],"AAAAAGr+/gw=",0)</f>
        <v>0</v>
      </c>
      <c r="N77" s="15" t="str">
        <f>AND(FinPerf!A79,"AAAAAGr+/g0=")</f>
        <v>#VALUE!:noResult:No valid cells found for operation.</v>
      </c>
      <c r="O77" s="15" t="str">
        <f>AND(FinPerf!B79,"AAAAAGr+/g4=")</f>
        <v>#VALUE!:noResult:No valid cells found for operation.</v>
      </c>
      <c r="P77" s="15" t="str">
        <f>AND(FinPerf!C79,"AAAAAGr+/g8=")</f>
        <v>#VALUE!:noResult:No valid cells found for operation.</v>
      </c>
      <c r="Q77" s="15" t="str">
        <f>AND(FinPerf!D79,"AAAAAGr+/hA=")</f>
        <v>#VALUE!:noResult:No valid cells found for operation.</v>
      </c>
      <c r="R77" s="15" t="str">
        <f>AND(FinPerf!E79,"AAAAAGr+/hE=")</f>
        <v>#VALUE!:noResult:No valid cells found for operation.</v>
      </c>
      <c r="S77" s="15" t="str">
        <f>AND(FinPerf!F79,"AAAAAGr+/hI=")</f>
        <v>#VALUE!:noResult:No valid cells found for operation.</v>
      </c>
      <c r="T77" s="15" t="str">
        <f>AND(FinPerf!G79,"AAAAAGr+/hM=")</f>
        <v>#VALUE!:noResult:No valid cells found for operation.</v>
      </c>
      <c r="U77" s="15" t="str">
        <f>AND(FinPerf!H79,"AAAAAGr+/hQ=")</f>
        <v>#VALUE!:noResult:No valid cells found for operation.</v>
      </c>
      <c r="V77" s="15" t="str">
        <f>AND(FinPerf!I79,"AAAAAGr+/hU=")</f>
        <v>#VALUE!:noResult:No valid cells found for operation.</v>
      </c>
      <c r="W77" s="15" t="str">
        <f>AND(FinPerf!J79,"AAAAAGr+/hY=")</f>
        <v>#VALUE!:noResult:No valid cells found for operation.</v>
      </c>
      <c r="X77" s="15" t="str">
        <f>AND(FinPerf!K79,"AAAAAGr+/hc=")</f>
        <v>#VALUE!:noResult:No valid cells found for operation.</v>
      </c>
      <c r="Y77" s="15" t="str">
        <f>AND(FinPerf!L79,"AAAAAGr+/hg=")</f>
        <v>#VALUE!:noResult:No valid cells found for operation.</v>
      </c>
      <c r="Z77" s="15" t="str">
        <f>AND(FinPerf!M79,"AAAAAGr+/hk=")</f>
        <v>#VALUE!:noResult:No valid cells found for operation.</v>
      </c>
      <c r="AA77" s="15" t="str">
        <f>AND(FinPerf!N79,"AAAAAGr+/ho=")</f>
        <v>#VALUE!:noResult:No valid cells found for operation.</v>
      </c>
      <c r="AB77" s="15" t="str">
        <f>AND(FinPerf!O79,"AAAAAGr+/hs=")</f>
        <v>#VALUE!:noResult:No valid cells found for operation.</v>
      </c>
      <c r="AC77" s="15" t="str">
        <f>AND(FinPerf!P79,"AAAAAGr+/hw=")</f>
        <v>#VALUE!:noResult:No valid cells found for operation.</v>
      </c>
      <c r="AD77" s="15" t="str">
        <f>AND(FinPerf!Q79,"AAAAAGr+/h0=")</f>
        <v>#VALUE!:noResult:No valid cells found for operation.</v>
      </c>
      <c r="AE77" s="15" t="str">
        <f>AND(FinPerf!R79,"AAAAAGr+/h4=")</f>
        <v>#VALUE!:noResult:No valid cells found for operation.</v>
      </c>
      <c r="AF77" s="15" t="str">
        <f>AND(FinPerf!S79,"AAAAAGr+/h8=")</f>
        <v>#VALUE!:noResult:No valid cells found for operation.</v>
      </c>
      <c r="AG77" s="15" t="str">
        <f>AND(FinPerf!T79,"AAAAAGr+/iA=")</f>
        <v>#VALUE!:noResult:No valid cells found for operation.</v>
      </c>
      <c r="AH77" s="15" t="str">
        <f>AND(FinPerf!U79,"AAAAAGr+/iE=")</f>
        <v>#VALUE!:noResult:No valid cells found for operation.</v>
      </c>
      <c r="AI77" s="15" t="str">
        <f>AND(FinPerf!V79,"AAAAAGr+/iI=")</f>
        <v>#VALUE!:noResult:No valid cells found for operation.</v>
      </c>
      <c r="AJ77" s="15">
        <f>IF(FinPerf!R[3],"AAAAAGr+/iM=",0)</f>
        <v>0</v>
      </c>
      <c r="AK77" s="15" t="str">
        <f>AND(FinPerf!A80,"AAAAAGr+/iQ=")</f>
        <v>#VALUE!:noResult:No valid cells found for operation.</v>
      </c>
      <c r="AL77" s="15" t="str">
        <f>AND(FinPerf!B80,"AAAAAGr+/iU=")</f>
        <v>#VALUE!:noResult:No valid cells found for operation.</v>
      </c>
      <c r="AM77" s="15" t="str">
        <f>AND(FinPerf!C80,"AAAAAGr+/iY=")</f>
        <v>#VALUE!:noResult:No valid cells found for operation.</v>
      </c>
      <c r="AN77" s="15" t="str">
        <f>AND(FinPerf!D80,"AAAAAGr+/ic=")</f>
        <v>#VALUE!:noResult:No valid cells found for operation.</v>
      </c>
      <c r="AO77" s="15" t="str">
        <f>AND(FinPerf!E80,"AAAAAGr+/ig=")</f>
        <v>#VALUE!:noResult:No valid cells found for operation.</v>
      </c>
      <c r="AP77" s="15" t="str">
        <f>AND(FinPerf!F80,"AAAAAGr+/ik=")</f>
        <v>#VALUE!:noResult:No valid cells found for operation.</v>
      </c>
      <c r="AQ77" s="15" t="str">
        <f>AND(FinPerf!G80,"AAAAAGr+/io=")</f>
        <v>#VALUE!:noResult:No valid cells found for operation.</v>
      </c>
      <c r="AR77" s="15" t="str">
        <f>AND(FinPerf!H80,"AAAAAGr+/is=")</f>
        <v>#VALUE!:noResult:No valid cells found for operation.</v>
      </c>
      <c r="AS77" s="15" t="str">
        <f>AND(FinPerf!I80,"AAAAAGr+/iw=")</f>
        <v>#VALUE!:noResult:No valid cells found for operation.</v>
      </c>
      <c r="AT77" s="15" t="str">
        <f>AND(FinPerf!J80,"AAAAAGr+/i0=")</f>
        <v>#VALUE!:noResult:No valid cells found for operation.</v>
      </c>
      <c r="AU77" s="15" t="str">
        <f>AND(FinPerf!K80,"AAAAAGr+/i4=")</f>
        <v>#VALUE!:noResult:No valid cells found for operation.</v>
      </c>
      <c r="AV77" s="15" t="str">
        <f>AND(FinPerf!L80,"AAAAAGr+/i8=")</f>
        <v>#VALUE!:noResult:No valid cells found for operation.</v>
      </c>
      <c r="AW77" s="15" t="str">
        <f>AND(FinPerf!M80,"AAAAAGr+/jA=")</f>
        <v>#VALUE!:noResult:No valid cells found for operation.</v>
      </c>
      <c r="AX77" s="15" t="str">
        <f>AND(FinPerf!N80,"AAAAAGr+/jE=")</f>
        <v>#VALUE!:noResult:No valid cells found for operation.</v>
      </c>
      <c r="AY77" s="15" t="str">
        <f>AND(FinPerf!O80,"AAAAAGr+/jI=")</f>
        <v>#VALUE!:noResult:No valid cells found for operation.</v>
      </c>
      <c r="AZ77" s="15" t="str">
        <f>AND(FinPerf!P80,"AAAAAGr+/jM=")</f>
        <v>#VALUE!:noResult:No valid cells found for operation.</v>
      </c>
      <c r="BA77" s="15" t="str">
        <f>AND(FinPerf!Q80,"AAAAAGr+/jQ=")</f>
        <v>#VALUE!:noResult:No valid cells found for operation.</v>
      </c>
      <c r="BB77" s="15" t="str">
        <f>AND(FinPerf!R80,"AAAAAGr+/jU=")</f>
        <v>#VALUE!:noResult:No valid cells found for operation.</v>
      </c>
      <c r="BC77" s="15" t="str">
        <f>AND(FinPerf!S80,"AAAAAGr+/jY=")</f>
        <v>#VALUE!:noResult:No valid cells found for operation.</v>
      </c>
      <c r="BD77" s="15" t="str">
        <f>AND(FinPerf!T80,"AAAAAGr+/jc=")</f>
        <v>#VALUE!:noResult:No valid cells found for operation.</v>
      </c>
      <c r="BE77" s="15" t="str">
        <f>AND(FinPerf!U80,"AAAAAGr+/jg=")</f>
        <v>#VALUE!:noResult:No valid cells found for operation.</v>
      </c>
      <c r="BF77" s="15" t="str">
        <f>AND(FinPerf!V80,"AAAAAGr+/jk=")</f>
        <v>#VALUE!:noResult:No valid cells found for operation.</v>
      </c>
      <c r="BG77" s="15">
        <f>IF(FinPerf!R[4],"AAAAAGr+/jo=",0)</f>
        <v>0</v>
      </c>
      <c r="BH77" s="15" t="b">
        <f>AND(FinPerf!A81,"AAAAAGr+/js=")</f>
        <v>1</v>
      </c>
      <c r="BI77" s="15" t="str">
        <f>AND(FinPerf!B81,"AAAAAGr+/jw=")</f>
        <v>#VALUE!:noResult:No valid cells found for operation.</v>
      </c>
      <c r="BJ77" s="15" t="b">
        <f>AND(FinPerf!C81,"AAAAAGr+/j0=")</f>
        <v>0</v>
      </c>
      <c r="BK77" s="15" t="str">
        <f>AND(FinPerf!D81,"AAAAAGr+/j4=")</f>
        <v>#VALUE!:noResult:No valid cells found for operation.</v>
      </c>
      <c r="BL77" s="15" t="str">
        <f>AND(FinPerf!E81,"AAAAAGr+/j8=")</f>
        <v>#VALUE!:noResult:No valid cells found for operation.</v>
      </c>
      <c r="BM77" s="15" t="str">
        <f>AND(FinPerf!F81,"AAAAAGr+/kA=")</f>
        <v>#VALUE!:noResult:No valid cells found for operation.</v>
      </c>
      <c r="BN77" s="15" t="str">
        <f>AND(FinPerf!G81,"AAAAAGr+/kE=")</f>
        <v>#VALUE!:noResult:No valid cells found for operation.</v>
      </c>
      <c r="BO77" s="15" t="str">
        <f>AND(FinPerf!H81,"AAAAAGr+/kI=")</f>
        <v>#VALUE!:noResult:No valid cells found for operation.</v>
      </c>
      <c r="BP77" s="15" t="str">
        <f>AND(FinPerf!I81,"AAAAAGr+/kM=")</f>
        <v>#VALUE!:noResult:No valid cells found for operation.</v>
      </c>
      <c r="BQ77" s="15" t="str">
        <f>AND(FinPerf!J81,"AAAAAGr+/kQ=")</f>
        <v>#VALUE!:noResult:No valid cells found for operation.</v>
      </c>
      <c r="BR77" s="15" t="str">
        <f>AND(FinPerf!K81,"AAAAAGr+/kU=")</f>
        <v>#VALUE!:noResult:No valid cells found for operation.</v>
      </c>
      <c r="BS77" s="15" t="str">
        <f>AND(FinPerf!L81,"AAAAAGr+/kY=")</f>
        <v>#VALUE!:noResult:No valid cells found for operation.</v>
      </c>
      <c r="BT77" s="15" t="str">
        <f>AND(FinPerf!M81,"AAAAAGr+/kc=")</f>
        <v>#VALUE!:noResult:No valid cells found for operation.</v>
      </c>
      <c r="BU77" s="15" t="str">
        <f>AND(FinPerf!N81,"AAAAAGr+/kg=")</f>
        <v>#VALUE!:noResult:No valid cells found for operation.</v>
      </c>
      <c r="BV77" s="15" t="str">
        <f>AND(FinPerf!O81,"AAAAAGr+/kk=")</f>
        <v>#VALUE!:noResult:No valid cells found for operation.</v>
      </c>
      <c r="BW77" s="15" t="str">
        <f>AND(FinPerf!P81,"AAAAAGr+/ko=")</f>
        <v>#VALUE!:noResult:No valid cells found for operation.</v>
      </c>
      <c r="BX77" s="15" t="str">
        <f>AND(FinPerf!Q81,"AAAAAGr+/ks=")</f>
        <v>#VALUE!:noResult:No valid cells found for operation.</v>
      </c>
      <c r="BY77" s="15" t="str">
        <f>AND(FinPerf!R81,"AAAAAGr+/kw=")</f>
        <v>#VALUE!:noResult:No valid cells found for operation.</v>
      </c>
      <c r="BZ77" s="15" t="str">
        <f>AND(FinPerf!S81,"AAAAAGr+/k0=")</f>
        <v>#VALUE!:noResult:No valid cells found for operation.</v>
      </c>
      <c r="CA77" s="15" t="str">
        <f>AND(FinPerf!T81,"AAAAAGr+/k4=")</f>
        <v>#VALUE!:noResult:No valid cells found for operation.</v>
      </c>
      <c r="CB77" s="15" t="str">
        <f>AND(FinPerf!U81,"AAAAAGr+/k8=")</f>
        <v>#VALUE!:noResult:No valid cells found for operation.</v>
      </c>
      <c r="CC77" s="15" t="str">
        <f>AND(FinPerf!V81,"AAAAAGr+/lA=")</f>
        <v>#VALUE!:noResult:No valid cells found for operation.</v>
      </c>
      <c r="CD77" s="15">
        <f>IF(FinPerf!R[5],"AAAAAGr+/lE=",0)</f>
        <v>0</v>
      </c>
      <c r="CE77" s="15" t="str">
        <f>AND(FinPerf!A82,"AAAAAGr+/lI=")</f>
        <v>#VALUE!:noResult:No valid cells found for operation.</v>
      </c>
      <c r="CF77" s="15" t="str">
        <f>AND(FinPerf!B82,"AAAAAGr+/lM=")</f>
        <v>#VALUE!:noResult:No valid cells found for operation.</v>
      </c>
      <c r="CG77" s="15" t="str">
        <f>AND(FinPerf!C82,"AAAAAGr+/lQ=")</f>
        <v>#VALUE!:noResult:No valid cells found for operation.</v>
      </c>
      <c r="CH77" s="15" t="b">
        <f>AND(FinPerf!D82,"AAAAAGr+/lU=")</f>
        <v>0</v>
      </c>
      <c r="CI77" s="15" t="str">
        <f>AND(FinPerf!E82,"AAAAAGr+/lY=")</f>
        <v>#VALUE!:noResult:No valid cells found for operation.</v>
      </c>
      <c r="CJ77" s="15" t="str">
        <f>AND(FinPerf!F82,"AAAAAGr+/lc=")</f>
        <v>#VALUE!:noResult:No valid cells found for operation.</v>
      </c>
      <c r="CK77" s="15" t="str">
        <f>AND(FinPerf!G82,"AAAAAGr+/lg=")</f>
        <v>#VALUE!:noResult:No valid cells found for operation.</v>
      </c>
      <c r="CL77" s="15" t="str">
        <f>AND(FinPerf!H82,"AAAAAGr+/lk=")</f>
        <v>#VALUE!:noResult:No valid cells found for operation.</v>
      </c>
      <c r="CM77" s="15" t="str">
        <f>AND(FinPerf!I82,"AAAAAGr+/lo=")</f>
        <v>#VALUE!:noResult:No valid cells found for operation.</v>
      </c>
      <c r="CN77" s="15" t="str">
        <f>AND(FinPerf!J82,"AAAAAGr+/ls=")</f>
        <v>#VALUE!:noResult:No valid cells found for operation.</v>
      </c>
      <c r="CO77" s="15" t="str">
        <f>AND(FinPerf!K82,"AAAAAGr+/lw=")</f>
        <v>#VALUE!:noResult:No valid cells found for operation.</v>
      </c>
      <c r="CP77" s="15" t="str">
        <f>AND(FinPerf!L82,"AAAAAGr+/l0=")</f>
        <v>#VALUE!:noResult:No valid cells found for operation.</v>
      </c>
      <c r="CQ77" s="15" t="str">
        <f>AND(FinPerf!M82,"AAAAAGr+/l4=")</f>
        <v>#VALUE!:noResult:No valid cells found for operation.</v>
      </c>
      <c r="CR77" s="15" t="str">
        <f>AND(FinPerf!N82,"AAAAAGr+/l8=")</f>
        <v>#VALUE!:noResult:No valid cells found for operation.</v>
      </c>
      <c r="CS77" s="15" t="str">
        <f>AND(FinPerf!O82,"AAAAAGr+/mA=")</f>
        <v>#VALUE!:noResult:No valid cells found for operation.</v>
      </c>
      <c r="CT77" s="15" t="str">
        <f>AND(FinPerf!P82,"AAAAAGr+/mE=")</f>
        <v>#VALUE!:noResult:No valid cells found for operation.</v>
      </c>
      <c r="CU77" s="15" t="str">
        <f>AND(FinPerf!Q82,"AAAAAGr+/mI=")</f>
        <v>#VALUE!:noResult:No valid cells found for operation.</v>
      </c>
      <c r="CV77" s="15" t="str">
        <f>AND(FinPerf!R82,"AAAAAGr+/mM=")</f>
        <v>#VALUE!:noResult:No valid cells found for operation.</v>
      </c>
      <c r="CW77" s="15" t="str">
        <f>AND(FinPerf!S82,"AAAAAGr+/mQ=")</f>
        <v>#VALUE!:noResult:No valid cells found for operation.</v>
      </c>
      <c r="CX77" s="15" t="str">
        <f>AND(FinPerf!T82,"AAAAAGr+/mU=")</f>
        <v>#VALUE!:noResult:No valid cells found for operation.</v>
      </c>
      <c r="CY77" s="15" t="str">
        <f>AND(FinPerf!U82,"AAAAAGr+/mY=")</f>
        <v>#VALUE!:noResult:No valid cells found for operation.</v>
      </c>
      <c r="CZ77" s="15" t="str">
        <f>AND(FinPerf!V82,"AAAAAGr+/mc=")</f>
        <v>#VALUE!:noResult:No valid cells found for operation.</v>
      </c>
      <c r="DA77" s="15">
        <f>IF(FinPerf!R[6],"AAAAAGr+/mg=",0)</f>
        <v>0</v>
      </c>
      <c r="DB77" s="15" t="str">
        <f>AND(FinPerf!A83,"AAAAAGr+/mk=")</f>
        <v>#VALUE!:noResult:No valid cells found for operation.</v>
      </c>
      <c r="DC77" s="15" t="str">
        <f>AND(FinPerf!B83,"AAAAAGr+/mo=")</f>
        <v>#VALUE!:noResult:No valid cells found for operation.</v>
      </c>
      <c r="DD77" s="15" t="str">
        <f>AND(FinPerf!C83,"AAAAAGr+/ms=")</f>
        <v>#VALUE!:noResult:No valid cells found for operation.</v>
      </c>
      <c r="DE77" s="15" t="str">
        <f>AND(FinPerf!D83,"AAAAAGr+/mw=")</f>
        <v>#VALUE!:noResult:No valid cells found for operation.</v>
      </c>
      <c r="DF77" s="15" t="str">
        <f>AND(FinPerf!E83,"AAAAAGr+/m0=")</f>
        <v>#VALUE!:noResult:No valid cells found for operation.</v>
      </c>
      <c r="DG77" s="15" t="str">
        <f>AND(FinPerf!F83,"AAAAAGr+/m4=")</f>
        <v>#VALUE!:noResult:No valid cells found for operation.</v>
      </c>
      <c r="DH77" s="15" t="str">
        <f>AND(FinPerf!G83,"AAAAAGr+/m8=")</f>
        <v>#VALUE!:noResult:No valid cells found for operation.</v>
      </c>
      <c r="DI77" s="15" t="str">
        <f>AND(FinPerf!H83,"AAAAAGr+/nA=")</f>
        <v>#VALUE!:noResult:No valid cells found for operation.</v>
      </c>
      <c r="DJ77" s="15" t="str">
        <f>AND(FinPerf!I83,"AAAAAGr+/nE=")</f>
        <v>#VALUE!:noResult:No valid cells found for operation.</v>
      </c>
      <c r="DK77" s="15" t="str">
        <f>AND(FinPerf!J83,"AAAAAGr+/nI=")</f>
        <v>#VALUE!:noResult:No valid cells found for operation.</v>
      </c>
      <c r="DL77" s="15" t="str">
        <f>AND(FinPerf!K83,"AAAAAGr+/nM=")</f>
        <v>#VALUE!:noResult:No valid cells found for operation.</v>
      </c>
      <c r="DM77" s="15" t="str">
        <f>AND(FinPerf!L83,"AAAAAGr+/nQ=")</f>
        <v>#VALUE!:noResult:No valid cells found for operation.</v>
      </c>
      <c r="DN77" s="15" t="str">
        <f>AND(FinPerf!M83,"AAAAAGr+/nU=")</f>
        <v>#VALUE!:noResult:No valid cells found for operation.</v>
      </c>
      <c r="DO77" s="15" t="str">
        <f>AND(FinPerf!N83,"AAAAAGr+/nY=")</f>
        <v>#VALUE!:noResult:No valid cells found for operation.</v>
      </c>
      <c r="DP77" s="15" t="str">
        <f>AND(FinPerf!O83,"AAAAAGr+/nc=")</f>
        <v>#VALUE!:noResult:No valid cells found for operation.</v>
      </c>
      <c r="DQ77" s="15" t="str">
        <f>AND(FinPerf!P83,"AAAAAGr+/ng=")</f>
        <v>#VALUE!:noResult:No valid cells found for operation.</v>
      </c>
      <c r="DR77" s="15" t="str">
        <f>AND(FinPerf!Q83,"AAAAAGr+/nk=")</f>
        <v>#VALUE!:noResult:No valid cells found for operation.</v>
      </c>
      <c r="DS77" s="15" t="str">
        <f>AND(FinPerf!R83,"AAAAAGr+/no=")</f>
        <v>#VALUE!:noResult:No valid cells found for operation.</v>
      </c>
      <c r="DT77" s="15" t="str">
        <f>AND(FinPerf!S83,"AAAAAGr+/ns=")</f>
        <v>#VALUE!:noResult:No valid cells found for operation.</v>
      </c>
      <c r="DU77" s="15" t="str">
        <f>AND(FinPerf!T83,"AAAAAGr+/nw=")</f>
        <v>#VALUE!:noResult:No valid cells found for operation.</v>
      </c>
      <c r="DV77" s="15" t="str">
        <f>AND(FinPerf!U83,"AAAAAGr+/n0=")</f>
        <v>#VALUE!:noResult:No valid cells found for operation.</v>
      </c>
      <c r="DW77" s="15" t="str">
        <f>AND(FinPerf!V83,"AAAAAGr+/n4=")</f>
        <v>#VALUE!:noResult:No valid cells found for operation.</v>
      </c>
      <c r="DX77" s="15">
        <f>IF(FinPerf!R[7],"AAAAAGr+/n8=",0)</f>
        <v>0</v>
      </c>
      <c r="DY77" s="15" t="str">
        <f>AND(FinPerf!A84,"AAAAAGr+/oA=")</f>
        <v>#VALUE!:noResult:No valid cells found for operation.</v>
      </c>
      <c r="DZ77" s="15" t="str">
        <f>AND(FinPerf!B84,"AAAAAGr+/oE=")</f>
        <v>#VALUE!:noResult:No valid cells found for operation.</v>
      </c>
      <c r="EA77" s="15" t="str">
        <f>AND(FinPerf!C84,"AAAAAGr+/oI=")</f>
        <v>#VALUE!:noResult:No valid cells found for operation.</v>
      </c>
      <c r="EB77" s="15" t="str">
        <f>AND(FinPerf!D84,"AAAAAGr+/oM=")</f>
        <v>#VALUE!:noResult:No valid cells found for operation.</v>
      </c>
      <c r="EC77" s="15" t="str">
        <f>AND(FinPerf!E84,"AAAAAGr+/oQ=")</f>
        <v>#VALUE!:noResult:No valid cells found for operation.</v>
      </c>
      <c r="ED77" s="15" t="str">
        <f>AND(FinPerf!F84,"AAAAAGr+/oU=")</f>
        <v>#VALUE!:noResult:No valid cells found for operation.</v>
      </c>
      <c r="EE77" s="15" t="str">
        <f>AND(FinPerf!G84,"AAAAAGr+/oY=")</f>
        <v>#VALUE!:noResult:No valid cells found for operation.</v>
      </c>
      <c r="EF77" s="15" t="str">
        <f>AND(FinPerf!H84,"AAAAAGr+/oc=")</f>
        <v>#VALUE!:noResult:No valid cells found for operation.</v>
      </c>
      <c r="EG77" s="15" t="str">
        <f>AND(FinPerf!I84,"AAAAAGr+/og=")</f>
        <v>#VALUE!:noResult:No valid cells found for operation.</v>
      </c>
      <c r="EH77" s="15" t="str">
        <f>AND(FinPerf!J84,"AAAAAGr+/ok=")</f>
        <v>#VALUE!:noResult:No valid cells found for operation.</v>
      </c>
      <c r="EI77" s="15" t="str">
        <f>AND(FinPerf!K84,"AAAAAGr+/oo=")</f>
        <v>#VALUE!:noResult:No valid cells found for operation.</v>
      </c>
      <c r="EJ77" s="15" t="str">
        <f>AND(FinPerf!L84,"AAAAAGr+/os=")</f>
        <v>#VALUE!:noResult:No valid cells found for operation.</v>
      </c>
      <c r="EK77" s="15" t="str">
        <f>AND(FinPerf!M84,"AAAAAGr+/ow=")</f>
        <v>#VALUE!:noResult:No valid cells found for operation.</v>
      </c>
      <c r="EL77" s="15" t="str">
        <f>AND(FinPerf!N84,"AAAAAGr+/o0=")</f>
        <v>#VALUE!:noResult:No valid cells found for operation.</v>
      </c>
      <c r="EM77" s="15" t="str">
        <f>AND(FinPerf!O84,"AAAAAGr+/o4=")</f>
        <v>#VALUE!:noResult:No valid cells found for operation.</v>
      </c>
      <c r="EN77" s="15" t="str">
        <f>AND(FinPerf!P84,"AAAAAGr+/o8=")</f>
        <v>#VALUE!:noResult:No valid cells found for operation.</v>
      </c>
      <c r="EO77" s="15" t="str">
        <f>AND(FinPerf!Q84,"AAAAAGr+/pA=")</f>
        <v>#VALUE!:noResult:No valid cells found for operation.</v>
      </c>
      <c r="EP77" s="15" t="str">
        <f>AND(FinPerf!R84,"AAAAAGr+/pE=")</f>
        <v>#VALUE!:noResult:No valid cells found for operation.</v>
      </c>
      <c r="EQ77" s="15" t="str">
        <f>AND(FinPerf!S84,"AAAAAGr+/pI=")</f>
        <v>#VALUE!:noResult:No valid cells found for operation.</v>
      </c>
      <c r="ER77" s="15" t="str">
        <f>AND(FinPerf!T84,"AAAAAGr+/pM=")</f>
        <v>#VALUE!:noResult:No valid cells found for operation.</v>
      </c>
      <c r="ES77" s="15" t="str">
        <f>AND(FinPerf!U84,"AAAAAGr+/pQ=")</f>
        <v>#VALUE!:noResult:No valid cells found for operation.</v>
      </c>
      <c r="ET77" s="15" t="str">
        <f>AND(FinPerf!V84,"AAAAAGr+/pU=")</f>
        <v>#VALUE!:noResult:No valid cells found for operation.</v>
      </c>
      <c r="EU77" s="15">
        <f>IF(FinPerf!R[8],"AAAAAGr+/pY=",0)</f>
        <v>0</v>
      </c>
      <c r="EV77" s="15" t="b">
        <f>AND(FinPerf!A85,"AAAAAGr+/pc=")</f>
        <v>1</v>
      </c>
      <c r="EW77" s="15" t="str">
        <f>AND(FinPerf!B85,"AAAAAGr+/pg=")</f>
        <v>#VALUE!:noResult:No valid cells found for operation.</v>
      </c>
      <c r="EX77" s="15" t="b">
        <f>AND(FinPerf!C85,"AAAAAGr+/pk=")</f>
        <v>0</v>
      </c>
      <c r="EY77" s="15" t="str">
        <f>AND(FinPerf!D85,"AAAAAGr+/po=")</f>
        <v>#VALUE!:noResult:No valid cells found for operation.</v>
      </c>
      <c r="EZ77" s="15" t="str">
        <f>AND(FinPerf!E85,"AAAAAGr+/ps=")</f>
        <v>#VALUE!:noResult:No valid cells found for operation.</v>
      </c>
      <c r="FA77" s="15" t="str">
        <f>AND(FinPerf!F85,"AAAAAGr+/pw=")</f>
        <v>#VALUE!:noResult:No valid cells found for operation.</v>
      </c>
      <c r="FB77" s="15" t="str">
        <f>AND(FinPerf!G85,"AAAAAGr+/p0=")</f>
        <v>#VALUE!:noResult:No valid cells found for operation.</v>
      </c>
      <c r="FC77" s="15" t="str">
        <f>AND(FinPerf!H85,"AAAAAGr+/p4=")</f>
        <v>#VALUE!:noResult:No valid cells found for operation.</v>
      </c>
      <c r="FD77" s="15" t="str">
        <f>AND(FinPerf!I85,"AAAAAGr+/p8=")</f>
        <v>#VALUE!:noResult:No valid cells found for operation.</v>
      </c>
      <c r="FE77" s="15" t="str">
        <f>AND(FinPerf!J85,"AAAAAGr+/qA=")</f>
        <v>#VALUE!:noResult:No valid cells found for operation.</v>
      </c>
      <c r="FF77" s="15" t="str">
        <f>AND(FinPerf!K85,"AAAAAGr+/qE=")</f>
        <v>#VALUE!:noResult:No valid cells found for operation.</v>
      </c>
      <c r="FG77" s="15" t="str">
        <f>AND(FinPerf!L85,"AAAAAGr+/qI=")</f>
        <v>#VALUE!:noResult:No valid cells found for operation.</v>
      </c>
      <c r="FH77" s="15" t="str">
        <f>AND(FinPerf!M85,"AAAAAGr+/qM=")</f>
        <v>#VALUE!:noResult:No valid cells found for operation.</v>
      </c>
      <c r="FI77" s="15" t="str">
        <f>AND(FinPerf!N85,"AAAAAGr+/qQ=")</f>
        <v>#VALUE!:noResult:No valid cells found for operation.</v>
      </c>
      <c r="FJ77" s="15" t="str">
        <f>AND(FinPerf!O85,"AAAAAGr+/qU=")</f>
        <v>#VALUE!:noResult:No valid cells found for operation.</v>
      </c>
      <c r="FK77" s="15" t="str">
        <f>AND(FinPerf!P85,"AAAAAGr+/qY=")</f>
        <v>#VALUE!:noResult:No valid cells found for operation.</v>
      </c>
      <c r="FL77" s="15" t="str">
        <f>AND(FinPerf!Q85,"AAAAAGr+/qc=")</f>
        <v>#VALUE!:noResult:No valid cells found for operation.</v>
      </c>
      <c r="FM77" s="15" t="str">
        <f>AND(FinPerf!R85,"AAAAAGr+/qg=")</f>
        <v>#VALUE!:noResult:No valid cells found for operation.</v>
      </c>
      <c r="FN77" s="15" t="str">
        <f>AND(FinPerf!S85,"AAAAAGr+/qk=")</f>
        <v>#VALUE!:noResult:No valid cells found for operation.</v>
      </c>
      <c r="FO77" s="15" t="str">
        <f>AND(FinPerf!T85,"AAAAAGr+/qo=")</f>
        <v>#VALUE!:noResult:No valid cells found for operation.</v>
      </c>
      <c r="FP77" s="15" t="str">
        <f>AND(FinPerf!U85,"AAAAAGr+/qs=")</f>
        <v>#VALUE!:noResult:No valid cells found for operation.</v>
      </c>
      <c r="FQ77" s="15" t="str">
        <f>AND(FinPerf!V85,"AAAAAGr+/qw=")</f>
        <v>#VALUE!:noResult:No valid cells found for operation.</v>
      </c>
      <c r="FR77" s="15">
        <f>IF(FinPerf!R[9],"AAAAAGr+/q0=",0)</f>
        <v>0</v>
      </c>
      <c r="FS77" s="15" t="str">
        <f>AND(FinPerf!A86,"AAAAAGr+/q4=")</f>
        <v>#VALUE!:noResult:No valid cells found for operation.</v>
      </c>
      <c r="FT77" s="15" t="str">
        <f>AND(FinPerf!B86,"AAAAAGr+/q8=")</f>
        <v>#VALUE!:noResult:No valid cells found for operation.</v>
      </c>
      <c r="FU77" s="15" t="str">
        <f>AND(FinPerf!C86,"AAAAAGr+/rA=")</f>
        <v>#VALUE!:noResult:No valid cells found for operation.</v>
      </c>
      <c r="FV77" s="15" t="b">
        <f>AND(FinPerf!D86,"AAAAAGr+/rE=")</f>
        <v>0</v>
      </c>
      <c r="FW77" s="15" t="str">
        <f>AND(FinPerf!E86,"AAAAAGr+/rI=")</f>
        <v>#VALUE!:noResult:No valid cells found for operation.</v>
      </c>
      <c r="FX77" s="15" t="str">
        <f>AND(FinPerf!F86,"AAAAAGr+/rM=")</f>
        <v>#VALUE!:noResult:No valid cells found for operation.</v>
      </c>
      <c r="FY77" s="15" t="str">
        <f>AND(FinPerf!G86,"AAAAAGr+/rQ=")</f>
        <v>#VALUE!:noResult:No valid cells found for operation.</v>
      </c>
      <c r="FZ77" s="15" t="str">
        <f>AND(FinPerf!H86,"AAAAAGr+/rU=")</f>
        <v>#VALUE!:noResult:No valid cells found for operation.</v>
      </c>
      <c r="GA77" s="15" t="str">
        <f>AND(FinPerf!I86,"AAAAAGr+/rY=")</f>
        <v>#VALUE!:noResult:No valid cells found for operation.</v>
      </c>
      <c r="GB77" s="15" t="str">
        <f>AND(FinPerf!J86,"AAAAAGr+/rc=")</f>
        <v>#VALUE!:noResult:No valid cells found for operation.</v>
      </c>
      <c r="GC77" s="15" t="str">
        <f>AND(FinPerf!K86,"AAAAAGr+/rg=")</f>
        <v>#VALUE!:noResult:No valid cells found for operation.</v>
      </c>
      <c r="GD77" s="15" t="str">
        <f>AND(FinPerf!L86,"AAAAAGr+/rk=")</f>
        <v>#VALUE!:noResult:No valid cells found for operation.</v>
      </c>
      <c r="GE77" s="15" t="str">
        <f>AND(FinPerf!M86,"AAAAAGr+/ro=")</f>
        <v>#VALUE!:noResult:No valid cells found for operation.</v>
      </c>
      <c r="GF77" s="15" t="str">
        <f>AND(FinPerf!N86,"AAAAAGr+/rs=")</f>
        <v>#VALUE!:noResult:No valid cells found for operation.</v>
      </c>
      <c r="GG77" s="15" t="str">
        <f>AND(FinPerf!O86,"AAAAAGr+/rw=")</f>
        <v>#VALUE!:noResult:No valid cells found for operation.</v>
      </c>
      <c r="GH77" s="15" t="str">
        <f>AND(FinPerf!P86,"AAAAAGr+/r0=")</f>
        <v>#VALUE!:noResult:No valid cells found for operation.</v>
      </c>
      <c r="GI77" s="15" t="str">
        <f>AND(FinPerf!Q86,"AAAAAGr+/r4=")</f>
        <v>#VALUE!:noResult:No valid cells found for operation.</v>
      </c>
      <c r="GJ77" s="15" t="str">
        <f>AND(FinPerf!R86,"AAAAAGr+/r8=")</f>
        <v>#VALUE!:noResult:No valid cells found for operation.</v>
      </c>
      <c r="GK77" s="15" t="str">
        <f>AND(FinPerf!S86,"AAAAAGr+/sA=")</f>
        <v>#VALUE!:noResult:No valid cells found for operation.</v>
      </c>
      <c r="GL77" s="15" t="str">
        <f>AND(FinPerf!T86,"AAAAAGr+/sE=")</f>
        <v>#VALUE!:noResult:No valid cells found for operation.</v>
      </c>
      <c r="GM77" s="15" t="str">
        <f>AND(FinPerf!U86,"AAAAAGr+/sI=")</f>
        <v>#VALUE!:noResult:No valid cells found for operation.</v>
      </c>
      <c r="GN77" s="15" t="str">
        <f>AND(FinPerf!V86,"AAAAAGr+/sM=")</f>
        <v>#VALUE!:noResult:No valid cells found for operation.</v>
      </c>
      <c r="GO77" s="15">
        <f>IF(FinPerf!R[10],"AAAAAGr+/sQ=",0)</f>
        <v>0</v>
      </c>
      <c r="GP77" s="15" t="str">
        <f>AND(FinPerf!A87,"AAAAAGr+/sU=")</f>
        <v>#VALUE!:noResult:No valid cells found for operation.</v>
      </c>
      <c r="GQ77" s="15" t="str">
        <f>AND(FinPerf!B87,"AAAAAGr+/sY=")</f>
        <v>#VALUE!:noResult:No valid cells found for operation.</v>
      </c>
      <c r="GR77" s="15" t="str">
        <f>AND(FinPerf!C87,"AAAAAGr+/sc=")</f>
        <v>#VALUE!:noResult:No valid cells found for operation.</v>
      </c>
      <c r="GS77" s="15" t="str">
        <f>AND(FinPerf!D87,"AAAAAGr+/sg=")</f>
        <v>#VALUE!:noResult:No valid cells found for operation.</v>
      </c>
      <c r="GT77" s="15" t="b">
        <f>AND(FinPerf!E87,"AAAAAGr+/sk=")</f>
        <v>1</v>
      </c>
      <c r="GU77" s="15" t="str">
        <f>AND(FinPerf!F87,"AAAAAGr+/so=")</f>
        <v>#VALUE!:noResult:No valid cells found for operation.</v>
      </c>
      <c r="GV77" s="15" t="str">
        <f>AND(FinPerf!G87,"AAAAAGr+/ss=")</f>
        <v>#VALUE!:noResult:No valid cells found for operation.</v>
      </c>
      <c r="GW77" s="15" t="str">
        <f>AND(FinPerf!H87,"AAAAAGr+/sw=")</f>
        <v>#VALUE!:noResult:No valid cells found for operation.</v>
      </c>
      <c r="GX77" s="15" t="str">
        <f>AND(FinPerf!I87,"AAAAAGr+/s0=")</f>
        <v>#VALUE!:noResult:No valid cells found for operation.</v>
      </c>
      <c r="GY77" s="15" t="str">
        <f>AND(FinPerf!J87,"AAAAAGr+/s4=")</f>
        <v>#VALUE!:noResult:No valid cells found for operation.</v>
      </c>
      <c r="GZ77" s="15" t="str">
        <f>AND(FinPerf!K87,"AAAAAGr+/s8=")</f>
        <v>#VALUE!:noResult:No valid cells found for operation.</v>
      </c>
      <c r="HA77" s="15" t="str">
        <f>AND(FinPerf!L87,"AAAAAGr+/tA=")</f>
        <v>#VALUE!:noResult:No valid cells found for operation.</v>
      </c>
      <c r="HB77" s="15" t="str">
        <f>AND(FinPerf!M87,"AAAAAGr+/tE=")</f>
        <v>#VALUE!:noResult:No valid cells found for operation.</v>
      </c>
      <c r="HC77" s="15" t="str">
        <f>AND(FinPerf!N87,"AAAAAGr+/tI=")</f>
        <v>#VALUE!:noResult:No valid cells found for operation.</v>
      </c>
      <c r="HD77" s="15" t="str">
        <f>AND(FinPerf!O87,"AAAAAGr+/tM=")</f>
        <v>#VALUE!:noResult:No valid cells found for operation.</v>
      </c>
      <c r="HE77" s="15" t="str">
        <f>AND(FinPerf!P87,"AAAAAGr+/tQ=")</f>
        <v>#VALUE!:noResult:No valid cells found for operation.</v>
      </c>
      <c r="HF77" s="15" t="str">
        <f>AND(FinPerf!Q87,"AAAAAGr+/tU=")</f>
        <v>#VALUE!:noResult:No valid cells found for operation.</v>
      </c>
      <c r="HG77" s="15" t="str">
        <f>AND(FinPerf!R87,"AAAAAGr+/tY=")</f>
        <v>#VALUE!:noResult:No valid cells found for operation.</v>
      </c>
      <c r="HH77" s="15" t="str">
        <f>AND(FinPerf!S87,"AAAAAGr+/tc=")</f>
        <v>#VALUE!:noResult:No valid cells found for operation.</v>
      </c>
      <c r="HI77" s="15" t="str">
        <f>AND(FinPerf!T87,"AAAAAGr+/tg=")</f>
        <v>#VALUE!:noResult:No valid cells found for operation.</v>
      </c>
      <c r="HJ77" s="15" t="str">
        <f>AND(FinPerf!U87,"AAAAAGr+/tk=")</f>
        <v>#VALUE!:noResult:No valid cells found for operation.</v>
      </c>
      <c r="HK77" s="15" t="str">
        <f>AND(FinPerf!V87,"AAAAAGr+/to=")</f>
        <v>#VALUE!:noResult:No valid cells found for operation.</v>
      </c>
      <c r="HL77" s="15">
        <f>IF(FinPerf!R[11],"AAAAAGr+/ts=",0)</f>
        <v>0</v>
      </c>
      <c r="HM77" s="15" t="str">
        <f>AND(FinPerf!A88,"AAAAAGr+/tw=")</f>
        <v>#VALUE!:noResult:No valid cells found for operation.</v>
      </c>
      <c r="HN77" s="15" t="str">
        <f>AND(FinPerf!B88,"AAAAAGr+/t0=")</f>
        <v>#VALUE!:noResult:No valid cells found for operation.</v>
      </c>
      <c r="HO77" s="15" t="str">
        <f>AND(FinPerf!C88,"AAAAAGr+/t4=")</f>
        <v>#VALUE!:noResult:No valid cells found for operation.</v>
      </c>
      <c r="HP77" s="15" t="str">
        <f>AND(FinPerf!D88,"AAAAAGr+/t8=")</f>
        <v>#VALUE!:noResult:No valid cells found for operation.</v>
      </c>
      <c r="HQ77" s="15" t="str">
        <f>AND(FinPerf!E88,"AAAAAGr+/uA=")</f>
        <v>#VALUE!:noResult:No valid cells found for operation.</v>
      </c>
      <c r="HR77" s="15" t="str">
        <f>AND(FinPerf!F88,"AAAAAGr+/uE=")</f>
        <v>#VALUE!:noResult:No valid cells found for operation.</v>
      </c>
      <c r="HS77" s="15" t="str">
        <f>AND(FinPerf!G88,"AAAAAGr+/uI=")</f>
        <v>#VALUE!:noResult:No valid cells found for operation.</v>
      </c>
      <c r="HT77" s="15" t="str">
        <f>AND(FinPerf!H88,"AAAAAGr+/uM=")</f>
        <v>#VALUE!:noResult:No valid cells found for operation.</v>
      </c>
      <c r="HU77" s="15" t="str">
        <f>AND(FinPerf!I88,"AAAAAGr+/uQ=")</f>
        <v>#VALUE!:noResult:No valid cells found for operation.</v>
      </c>
      <c r="HV77" s="15" t="str">
        <f>AND(FinPerf!J88,"AAAAAGr+/uU=")</f>
        <v>#VALUE!:noResult:No valid cells found for operation.</v>
      </c>
      <c r="HW77" s="15" t="str">
        <f>AND(FinPerf!K88,"AAAAAGr+/uY=")</f>
        <v>#VALUE!:noResult:No valid cells found for operation.</v>
      </c>
      <c r="HX77" s="15" t="str">
        <f>AND(FinPerf!L88,"AAAAAGr+/uc=")</f>
        <v>#VALUE!:noResult:No valid cells found for operation.</v>
      </c>
      <c r="HY77" s="15" t="str">
        <f>AND(FinPerf!M88,"AAAAAGr+/ug=")</f>
        <v>#VALUE!:noResult:No valid cells found for operation.</v>
      </c>
      <c r="HZ77" s="15" t="str">
        <f>AND(FinPerf!N88,"AAAAAGr+/uk=")</f>
        <v>#VALUE!:noResult:No valid cells found for operation.</v>
      </c>
      <c r="IA77" s="15" t="str">
        <f>AND(FinPerf!O88,"AAAAAGr+/uo=")</f>
        <v>#VALUE!:noResult:No valid cells found for operation.</v>
      </c>
      <c r="IB77" s="15" t="str">
        <f>AND(FinPerf!P88,"AAAAAGr+/us=")</f>
        <v>#VALUE!:noResult:No valid cells found for operation.</v>
      </c>
      <c r="IC77" s="15" t="str">
        <f>AND(FinPerf!Q88,"AAAAAGr+/uw=")</f>
        <v>#VALUE!:noResult:No valid cells found for operation.</v>
      </c>
      <c r="ID77" s="15" t="str">
        <f>AND(FinPerf!R88,"AAAAAGr+/u0=")</f>
        <v>#VALUE!:noResult:No valid cells found for operation.</v>
      </c>
      <c r="IE77" s="15" t="str">
        <f>AND(FinPerf!S88,"AAAAAGr+/u4=")</f>
        <v>#VALUE!:noResult:No valid cells found for operation.</v>
      </c>
      <c r="IF77" s="15" t="str">
        <f>AND(FinPerf!T88,"AAAAAGr+/u8=")</f>
        <v>#VALUE!:noResult:No valid cells found for operation.</v>
      </c>
      <c r="IG77" s="15" t="str">
        <f>AND(FinPerf!U88,"AAAAAGr+/vA=")</f>
        <v>#VALUE!:noResult:No valid cells found for operation.</v>
      </c>
      <c r="IH77" s="15" t="str">
        <f>AND(FinPerf!V88,"AAAAAGr+/vE=")</f>
        <v>#VALUE!:noResult:No valid cells found for operation.</v>
      </c>
      <c r="II77" s="15">
        <f>IF(FinPerf!R[12],"AAAAAGr+/vI=",0)</f>
        <v>0</v>
      </c>
      <c r="IJ77" s="15" t="str">
        <f>AND(FinPerf!A89,"AAAAAGr+/vM=")</f>
        <v>#VALUE!:noResult:No valid cells found for operation.</v>
      </c>
      <c r="IK77" s="15" t="str">
        <f>AND(FinPerf!B89,"AAAAAGr+/vQ=")</f>
        <v>#VALUE!:noResult:No valid cells found for operation.</v>
      </c>
      <c r="IL77" s="15" t="str">
        <f>AND(FinPerf!C89,"AAAAAGr+/vU=")</f>
        <v>#VALUE!:noResult:No valid cells found for operation.</v>
      </c>
      <c r="IM77" s="15" t="str">
        <f>AND(FinPerf!D89,"AAAAAGr+/vY=")</f>
        <v>#VALUE!:noResult:No valid cells found for operation.</v>
      </c>
      <c r="IN77" s="15" t="b">
        <f>AND(FinPerf!E89,"AAAAAGr+/vc=")</f>
        <v>1</v>
      </c>
      <c r="IO77" s="15" t="str">
        <f>AND(FinPerf!F89,"AAAAAGr+/vg=")</f>
        <v>#VALUE!:noResult:No valid cells found for operation.</v>
      </c>
      <c r="IP77" s="15" t="str">
        <f>AND(FinPerf!G89,"AAAAAGr+/vk=")</f>
        <v>#VALUE!:noResult:No valid cells found for operation.</v>
      </c>
      <c r="IQ77" s="15" t="str">
        <f>AND(FinPerf!H89,"AAAAAGr+/vo=")</f>
        <v>#VALUE!:noResult:No valid cells found for operation.</v>
      </c>
      <c r="IR77" s="15" t="str">
        <f>AND(FinPerf!I89,"AAAAAGr+/vs=")</f>
        <v>#VALUE!:noResult:No valid cells found for operation.</v>
      </c>
      <c r="IS77" s="15" t="str">
        <f>AND(FinPerf!J89,"AAAAAGr+/vw=")</f>
        <v>#VALUE!:noResult:No valid cells found for operation.</v>
      </c>
      <c r="IT77" s="15" t="str">
        <f>AND(FinPerf!K89,"AAAAAGr+/v0=")</f>
        <v>#VALUE!:noResult:No valid cells found for operation.</v>
      </c>
      <c r="IU77" s="15" t="str">
        <f>AND(FinPerf!L89,"AAAAAGr+/v4=")</f>
        <v>#VALUE!:noResult:No valid cells found for operation.</v>
      </c>
      <c r="IV77" s="15" t="str">
        <f>AND(FinPerf!M89,"AAAAAGr+/v8=")</f>
        <v>#VALUE!:noResult:No valid cells found for operation.</v>
      </c>
    </row>
    <row r="78">
      <c r="A78" s="15" t="str">
        <f>AND(FinPerf!N89,"AAAAAHDvLwA=")</f>
        <v>#VALUE!:noResult:No valid cells found for operation.</v>
      </c>
      <c r="B78" s="15" t="str">
        <f>AND(FinPerf!O89,"AAAAAHDvLwE=")</f>
        <v>#VALUE!:noResult:No valid cells found for operation.</v>
      </c>
      <c r="C78" s="15" t="str">
        <f>AND(FinPerf!P89,"AAAAAHDvLwI=")</f>
        <v>#VALUE!:noResult:No valid cells found for operation.</v>
      </c>
      <c r="D78" s="15" t="str">
        <f>AND(FinPerf!Q89,"AAAAAHDvLwM=")</f>
        <v>#VALUE!:noResult:No valid cells found for operation.</v>
      </c>
      <c r="E78" s="15" t="str">
        <f>AND(FinPerf!R89,"AAAAAHDvLwQ=")</f>
        <v>#VALUE!:noResult:No valid cells found for operation.</v>
      </c>
      <c r="F78" s="15" t="str">
        <f>AND(FinPerf!S89,"AAAAAHDvLwU=")</f>
        <v>#VALUE!:noResult:No valid cells found for operation.</v>
      </c>
      <c r="G78" s="15" t="str">
        <f>AND(FinPerf!T89,"AAAAAHDvLwY=")</f>
        <v>#VALUE!:noResult:No valid cells found for operation.</v>
      </c>
      <c r="H78" s="15" t="str">
        <f>AND(FinPerf!U89,"AAAAAHDvLwc=")</f>
        <v>#VALUE!:noResult:No valid cells found for operation.</v>
      </c>
      <c r="I78" s="15" t="str">
        <f>AND(FinPerf!V89,"AAAAAHDvLwg=")</f>
        <v>#VALUE!:noResult:No valid cells found for operation.</v>
      </c>
      <c r="J78" s="15">
        <f>IF(FinPerf!R[12],"AAAAAHDvLwk=",0)</f>
        <v>0</v>
      </c>
      <c r="K78" s="15">
        <f>IF(FinPerf!R[13],"AAAAAHDvLwo=",0)</f>
        <v>0</v>
      </c>
      <c r="L78" s="15">
        <f>IF(FinPerf!R[14],"AAAAAHDvLws=",0)</f>
        <v>0</v>
      </c>
      <c r="M78" s="15">
        <f>IF(FinPerf!R[15],"AAAAAHDvLww=",0)</f>
        <v>0</v>
      </c>
      <c r="N78" s="15">
        <f>IF(FinPerf!R[16],"AAAAAHDvLw0=",0)</f>
        <v>0</v>
      </c>
      <c r="O78" s="15">
        <f>IF(FinPerf!R[17],"AAAAAHDvLw4=",0)</f>
        <v>0</v>
      </c>
      <c r="P78" s="15">
        <f>IF(FinPerf!R[18],"AAAAAHDvLw8=",0)</f>
        <v>0</v>
      </c>
      <c r="Q78" s="15">
        <f>IF(FinPerf!R[19],"AAAAAHDvLxA=",0)</f>
        <v>0</v>
      </c>
      <c r="R78" s="15">
        <f>IF(FinPerf!R[20],"AAAAAHDvLxE=",0)</f>
        <v>0</v>
      </c>
      <c r="S78" s="15">
        <f>IF(FinPerf!R[21],"AAAAAHDvLxI=",0)</f>
        <v>0</v>
      </c>
      <c r="T78" s="15">
        <f>IF(FinPerf!R[22],"AAAAAHDvLxM=",0)</f>
        <v>0</v>
      </c>
      <c r="U78" s="15">
        <f>IF(FinPerf!R[23],"AAAAAHDvLxQ=",0)</f>
        <v>0</v>
      </c>
      <c r="V78" s="15">
        <f>IF(FinPerf!R[24],"AAAAAHDvLxU=",0)</f>
        <v>0</v>
      </c>
      <c r="W78" s="15">
        <f>IF(FinPerf!R[25],"AAAAAHDvLxY=",0)</f>
        <v>0</v>
      </c>
      <c r="X78" s="15">
        <f>IF(FinPerf!R[26],"AAAAAHDvLxc=",0)</f>
        <v>0</v>
      </c>
      <c r="Y78" s="15">
        <f>IF(FinPerf!R[27],"AAAAAHDvLxg=",0)</f>
        <v>0</v>
      </c>
      <c r="Z78" s="15">
        <f>IF(FinPerf!R[28],"AAAAAHDvLxk=",0)</f>
        <v>0</v>
      </c>
      <c r="AA78" s="15">
        <f>IF(FinPerf!R[29],"AAAAAHDvLxo=",0)</f>
        <v>0</v>
      </c>
      <c r="AB78" s="15">
        <f>IF(FinPerf!R[30],"AAAAAHDvLxs=",0)</f>
        <v>0</v>
      </c>
      <c r="AC78" s="15">
        <f>IF(FinPerf!R[31],"AAAAAHDvLxw=",0)</f>
        <v>0</v>
      </c>
      <c r="AD78" s="15">
        <f>IF(FinPerf!R[32],"AAAAAHDvLx0=",0)</f>
        <v>0</v>
      </c>
      <c r="AE78" s="15">
        <f>IF(FinPerf!R[33],"AAAAAHDvLx4=",0)</f>
        <v>0</v>
      </c>
      <c r="AF78" s="15">
        <f>IF(FinPerf!R[34],"AAAAAHDvLx8=",0)</f>
        <v>0</v>
      </c>
      <c r="AG78" s="15">
        <f>IF(FinPerf!R[35],"AAAAAHDvLyA=",0)</f>
        <v>0</v>
      </c>
      <c r="AH78" s="15">
        <f>IF(FinPerf!R[36],"AAAAAHDvLyE=",0)</f>
        <v>0</v>
      </c>
      <c r="AI78" s="15">
        <f>IF(FinPerf!R[37],"AAAAAHDvLyI=",0)</f>
        <v>0</v>
      </c>
      <c r="AJ78" s="15">
        <f>IF(FinPerf!R[38],"AAAAAHDvLyM=",0)</f>
        <v>0</v>
      </c>
      <c r="AK78" s="15">
        <f>IF(FinPerf!R[39],"AAAAAHDvLyQ=",0)</f>
        <v>0</v>
      </c>
      <c r="AL78" s="15">
        <f>IF(FinPerf!R[40],"AAAAAHDvLyU=",0)</f>
        <v>0</v>
      </c>
      <c r="AM78" s="15">
        <f>IF(FinPerf!R[41],"AAAAAHDvLyY=",0)</f>
        <v>0</v>
      </c>
      <c r="AN78" s="15">
        <f>IF(FinPerf!R[42],"AAAAAHDvLyc=",0)</f>
        <v>0</v>
      </c>
      <c r="AO78" s="15">
        <f>IF(FinPerf!R[43],"AAAAAHDvLyg=",0)</f>
        <v>0</v>
      </c>
      <c r="AP78" s="15">
        <f>IF(FinPerf!R[44],"AAAAAHDvLyk=",0)</f>
        <v>0</v>
      </c>
      <c r="AQ78" s="15">
        <f>IF(FinPerf!R[45],"AAAAAHDvLyo=",0)</f>
        <v>0</v>
      </c>
      <c r="AR78" s="15">
        <f>IF(FinPerf!R[46],"AAAAAHDvLys=",0)</f>
        <v>0</v>
      </c>
      <c r="AS78" s="15">
        <f>IF(FinPerf!R[47],"AAAAAHDvLyw=",0)</f>
        <v>0</v>
      </c>
      <c r="AT78" s="15">
        <f>IF(FinPerf!R[48],"AAAAAHDvLy0=",0)</f>
        <v>0</v>
      </c>
      <c r="AU78" s="15">
        <f>IF(FinPerf!R[49],"AAAAAHDvLy4=",0)</f>
        <v>0</v>
      </c>
      <c r="AV78" s="15">
        <f>IF(FinPerf!R[50],"AAAAAHDvLy8=",0)</f>
        <v>0</v>
      </c>
      <c r="AW78" s="15">
        <f>IF(FinPerf!R[51],"AAAAAHDvLzA=",0)</f>
        <v>0</v>
      </c>
      <c r="AX78" s="15">
        <f>IF(FinPerf!R[52],"AAAAAHDvLzE=",0)</f>
        <v>0</v>
      </c>
      <c r="AY78" s="15">
        <f>IF(FinPerf!R[53],"AAAAAHDvLzI=",0)</f>
        <v>0</v>
      </c>
      <c r="AZ78" s="15">
        <f>IF(FinPerf!R[54],"AAAAAHDvLzM=",0)</f>
        <v>0</v>
      </c>
      <c r="BA78" s="15">
        <f>IF(FinPerf!R[55],"AAAAAHDvLzQ=",0)</f>
        <v>0</v>
      </c>
      <c r="BB78" s="15">
        <f>IF(FinPerf!R[56],"AAAAAHDvLzU=",0)</f>
        <v>0</v>
      </c>
      <c r="BC78" s="15">
        <f>IF(FinPerf!R[57],"AAAAAHDvLzY=",0)</f>
        <v>0</v>
      </c>
      <c r="BD78" s="15">
        <f>IF(FinPerf!R[58],"AAAAAHDvLzc=",0)</f>
        <v>0</v>
      </c>
      <c r="BE78" s="15">
        <f>IF(FinPerf!R[59],"AAAAAHDvLzg=",0)</f>
        <v>0</v>
      </c>
      <c r="BF78" s="15">
        <f>IF(FinPerf!R[60],"AAAAAHDvLzk=",0)</f>
        <v>0</v>
      </c>
      <c r="BG78" s="15">
        <f>IF(FinPerf!R[61],"AAAAAHDvLzo=",0)</f>
        <v>0</v>
      </c>
      <c r="BH78" s="15">
        <f>IF(FinPerf!R[62],"AAAAAHDvLzs=",0)</f>
        <v>0</v>
      </c>
      <c r="BI78" s="15">
        <f>IF(FinPerf!R[63],"AAAAAHDvLzw=",0)</f>
        <v>0</v>
      </c>
      <c r="BJ78" s="15">
        <f>IF(FinPerf!R[64],"AAAAAHDvLz0=",0)</f>
        <v>0</v>
      </c>
      <c r="BK78" s="15">
        <f>IF(FinPerf!R[65],"AAAAAHDvLz4=",0)</f>
        <v>0</v>
      </c>
      <c r="BL78" s="15">
        <f>IF(FinPerf!R[66],"AAAAAHDvLz8=",0)</f>
        <v>0</v>
      </c>
      <c r="BM78" s="15">
        <f>IF(FinPerf!R[67],"AAAAAHDvL0A=",0)</f>
        <v>0</v>
      </c>
      <c r="BN78" s="15">
        <f>IF(FinPerf!R[68],"AAAAAHDvL0E=",0)</f>
        <v>0</v>
      </c>
      <c r="BO78" s="15">
        <f>IF(FinPerf!R[69],"AAAAAHDvL0I=",0)</f>
        <v>0</v>
      </c>
      <c r="BP78" s="15">
        <f>IF(FinPerf!R[70],"AAAAAHDvL0M=",0)</f>
        <v>0</v>
      </c>
      <c r="BQ78" s="15">
        <f>IF(FinPerf!R[71],"AAAAAHDvL0Q=",0)</f>
        <v>0</v>
      </c>
      <c r="BR78" s="15">
        <f>IF(FinPerf!R[72],"AAAAAHDvL0U=",0)</f>
        <v>0</v>
      </c>
      <c r="BS78" s="15">
        <f>IF(FinPerf!R[73],"AAAAAHDvL0Y=",0)</f>
        <v>0</v>
      </c>
      <c r="BT78" s="15">
        <f>IF(FinPerf!R[74],"AAAAAHDvL0c=",0)</f>
        <v>0</v>
      </c>
      <c r="BU78" s="15">
        <f>IF(FinPerf!R[75],"AAAAAHDvL0g=",0)</f>
        <v>0</v>
      </c>
      <c r="BV78" s="15">
        <f>IF(FinPerf!R[76],"AAAAAHDvL0k=",0)</f>
        <v>0</v>
      </c>
      <c r="BW78" s="15">
        <f>IF(FinPerf!R[77],"AAAAAHDvL0o=",0)</f>
        <v>0</v>
      </c>
      <c r="BX78" s="15">
        <f>IF(FinPerf!R[78],"AAAAAHDvL0s=",0)</f>
        <v>0</v>
      </c>
      <c r="BY78" s="15">
        <f>IF(FinPerf!R[79],"AAAAAHDvL0w=",0)</f>
        <v>0</v>
      </c>
      <c r="BZ78" s="15">
        <f>IF(FinPerf!R[80],"AAAAAHDvL00=",0)</f>
        <v>0</v>
      </c>
      <c r="CA78" s="15">
        <f>IF(FinPerf!R[81],"AAAAAHDvL04=",0)</f>
        <v>0</v>
      </c>
      <c r="CB78" s="15">
        <f>IF(FinPerf!R[82],"AAAAAHDvL08=",0)</f>
        <v>0</v>
      </c>
      <c r="CC78" s="15">
        <f>IF(FinPerf!R[83],"AAAAAHDvL1A=",0)</f>
        <v>0</v>
      </c>
      <c r="CD78" s="15">
        <f>IF(FinPerf!R[84],"AAAAAHDvL1E=",0)</f>
        <v>0</v>
      </c>
      <c r="CE78" s="15">
        <f>IF(FinPerf!R[85],"AAAAAHDvL1I=",0)</f>
        <v>0</v>
      </c>
      <c r="CF78" s="15">
        <f>IF(FinPerf!R[86],"AAAAAHDvL1M=",0)</f>
        <v>0</v>
      </c>
      <c r="CG78" s="15">
        <f>IF(FinPerf!R[87],"AAAAAHDvL1Q=",0)</f>
        <v>0</v>
      </c>
      <c r="CH78" s="15">
        <f>IF(FinPerf!R[88],"AAAAAHDvL1U=",0)</f>
        <v>0</v>
      </c>
      <c r="CI78" s="15">
        <f>IF(FinPerf!R[89],"AAAAAHDvL1Y=",0)</f>
        <v>0</v>
      </c>
      <c r="CJ78" s="15">
        <f>IF(FinPerf!R[90],"AAAAAHDvL1c=",0)</f>
        <v>0</v>
      </c>
      <c r="CK78" s="15">
        <f>IF(FinPerf!C[-88],"AAAAAHDvL1g=",0)</f>
        <v>0</v>
      </c>
      <c r="CL78" s="15">
        <f>IF(FinPerf!C[-88],"AAAAAHDvL1k=",0)</f>
        <v>0</v>
      </c>
      <c r="CM78" s="15">
        <f>IF(FinPerf!C[-88],"AAAAAHDvL1o=",0)</f>
        <v>0</v>
      </c>
      <c r="CN78" s="15">
        <f>IF(FinPerf!C[-88],"AAAAAHDvL1s=",0)</f>
        <v>0</v>
      </c>
      <c r="CO78" s="15">
        <f>IF(FinPerf!C[-88],"AAAAAHDvL1w=",0)</f>
        <v>0</v>
      </c>
      <c r="CP78" s="15">
        <f>IF(FinPerf!C[-88],"AAAAAHDvL10=",0)</f>
        <v>0</v>
      </c>
      <c r="CQ78" s="15">
        <f>IF(FinPerf!C[-88],"AAAAAHDvL14=",0)</f>
        <v>0</v>
      </c>
      <c r="CR78" s="15">
        <f>IF(FinPerf!C[-88],"AAAAAHDvL18=",0)</f>
        <v>0</v>
      </c>
      <c r="CS78" s="15">
        <f>IF(FinPerf!C[-88],"AAAAAHDvL2A=",0)</f>
        <v>0</v>
      </c>
      <c r="CT78" s="15">
        <f>IF(FinPerf!C[-88],"AAAAAHDvL2E=",0)</f>
        <v>0</v>
      </c>
      <c r="CU78" s="15">
        <f>IF(FinPerf!C[-88],"AAAAAHDvL2I=",0)</f>
        <v>0</v>
      </c>
      <c r="CV78" s="15">
        <f>IF(FinPerf!C[-88],"AAAAAHDvL2M=",0)</f>
        <v>0</v>
      </c>
      <c r="CW78" s="15">
        <f>IF(FinPerf!C[-88],"AAAAAHDvL2Q=",0)</f>
        <v>0</v>
      </c>
      <c r="CX78" s="15">
        <f>IF(FinPerf!C[-88],"AAAAAHDvL2U=",0)</f>
        <v>0</v>
      </c>
      <c r="CY78" s="15">
        <f>IF(FinPerf!C[-88],"AAAAAHDvL2Y=",0)</f>
        <v>0</v>
      </c>
      <c r="CZ78" s="15">
        <f>IF(FinPerf!C[-88],"AAAAAHDvL2c=",0)</f>
        <v>0</v>
      </c>
      <c r="DA78" s="15">
        <f>IF(FinPerf!C[-88],"AAAAAHDvL2g=",0)</f>
        <v>0</v>
      </c>
      <c r="DB78" s="15">
        <f>IF(FinPerf!C[-88],"AAAAAHDvL2k=",0)</f>
        <v>0</v>
      </c>
      <c r="DC78" s="15">
        <f>IF(FinPerf!C[-88],"AAAAAHDvL2o=",0)</f>
        <v>0</v>
      </c>
      <c r="DD78" s="15">
        <f>IF(FinPerf!C[-88],"AAAAAHDvL2s=",0)</f>
        <v>0</v>
      </c>
      <c r="DE78" s="15">
        <f>IF(FinPerf!C[-88],"AAAAAHDvL2w=",0)</f>
        <v>0</v>
      </c>
      <c r="DF78" s="15">
        <f>IF(FinPerf!C[-88],"AAAAAHDvL20=",0)</f>
        <v>0</v>
      </c>
      <c r="DG78" s="15">
        <f>IF(FinPos!R[-77],"AAAAAHDvL24=",0)</f>
        <v>0</v>
      </c>
      <c r="DH78" s="15" t="str">
        <f>AND(FinPos!A1,"AAAAAHDvL28=")</f>
        <v>#VALUE!:noResult:No valid cells found for operation.</v>
      </c>
      <c r="DI78" s="15" t="str">
        <f>AND(FinPos!B1,"AAAAAHDvL3A=")</f>
        <v>#VALUE!:noResult:No valid cells found for operation.</v>
      </c>
      <c r="DJ78" s="15" t="str">
        <f>AND(FinPos!C1,"AAAAAHDvL3E=")</f>
        <v>#VALUE!:noResult:No valid cells found for operation.</v>
      </c>
      <c r="DK78" s="15" t="str">
        <f>AND(FinPos!D1,"AAAAAHDvL3I=")</f>
        <v>#VALUE!:noResult:No valid cells found for operation.</v>
      </c>
      <c r="DL78" s="15" t="str">
        <f>AND(FinPos!F1,"AAAAAHDvL3M=")</f>
        <v>#VALUE!:noResult:No valid cells found for operation.</v>
      </c>
      <c r="DM78" s="15" t="str">
        <f>#REF!</f>
        <v>#VALUE!:noResult:No valid cells found for operation.</v>
      </c>
      <c r="DN78" s="15" t="str">
        <f>AND(FinPos!G1,"AAAAAHDvL3U=")</f>
        <v>#VALUE!:noResult:No valid cells found for operation.</v>
      </c>
      <c r="DO78" s="15" t="str">
        <f>AND(FinPos!H1,"AAAAAHDvL3Y=")</f>
        <v>#VALUE!:noResult:No valid cells found for operation.</v>
      </c>
      <c r="DP78" s="15" t="str">
        <f>AND(FinPos!I1,"AAAAAHDvL3c=")</f>
        <v>#VALUE!:noResult:No valid cells found for operation.</v>
      </c>
      <c r="DQ78" s="15" t="str">
        <f>AND(FinPos!J1,"AAAAAHDvL3g=")</f>
        <v>#VALUE!:noResult:No valid cells found for operation.</v>
      </c>
      <c r="DR78" s="15" t="str">
        <f>AND(FinPos!K1,"AAAAAHDvL3k=")</f>
        <v>#VALUE!:noResult:No valid cells found for operation.</v>
      </c>
      <c r="DS78" s="15" t="str">
        <f>AND(FinPos!L1,"AAAAAHDvL3o=")</f>
        <v>#VALUE!:noResult:No valid cells found for operation.</v>
      </c>
      <c r="DT78" s="15" t="str">
        <f>AND(FinPos!M1,"AAAAAHDvL3s=")</f>
        <v>#VALUE!:noResult:No valid cells found for operation.</v>
      </c>
      <c r="DU78" s="15" t="str">
        <f>AND(FinPos!N1,"AAAAAHDvL3w=")</f>
        <v>#VALUE!:noResult:No valid cells found for operation.</v>
      </c>
      <c r="DV78" s="15" t="str">
        <f>AND(FinPos!O1,"AAAAAHDvL30=")</f>
        <v>#VALUE!:noResult:No valid cells found for operation.</v>
      </c>
      <c r="DW78" s="15" t="str">
        <f>AND(FinPos!P1,"AAAAAHDvL34=")</f>
        <v>#VALUE!:noResult:No valid cells found for operation.</v>
      </c>
      <c r="DX78" s="15" t="str">
        <f>AND(FinPos!Q1,"AAAAAHDvL38=")</f>
        <v>#VALUE!:noResult:No valid cells found for operation.</v>
      </c>
      <c r="DY78" s="15" t="str">
        <f>AND(FinPos!R1,"AAAAAHDvL4A=")</f>
        <v>#VALUE!:noResult:No valid cells found for operation.</v>
      </c>
      <c r="DZ78" s="15" t="str">
        <f>AND(FinPos!S1,"AAAAAHDvL4E=")</f>
        <v>#VALUE!:noResult:No valid cells found for operation.</v>
      </c>
      <c r="EA78" s="15" t="str">
        <f>AND(FinPos!T1,"AAAAAHDvL4I=")</f>
        <v>#VALUE!:noResult:No valid cells found for operation.</v>
      </c>
      <c r="EB78" s="15" t="str">
        <f>AND(FinPos!U1,"AAAAAHDvL4M=")</f>
        <v>#VALUE!:noResult:No valid cells found for operation.</v>
      </c>
      <c r="EC78" s="15">
        <f>IF(FinPos!R[-76],"AAAAAHDvL4Q=",0)</f>
        <v>0</v>
      </c>
      <c r="ED78" s="15" t="str">
        <f>AND(FinPos!A2,"AAAAAHDvL4U=")</f>
        <v>#VALUE!:noResult:No valid cells found for operation.</v>
      </c>
      <c r="EE78" s="15" t="str">
        <f>AND(FinPos!B2,"AAAAAHDvL4Y=")</f>
        <v>#VALUE!:noResult:No valid cells found for operation.</v>
      </c>
      <c r="EF78" s="15" t="str">
        <f>AND(FinPos!C2,"AAAAAHDvL4c=")</f>
        <v>#VALUE!:noResult:No valid cells found for operation.</v>
      </c>
      <c r="EG78" s="15" t="str">
        <f>AND(FinPos!D2,"AAAAAHDvL4g=")</f>
        <v>#VALUE!:noResult:No valid cells found for operation.</v>
      </c>
      <c r="EH78" s="15" t="str">
        <f>AND(FinPos!F2,"AAAAAHDvL4k=")</f>
        <v>#VALUE!:noResult:No valid cells found for operation.</v>
      </c>
      <c r="EI78" s="15" t="str">
        <f>#REF!</f>
        <v>#VALUE!:noResult:No valid cells found for operation.</v>
      </c>
      <c r="EJ78" s="15" t="str">
        <f>AND(FinPos!G2,"AAAAAHDvL4s=")</f>
        <v>#VALUE!:noResult:No valid cells found for operation.</v>
      </c>
      <c r="EK78" s="15" t="str">
        <f>AND(FinPos!H2,"AAAAAHDvL4w=")</f>
        <v>#VALUE!:noResult:No valid cells found for operation.</v>
      </c>
      <c r="EL78" s="15" t="str">
        <f>AND(FinPos!I2,"AAAAAHDvL40=")</f>
        <v>#VALUE!:noResult:No valid cells found for operation.</v>
      </c>
      <c r="EM78" s="15" t="str">
        <f>AND(FinPos!J2,"AAAAAHDvL44=")</f>
        <v>#VALUE!:noResult:No valid cells found for operation.</v>
      </c>
      <c r="EN78" s="15" t="str">
        <f>AND(FinPos!K2,"AAAAAHDvL48=")</f>
        <v>#VALUE!:noResult:No valid cells found for operation.</v>
      </c>
      <c r="EO78" s="15" t="str">
        <f>AND(FinPos!L2,"AAAAAHDvL5A=")</f>
        <v>#VALUE!:noResult:No valid cells found for operation.</v>
      </c>
      <c r="EP78" s="15" t="str">
        <f>AND(FinPos!M2,"AAAAAHDvL5E=")</f>
        <v>#VALUE!:noResult:No valid cells found for operation.</v>
      </c>
      <c r="EQ78" s="15" t="str">
        <f>AND(FinPos!N2,"AAAAAHDvL5I=")</f>
        <v>#VALUE!:noResult:No valid cells found for operation.</v>
      </c>
      <c r="ER78" s="15" t="str">
        <f>AND(FinPos!O2,"AAAAAHDvL5M=")</f>
        <v>#VALUE!:noResult:No valid cells found for operation.</v>
      </c>
      <c r="ES78" s="15" t="str">
        <f>AND(FinPos!P2,"AAAAAHDvL5Q=")</f>
        <v>#VALUE!:noResult:No valid cells found for operation.</v>
      </c>
      <c r="ET78" s="15" t="str">
        <f>AND(FinPos!Q2,"AAAAAHDvL5U=")</f>
        <v>#VALUE!:noResult:No valid cells found for operation.</v>
      </c>
      <c r="EU78" s="15" t="str">
        <f>AND(FinPos!R2,"AAAAAHDvL5Y=")</f>
        <v>#VALUE!:noResult:No valid cells found for operation.</v>
      </c>
      <c r="EV78" s="15" t="str">
        <f>AND(FinPos!S2,"AAAAAHDvL5c=")</f>
        <v>#VALUE!:noResult:No valid cells found for operation.</v>
      </c>
      <c r="EW78" s="15" t="str">
        <f>AND(FinPos!T2,"AAAAAHDvL5g=")</f>
        <v>#VALUE!:noResult:No valid cells found for operation.</v>
      </c>
      <c r="EX78" s="15" t="str">
        <f>AND(FinPos!U2,"AAAAAHDvL5k=")</f>
        <v>#VALUE!:noResult:No valid cells found for operation.</v>
      </c>
      <c r="EY78" s="15">
        <f>IF(FinPos!R[-75],"AAAAAHDvL5o=",0)</f>
        <v>0</v>
      </c>
      <c r="EZ78" s="15" t="str">
        <f>AND(FinPos!A3,"AAAAAHDvL5s=")</f>
        <v>#VALUE!:noResult:No valid cells found for operation.</v>
      </c>
      <c r="FA78" s="15" t="str">
        <f>AND(FinPos!B3,"AAAAAHDvL5w=")</f>
        <v>#VALUE!:noResult:No valid cells found for operation.</v>
      </c>
      <c r="FB78" s="15" t="str">
        <f>AND(FinPos!C3,"AAAAAHDvL50=")</f>
        <v>#VALUE!:noResult:No valid cells found for operation.</v>
      </c>
      <c r="FC78" s="15" t="str">
        <f>AND(FinPos!D3,"AAAAAHDvL54=")</f>
        <v>#VALUE!:noResult:No valid cells found for operation.</v>
      </c>
      <c r="FD78" s="15" t="str">
        <f>AND(FinPos!F3,"AAAAAHDvL58=")</f>
        <v>#VALUE!:noResult:No valid cells found for operation.</v>
      </c>
      <c r="FE78" s="15" t="str">
        <f>#REF!</f>
        <v>#VALUE!:noResult:No valid cells found for operation.</v>
      </c>
      <c r="FF78" s="15" t="str">
        <f>AND(FinPos!G3,"AAAAAHDvL6E=")</f>
        <v>#VALUE!:noResult:No valid cells found for operation.</v>
      </c>
      <c r="FG78" s="15" t="str">
        <f>AND(FinPos!H3,"AAAAAHDvL6I=")</f>
        <v>#VALUE!:noResult:No valid cells found for operation.</v>
      </c>
      <c r="FH78" s="15" t="str">
        <f>AND(FinPos!I3,"AAAAAHDvL6M=")</f>
        <v>#VALUE!:noResult:No valid cells found for operation.</v>
      </c>
      <c r="FI78" s="15" t="str">
        <f>AND(FinPos!J3,"AAAAAHDvL6Q=")</f>
        <v>#VALUE!:noResult:No valid cells found for operation.</v>
      </c>
      <c r="FJ78" s="15" t="str">
        <f>AND(FinPos!K3,"AAAAAHDvL6U=")</f>
        <v>#VALUE!:noResult:No valid cells found for operation.</v>
      </c>
      <c r="FK78" s="15" t="str">
        <f>AND(FinPos!L3,"AAAAAHDvL6Y=")</f>
        <v>#VALUE!:noResult:No valid cells found for operation.</v>
      </c>
      <c r="FL78" s="15" t="str">
        <f>AND(FinPos!M3,"AAAAAHDvL6c=")</f>
        <v>#VALUE!:noResult:No valid cells found for operation.</v>
      </c>
      <c r="FM78" s="15" t="str">
        <f>AND(FinPos!N3,"AAAAAHDvL6g=")</f>
        <v>#VALUE!:noResult:No valid cells found for operation.</v>
      </c>
      <c r="FN78" s="15" t="str">
        <f>AND(FinPos!O3,"AAAAAHDvL6k=")</f>
        <v>#VALUE!:noResult:No valid cells found for operation.</v>
      </c>
      <c r="FO78" s="15" t="str">
        <f>AND(FinPos!P3,"AAAAAHDvL6o=")</f>
        <v>#VALUE!:noResult:No valid cells found for operation.</v>
      </c>
      <c r="FP78" s="15" t="str">
        <f>AND(FinPos!Q3,"AAAAAHDvL6s=")</f>
        <v>#VALUE!:noResult:No valid cells found for operation.</v>
      </c>
      <c r="FQ78" s="15" t="str">
        <f>AND(FinPos!R3,"AAAAAHDvL6w=")</f>
        <v>#VALUE!:noResult:No valid cells found for operation.</v>
      </c>
      <c r="FR78" s="15" t="str">
        <f>AND(FinPos!S3,"AAAAAHDvL60=")</f>
        <v>#VALUE!:noResult:No valid cells found for operation.</v>
      </c>
      <c r="FS78" s="15" t="str">
        <f>AND(FinPos!T3,"AAAAAHDvL64=")</f>
        <v>#VALUE!:noResult:No valid cells found for operation.</v>
      </c>
      <c r="FT78" s="15" t="str">
        <f>AND(FinPos!U3,"AAAAAHDvL68=")</f>
        <v>#VALUE!:noResult:No valid cells found for operation.</v>
      </c>
      <c r="FU78" s="15">
        <f>IF(FinPos!R[-74],"AAAAAHDvL7A=",0)</f>
        <v>0</v>
      </c>
      <c r="FV78" s="15" t="str">
        <f>AND(FinPos!A4,"AAAAAHDvL7E=")</f>
        <v>#VALUE!:noResult:No valid cells found for operation.</v>
      </c>
      <c r="FW78" s="15" t="str">
        <f>AND(FinPos!B4,"AAAAAHDvL7I=")</f>
        <v>#VALUE!:noResult:No valid cells found for operation.</v>
      </c>
      <c r="FX78" s="15" t="str">
        <f>AND(FinPos!C4,"AAAAAHDvL7M=")</f>
        <v>#VALUE!:noResult:No valid cells found for operation.</v>
      </c>
      <c r="FY78" s="15" t="str">
        <f>AND(FinPos!D4,"AAAAAHDvL7Q=")</f>
        <v>#VALUE!:noResult:No valid cells found for operation.</v>
      </c>
      <c r="FZ78" s="15" t="str">
        <f>AND(FinPos!F4,"AAAAAHDvL7U=")</f>
        <v>#VALUE!:noResult:No valid cells found for operation.</v>
      </c>
      <c r="GA78" s="15" t="str">
        <f>#REF!</f>
        <v>#VALUE!:noResult:No valid cells found for operation.</v>
      </c>
      <c r="GB78" s="15" t="str">
        <f>AND(FinPos!G4,"AAAAAHDvL7c=")</f>
        <v>#VALUE!:noResult:No valid cells found for operation.</v>
      </c>
      <c r="GC78" s="15" t="str">
        <f>AND(FinPos!H4,"AAAAAHDvL7g=")</f>
        <v>#VALUE!:noResult:No valid cells found for operation.</v>
      </c>
      <c r="GD78" s="15" t="str">
        <f>AND(FinPos!I4,"AAAAAHDvL7k=")</f>
        <v>#VALUE!:noResult:No valid cells found for operation.</v>
      </c>
      <c r="GE78" s="15" t="str">
        <f>AND(FinPos!J4,"AAAAAHDvL7o=")</f>
        <v>#VALUE!:noResult:No valid cells found for operation.</v>
      </c>
      <c r="GF78" s="15" t="str">
        <f>AND(FinPos!K4,"AAAAAHDvL7s=")</f>
        <v>#VALUE!:noResult:No valid cells found for operation.</v>
      </c>
      <c r="GG78" s="15" t="str">
        <f>AND(FinPos!L4,"AAAAAHDvL7w=")</f>
        <v>#VALUE!:noResult:No valid cells found for operation.</v>
      </c>
      <c r="GH78" s="15" t="str">
        <f>AND(FinPos!M4,"AAAAAHDvL70=")</f>
        <v>#VALUE!:noResult:No valid cells found for operation.</v>
      </c>
      <c r="GI78" s="15" t="str">
        <f>AND(FinPos!N4,"AAAAAHDvL74=")</f>
        <v>#VALUE!:noResult:No valid cells found for operation.</v>
      </c>
      <c r="GJ78" s="15" t="str">
        <f>AND(FinPos!O4,"AAAAAHDvL78=")</f>
        <v>#VALUE!:noResult:No valid cells found for operation.</v>
      </c>
      <c r="GK78" s="15" t="str">
        <f>AND(FinPos!P4,"AAAAAHDvL8A=")</f>
        <v>#VALUE!:noResult:No valid cells found for operation.</v>
      </c>
      <c r="GL78" s="15" t="str">
        <f>AND(FinPos!Q4,"AAAAAHDvL8E=")</f>
        <v>#VALUE!:noResult:No valid cells found for operation.</v>
      </c>
      <c r="GM78" s="15" t="str">
        <f>AND(FinPos!R4,"AAAAAHDvL8I=")</f>
        <v>#VALUE!:noResult:No valid cells found for operation.</v>
      </c>
      <c r="GN78" s="15" t="str">
        <f>AND(FinPos!S4,"AAAAAHDvL8M=")</f>
        <v>#VALUE!:noResult:No valid cells found for operation.</v>
      </c>
      <c r="GO78" s="15" t="str">
        <f>AND(FinPos!T4,"AAAAAHDvL8Q=")</f>
        <v>#VALUE!:noResult:No valid cells found for operation.</v>
      </c>
      <c r="GP78" s="15" t="str">
        <f>AND(FinPos!U4,"AAAAAHDvL8U=")</f>
        <v>#VALUE!:noResult:No valid cells found for operation.</v>
      </c>
      <c r="GQ78" s="15">
        <f>IF(FinPos!R[-73],"AAAAAHDvL8Y=",0)</f>
        <v>0</v>
      </c>
      <c r="GR78" s="15" t="str">
        <f>AND(FinPos!A5,"AAAAAHDvL8c=")</f>
        <v>#VALUE!:noResult:No valid cells found for operation.</v>
      </c>
      <c r="GS78" s="15" t="str">
        <f>AND(FinPos!B5,"AAAAAHDvL8g=")</f>
        <v>#VALUE!:noResult:No valid cells found for operation.</v>
      </c>
      <c r="GT78" s="15" t="str">
        <f>AND(FinPos!C5,"AAAAAHDvL8k=")</f>
        <v>#VALUE!:noResult:No valid cells found for operation.</v>
      </c>
      <c r="GU78" s="15" t="str">
        <f>AND(FinPos!D5,"AAAAAHDvL8o=")</f>
        <v>#VALUE!:noResult:No valid cells found for operation.</v>
      </c>
      <c r="GV78" s="15" t="str">
        <f>AND(FinPos!F5,"AAAAAHDvL8s=")</f>
        <v>#VALUE!:noResult:No valid cells found for operation.</v>
      </c>
      <c r="GW78" s="15" t="str">
        <f>#REF!</f>
        <v>#VALUE!:noResult:No valid cells found for operation.</v>
      </c>
      <c r="GX78" s="15" t="str">
        <f>AND(FinPos!G5,"AAAAAHDvL80=")</f>
        <v>#VALUE!:noResult:No valid cells found for operation.</v>
      </c>
      <c r="GY78" s="15" t="str">
        <f>AND(FinPos!H5,"AAAAAHDvL84=")</f>
        <v>#VALUE!:noResult:No valid cells found for operation.</v>
      </c>
      <c r="GZ78" s="15" t="str">
        <f>AND(FinPos!I5,"AAAAAHDvL88=")</f>
        <v>#VALUE!:noResult:No valid cells found for operation.</v>
      </c>
      <c r="HA78" s="15" t="str">
        <f>AND(FinPos!J5,"AAAAAHDvL9A=")</f>
        <v>#VALUE!:noResult:No valid cells found for operation.</v>
      </c>
      <c r="HB78" s="15" t="str">
        <f>AND(FinPos!K5,"AAAAAHDvL9E=")</f>
        <v>#VALUE!:noResult:No valid cells found for operation.</v>
      </c>
      <c r="HC78" s="15" t="str">
        <f>AND(FinPos!L5,"AAAAAHDvL9I=")</f>
        <v>#VALUE!:noResult:No valid cells found for operation.</v>
      </c>
      <c r="HD78" s="15" t="str">
        <f>AND(FinPos!M5,"AAAAAHDvL9M=")</f>
        <v>#VALUE!:noResult:No valid cells found for operation.</v>
      </c>
      <c r="HE78" s="15" t="str">
        <f>AND(FinPos!N5,"AAAAAHDvL9Q=")</f>
        <v>#VALUE!:noResult:No valid cells found for operation.</v>
      </c>
      <c r="HF78" s="15" t="str">
        <f>AND(FinPos!O5,"AAAAAHDvL9U=")</f>
        <v>#VALUE!:noResult:No valid cells found for operation.</v>
      </c>
      <c r="HG78" s="15" t="str">
        <f>AND(FinPos!P5,"AAAAAHDvL9Y=")</f>
        <v>#VALUE!:noResult:No valid cells found for operation.</v>
      </c>
      <c r="HH78" s="15" t="str">
        <f>AND(FinPos!Q5,"AAAAAHDvL9c=")</f>
        <v>#VALUE!:noResult:No valid cells found for operation.</v>
      </c>
      <c r="HI78" s="15" t="str">
        <f>AND(FinPos!R5,"AAAAAHDvL9g=")</f>
        <v>#VALUE!:noResult:No valid cells found for operation.</v>
      </c>
      <c r="HJ78" s="15" t="str">
        <f>AND(FinPos!S5,"AAAAAHDvL9k=")</f>
        <v>#VALUE!:noResult:No valid cells found for operation.</v>
      </c>
      <c r="HK78" s="15" t="str">
        <f>AND(FinPos!T5,"AAAAAHDvL9o=")</f>
        <v>#VALUE!:noResult:No valid cells found for operation.</v>
      </c>
      <c r="HL78" s="15" t="str">
        <f>AND(FinPos!U5,"AAAAAHDvL9s=")</f>
        <v>#VALUE!:noResult:No valid cells found for operation.</v>
      </c>
      <c r="HM78" s="15">
        <f>IF(FinPos!R[-72],"AAAAAHDvL9w=",0)</f>
        <v>0</v>
      </c>
      <c r="HN78" s="15" t="b">
        <f>AND(FinPos!A6,"AAAAAHDvL90=")</f>
        <v>1</v>
      </c>
      <c r="HO78" s="15" t="str">
        <f>AND(FinPos!B6,"AAAAAHDvL94=")</f>
        <v>#VALUE!:noResult:No valid cells found for operation.</v>
      </c>
      <c r="HP78" s="15" t="b">
        <f>AND(FinPos!C6,"AAAAAHDvL98=")</f>
        <v>0</v>
      </c>
      <c r="HQ78" s="15" t="str">
        <f>AND(FinPos!D6,"AAAAAHDvL+A=")</f>
        <v>#VALUE!:noResult:No valid cells found for operation.</v>
      </c>
      <c r="HR78" s="15" t="str">
        <f>AND(FinPos!F6,"AAAAAHDvL+E=")</f>
        <v>#VALUE!:noResult:No valid cells found for operation.</v>
      </c>
      <c r="HS78" s="15" t="str">
        <f>#REF!</f>
        <v>#VALUE!:noResult:No valid cells found for operation.</v>
      </c>
      <c r="HT78" s="15" t="str">
        <f>AND(FinPos!G6,"AAAAAHDvL+M=")</f>
        <v>#VALUE!:noResult:No valid cells found for operation.</v>
      </c>
      <c r="HU78" s="15" t="str">
        <f>AND(FinPos!H6,"AAAAAHDvL+Q=")</f>
        <v>#VALUE!:noResult:No valid cells found for operation.</v>
      </c>
      <c r="HV78" s="15" t="str">
        <f>AND(FinPos!I6,"AAAAAHDvL+U=")</f>
        <v>#VALUE!:noResult:No valid cells found for operation.</v>
      </c>
      <c r="HW78" s="15" t="str">
        <f>AND(FinPos!J6,"AAAAAHDvL+Y=")</f>
        <v>#VALUE!:noResult:No valid cells found for operation.</v>
      </c>
      <c r="HX78" s="15" t="str">
        <f>AND(FinPos!K6,"AAAAAHDvL+c=")</f>
        <v>#VALUE!:noResult:No valid cells found for operation.</v>
      </c>
      <c r="HY78" s="15" t="str">
        <f>AND(FinPos!L6,"AAAAAHDvL+g=")</f>
        <v>#VALUE!:noResult:No valid cells found for operation.</v>
      </c>
      <c r="HZ78" s="15" t="str">
        <f>AND(FinPos!M6,"AAAAAHDvL+k=")</f>
        <v>#VALUE!:noResult:No valid cells found for operation.</v>
      </c>
      <c r="IA78" s="15" t="str">
        <f>AND(FinPos!N6,"AAAAAHDvL+o=")</f>
        <v>#VALUE!:noResult:No valid cells found for operation.</v>
      </c>
      <c r="IB78" s="15" t="str">
        <f>AND(FinPos!O6,"AAAAAHDvL+s=")</f>
        <v>#VALUE!:noResult:No valid cells found for operation.</v>
      </c>
      <c r="IC78" s="15" t="str">
        <f>AND(FinPos!P6,"AAAAAHDvL+w=")</f>
        <v>#VALUE!:noResult:No valid cells found for operation.</v>
      </c>
      <c r="ID78" s="15" t="str">
        <f>AND(FinPos!Q6,"AAAAAHDvL+0=")</f>
        <v>#VALUE!:noResult:No valid cells found for operation.</v>
      </c>
      <c r="IE78" s="15" t="str">
        <f>AND(FinPos!R6,"AAAAAHDvL+4=")</f>
        <v>#VALUE!:noResult:No valid cells found for operation.</v>
      </c>
      <c r="IF78" s="15" t="str">
        <f>AND(FinPos!S6,"AAAAAHDvL+8=")</f>
        <v>#VALUE!:noResult:No valid cells found for operation.</v>
      </c>
      <c r="IG78" s="15" t="str">
        <f>AND(FinPos!T6,"AAAAAHDvL/A=")</f>
        <v>#VALUE!:noResult:No valid cells found for operation.</v>
      </c>
      <c r="IH78" s="15" t="str">
        <f>AND(FinPos!U6,"AAAAAHDvL/E=")</f>
        <v>#VALUE!:noResult:No valid cells found for operation.</v>
      </c>
      <c r="II78" s="15">
        <f>IF(FinPos!R[-71],"AAAAAHDvL/I=",0)</f>
        <v>0</v>
      </c>
      <c r="IJ78" s="15" t="b">
        <f>AND(FinPos!A7,"AAAAAHDvL/M=")</f>
        <v>1</v>
      </c>
      <c r="IK78" s="15" t="str">
        <f>AND(FinPos!B7,"AAAAAHDvL/Q=")</f>
        <v>#VALUE!:noResult:No valid cells found for operation.</v>
      </c>
      <c r="IL78" s="15" t="b">
        <f>AND(FinPos!C7,"AAAAAHDvL/U=")</f>
        <v>1</v>
      </c>
      <c r="IM78" s="15" t="str">
        <f>AND(FinPos!D7,"AAAAAHDvL/Y=")</f>
        <v>#VALUE!:noResult:No valid cells found for operation.</v>
      </c>
      <c r="IN78" s="15" t="str">
        <f>AND(FinPos!F7,"AAAAAHDvL/c=")</f>
        <v>#VALUE!:noResult:No valid cells found for operation.</v>
      </c>
      <c r="IO78" s="15" t="str">
        <f>#REF!</f>
        <v>#VALUE!:noResult:No valid cells found for operation.</v>
      </c>
      <c r="IP78" s="15" t="str">
        <f>AND(FinPos!G7,"AAAAAHDvL/k=")</f>
        <v>#VALUE!:noResult:No valid cells found for operation.</v>
      </c>
      <c r="IQ78" s="15" t="str">
        <f>AND(FinPos!H7,"AAAAAHDvL/o=")</f>
        <v>#VALUE!:noResult:No valid cells found for operation.</v>
      </c>
      <c r="IR78" s="15" t="str">
        <f>AND(FinPos!I7,"AAAAAHDvL/s=")</f>
        <v>#VALUE!:noResult:No valid cells found for operation.</v>
      </c>
      <c r="IS78" s="15" t="str">
        <f>AND(FinPos!J7,"AAAAAHDvL/w=")</f>
        <v>#VALUE!:noResult:No valid cells found for operation.</v>
      </c>
      <c r="IT78" s="15" t="str">
        <f>AND(FinPos!K7,"AAAAAHDvL/0=")</f>
        <v>#VALUE!:noResult:No valid cells found for operation.</v>
      </c>
      <c r="IU78" s="15" t="str">
        <f>AND(FinPos!L7,"AAAAAHDvL/4=")</f>
        <v>#VALUE!:noResult:No valid cells found for operation.</v>
      </c>
      <c r="IV78" s="15" t="str">
        <f>AND(FinPos!M7,"AAAAAHDvL/8=")</f>
        <v>#VALUE!:noResult:No valid cells found for operation.</v>
      </c>
    </row>
    <row r="79">
      <c r="A79" s="15" t="str">
        <f>AND(FinPos!N7,"AAAAAH/r+wA=")</f>
        <v>#VALUE!:noResult:No valid cells found for operation.</v>
      </c>
      <c r="B79" s="15" t="str">
        <f>AND(FinPos!O7,"AAAAAH/r+wE=")</f>
        <v>#VALUE!:noResult:No valid cells found for operation.</v>
      </c>
      <c r="C79" s="15" t="str">
        <f>AND(FinPos!P7,"AAAAAH/r+wI=")</f>
        <v>#VALUE!:noResult:No valid cells found for operation.</v>
      </c>
      <c r="D79" s="15" t="str">
        <f>AND(FinPos!Q7,"AAAAAH/r+wM=")</f>
        <v>#VALUE!:noResult:No valid cells found for operation.</v>
      </c>
      <c r="E79" s="15" t="str">
        <f>AND(FinPos!R7,"AAAAAH/r+wQ=")</f>
        <v>#VALUE!:noResult:No valid cells found for operation.</v>
      </c>
      <c r="F79" s="15" t="str">
        <f>AND(FinPos!S7,"AAAAAH/r+wU=")</f>
        <v>#VALUE!:noResult:No valid cells found for operation.</v>
      </c>
      <c r="G79" s="15" t="str">
        <f>AND(FinPos!T7,"AAAAAH/r+wY=")</f>
        <v>#VALUE!:noResult:No valid cells found for operation.</v>
      </c>
      <c r="H79" s="15" t="str">
        <f>AND(FinPos!U7,"AAAAAH/r+wc=")</f>
        <v>#VALUE!:noResult:No valid cells found for operation.</v>
      </c>
      <c r="I79" s="15">
        <f>IF(FinPos!R[-70],"AAAAAH/r+wg=",0)</f>
        <v>0</v>
      </c>
      <c r="J79" s="15" t="b">
        <f>AND(FinPos!A9,"AAAAAH/r+wk=")</f>
        <v>1</v>
      </c>
      <c r="K79" s="15" t="str">
        <f>AND(FinPos!B9,"AAAAAH/r+wo=")</f>
        <v>#VALUE!:noResult:No valid cells found for operation.</v>
      </c>
      <c r="L79" s="15" t="b">
        <f>AND(FinPos!C9,"AAAAAH/r+ws=")</f>
        <v>0</v>
      </c>
      <c r="M79" s="15" t="str">
        <f>AND(FinPos!D9,"AAAAAH/r+ww=")</f>
        <v>#VALUE!:noResult:No valid cells found for operation.</v>
      </c>
      <c r="N79" s="15" t="str">
        <f>AND(FinPos!F9,"AAAAAH/r+w0=")</f>
        <v>#VALUE!:noResult:No valid cells found for operation.</v>
      </c>
      <c r="O79" s="15" t="str">
        <f>#REF!</f>
        <v>#VALUE!:noResult:No valid cells found for operation.</v>
      </c>
      <c r="P79" s="15" t="str">
        <f>AND(FinPos!G9,"AAAAAH/r+w8=")</f>
        <v>#VALUE!:noResult:No valid cells found for operation.</v>
      </c>
      <c r="Q79" s="15" t="str">
        <f>AND(FinPos!H9,"AAAAAH/r+xA=")</f>
        <v>#VALUE!:noResult:No valid cells found for operation.</v>
      </c>
      <c r="R79" s="15" t="str">
        <f>AND(FinPos!I9,"AAAAAH/r+xE=")</f>
        <v>#VALUE!:noResult:No valid cells found for operation.</v>
      </c>
      <c r="S79" s="15" t="str">
        <f>AND(FinPos!J9,"AAAAAH/r+xI=")</f>
        <v>#VALUE!:noResult:No valid cells found for operation.</v>
      </c>
      <c r="T79" s="15" t="str">
        <f>AND(FinPos!K9,"AAAAAH/r+xM=")</f>
        <v>#VALUE!:noResult:No valid cells found for operation.</v>
      </c>
      <c r="U79" s="15" t="str">
        <f>AND(FinPos!L9,"AAAAAH/r+xQ=")</f>
        <v>#VALUE!:noResult:No valid cells found for operation.</v>
      </c>
      <c r="V79" s="15" t="str">
        <f>AND(FinPos!M9,"AAAAAH/r+xU=")</f>
        <v>#VALUE!:noResult:No valid cells found for operation.</v>
      </c>
      <c r="W79" s="15" t="str">
        <f>AND(FinPos!N9,"AAAAAH/r+xY=")</f>
        <v>#VALUE!:noResult:No valid cells found for operation.</v>
      </c>
      <c r="X79" s="15" t="str">
        <f>AND(FinPos!O9,"AAAAAH/r+xc=")</f>
        <v>#VALUE!:noResult:No valid cells found for operation.</v>
      </c>
      <c r="Y79" s="15" t="str">
        <f>AND(FinPos!P9,"AAAAAH/r+xg=")</f>
        <v>#VALUE!:noResult:No valid cells found for operation.</v>
      </c>
      <c r="Z79" s="15" t="str">
        <f>AND(FinPos!Q9,"AAAAAH/r+xk=")</f>
        <v>#VALUE!:noResult:No valid cells found for operation.</v>
      </c>
      <c r="AA79" s="15" t="str">
        <f>AND(FinPos!R9,"AAAAAH/r+xo=")</f>
        <v>#VALUE!:noResult:No valid cells found for operation.</v>
      </c>
      <c r="AB79" s="15" t="str">
        <f>AND(FinPos!S9,"AAAAAH/r+xs=")</f>
        <v>#VALUE!:noResult:No valid cells found for operation.</v>
      </c>
      <c r="AC79" s="15" t="str">
        <f>AND(FinPos!T9,"AAAAAH/r+xw=")</f>
        <v>#VALUE!:noResult:No valid cells found for operation.</v>
      </c>
      <c r="AD79" s="15" t="str">
        <f>AND(FinPos!U9,"AAAAAH/r+x0=")</f>
        <v>#VALUE!:noResult:No valid cells found for operation.</v>
      </c>
      <c r="AE79" s="15">
        <f>IF(FinPos!R[-69],"AAAAAH/r+x4=",0)</f>
        <v>0</v>
      </c>
      <c r="AF79" s="15" t="b">
        <f>AND(FinPos!A10,"AAAAAH/r+x8=")</f>
        <v>1</v>
      </c>
      <c r="AG79" s="15" t="str">
        <f>AND(FinPos!B10,"AAAAAH/r+yA=")</f>
        <v>#VALUE!:noResult:No valid cells found for operation.</v>
      </c>
      <c r="AH79" s="15" t="b">
        <f>AND(FinPos!C10,"AAAAAH/r+yE=")</f>
        <v>0</v>
      </c>
      <c r="AI79" s="15" t="str">
        <f>AND(FinPos!D10,"AAAAAH/r+yI=")</f>
        <v>#VALUE!:noResult:No valid cells found for operation.</v>
      </c>
      <c r="AJ79" s="15" t="str">
        <f>AND(FinPos!F10,"AAAAAH/r+yM=")</f>
        <v>#VALUE!:noResult:No valid cells found for operation.</v>
      </c>
      <c r="AK79" s="15" t="str">
        <f>#REF!</f>
        <v>#VALUE!:noResult:No valid cells found for operation.</v>
      </c>
      <c r="AL79" s="15" t="str">
        <f>AND(FinPos!G10,"AAAAAH/r+yU=")</f>
        <v>#VALUE!:noResult:No valid cells found for operation.</v>
      </c>
      <c r="AM79" s="15" t="str">
        <f>AND(FinPos!H10,"AAAAAH/r+yY=")</f>
        <v>#VALUE!:noResult:No valid cells found for operation.</v>
      </c>
      <c r="AN79" s="15" t="str">
        <f>AND(FinPos!I10,"AAAAAH/r+yc=")</f>
        <v>#VALUE!:noResult:No valid cells found for operation.</v>
      </c>
      <c r="AO79" s="15" t="str">
        <f>AND(FinPos!J10,"AAAAAH/r+yg=")</f>
        <v>#VALUE!:noResult:No valid cells found for operation.</v>
      </c>
      <c r="AP79" s="15" t="str">
        <f>AND(FinPos!K10,"AAAAAH/r+yk=")</f>
        <v>#VALUE!:noResult:No valid cells found for operation.</v>
      </c>
      <c r="AQ79" s="15" t="str">
        <f>AND(FinPos!L10,"AAAAAH/r+yo=")</f>
        <v>#VALUE!:noResult:No valid cells found for operation.</v>
      </c>
      <c r="AR79" s="15" t="str">
        <f>AND(FinPos!M10,"AAAAAH/r+ys=")</f>
        <v>#VALUE!:noResult:No valid cells found for operation.</v>
      </c>
      <c r="AS79" s="15" t="str">
        <f>AND(FinPos!N10,"AAAAAH/r+yw=")</f>
        <v>#VALUE!:noResult:No valid cells found for operation.</v>
      </c>
      <c r="AT79" s="15" t="str">
        <f>AND(FinPos!O10,"AAAAAH/r+y0=")</f>
        <v>#VALUE!:noResult:No valid cells found for operation.</v>
      </c>
      <c r="AU79" s="15" t="str">
        <f>AND(FinPos!P10,"AAAAAH/r+y4=")</f>
        <v>#VALUE!:noResult:No valid cells found for operation.</v>
      </c>
      <c r="AV79" s="15" t="str">
        <f>AND(FinPos!Q10,"AAAAAH/r+y8=")</f>
        <v>#VALUE!:noResult:No valid cells found for operation.</v>
      </c>
      <c r="AW79" s="15" t="str">
        <f>AND(FinPos!R10,"AAAAAH/r+zA=")</f>
        <v>#VALUE!:noResult:No valid cells found for operation.</v>
      </c>
      <c r="AX79" s="15" t="str">
        <f>AND(FinPos!S10,"AAAAAH/r+zE=")</f>
        <v>#VALUE!:noResult:No valid cells found for operation.</v>
      </c>
      <c r="AY79" s="15" t="str">
        <f>AND(FinPos!T10,"AAAAAH/r+zI=")</f>
        <v>#VALUE!:noResult:No valid cells found for operation.</v>
      </c>
      <c r="AZ79" s="15" t="str">
        <f>AND(FinPos!U10,"AAAAAH/r+zM=")</f>
        <v>#VALUE!:noResult:No valid cells found for operation.</v>
      </c>
      <c r="BA79" s="15">
        <f>IF(FinPos!R[-67],"AAAAAH/r+zQ=",0)</f>
        <v>0</v>
      </c>
      <c r="BB79" s="15" t="b">
        <f>AND(FinPos!A12,"AAAAAH/r+zU=")</f>
        <v>1</v>
      </c>
      <c r="BC79" s="15" t="str">
        <f>AND(FinPos!B12,"AAAAAH/r+zY=")</f>
        <v>#VALUE!:noResult:No valid cells found for operation.</v>
      </c>
      <c r="BD79" s="15" t="b">
        <f>AND(FinPos!C12,"AAAAAH/r+zc=")</f>
        <v>1</v>
      </c>
      <c r="BE79" s="15" t="str">
        <f>AND(FinPos!D12,"AAAAAH/r+zg=")</f>
        <v>#VALUE!:noResult:No valid cells found for operation.</v>
      </c>
      <c r="BF79" s="15" t="str">
        <f>AND(FinPos!F12,"AAAAAH/r+zk=")</f>
        <v>#VALUE!:noResult:No valid cells found for operation.</v>
      </c>
      <c r="BG79" s="15" t="str">
        <f>#REF!</f>
        <v>#VALUE!:noResult:No valid cells found for operation.</v>
      </c>
      <c r="BH79" s="15" t="str">
        <f>AND(FinPos!G12,"AAAAAH/r+zs=")</f>
        <v>#VALUE!:noResult:No valid cells found for operation.</v>
      </c>
      <c r="BI79" s="15" t="str">
        <f>AND(FinPos!H12,"AAAAAH/r+zw=")</f>
        <v>#VALUE!:noResult:No valid cells found for operation.</v>
      </c>
      <c r="BJ79" s="15" t="str">
        <f>AND(FinPos!I12,"AAAAAH/r+z0=")</f>
        <v>#VALUE!:noResult:No valid cells found for operation.</v>
      </c>
      <c r="BK79" s="15" t="str">
        <f>AND(FinPos!J12,"AAAAAH/r+z4=")</f>
        <v>#VALUE!:noResult:No valid cells found for operation.</v>
      </c>
      <c r="BL79" s="15" t="str">
        <f>AND(FinPos!K12,"AAAAAH/r+z8=")</f>
        <v>#VALUE!:noResult:No valid cells found for operation.</v>
      </c>
      <c r="BM79" s="15" t="str">
        <f>AND(FinPos!L12,"AAAAAH/r+0A=")</f>
        <v>#VALUE!:noResult:No valid cells found for operation.</v>
      </c>
      <c r="BN79" s="15" t="str">
        <f>AND(FinPos!M12,"AAAAAH/r+0E=")</f>
        <v>#VALUE!:noResult:No valid cells found for operation.</v>
      </c>
      <c r="BO79" s="15" t="str">
        <f>AND(FinPos!N12,"AAAAAH/r+0I=")</f>
        <v>#VALUE!:noResult:No valid cells found for operation.</v>
      </c>
      <c r="BP79" s="15" t="str">
        <f>AND(FinPos!O12,"AAAAAH/r+0M=")</f>
        <v>#VALUE!:noResult:No valid cells found for operation.</v>
      </c>
      <c r="BQ79" s="15" t="str">
        <f>AND(FinPos!P12,"AAAAAH/r+0Q=")</f>
        <v>#VALUE!:noResult:No valid cells found for operation.</v>
      </c>
      <c r="BR79" s="15" t="str">
        <f>AND(FinPos!Q12,"AAAAAH/r+0U=")</f>
        <v>#VALUE!:noResult:No valid cells found for operation.</v>
      </c>
      <c r="BS79" s="15" t="str">
        <f>AND(FinPos!R12,"AAAAAH/r+0Y=")</f>
        <v>#VALUE!:noResult:No valid cells found for operation.</v>
      </c>
      <c r="BT79" s="15" t="str">
        <f>AND(FinPos!S12,"AAAAAH/r+0c=")</f>
        <v>#VALUE!:noResult:No valid cells found for operation.</v>
      </c>
      <c r="BU79" s="15" t="str">
        <f>AND(FinPos!T12,"AAAAAH/r+0g=")</f>
        <v>#VALUE!:noResult:No valid cells found for operation.</v>
      </c>
      <c r="BV79" s="15" t="str">
        <f>AND(FinPos!U12,"AAAAAH/r+0k=")</f>
        <v>#VALUE!:noResult:No valid cells found for operation.</v>
      </c>
      <c r="BW79" s="15">
        <f>IF(FinPos!R[-66],"AAAAAH/r+0o=",0)</f>
        <v>0</v>
      </c>
      <c r="BX79" s="15" t="b">
        <f>AND(FinPos!A13,"AAAAAH/r+0s=")</f>
        <v>1</v>
      </c>
      <c r="BY79" s="15" t="str">
        <f>AND(FinPos!B13,"AAAAAH/r+0w=")</f>
        <v>#VALUE!:noResult:No valid cells found for operation.</v>
      </c>
      <c r="BZ79" s="15" t="b">
        <f>AND(FinPos!C13,"AAAAAH/r+00=")</f>
        <v>0</v>
      </c>
      <c r="CA79" s="15" t="str">
        <f>AND(FinPos!D13,"AAAAAH/r+04=")</f>
        <v>#VALUE!:noResult:No valid cells found for operation.</v>
      </c>
      <c r="CB79" s="15" t="str">
        <f>AND(FinPos!F13,"AAAAAH/r+08=")</f>
        <v>#VALUE!:noResult:No valid cells found for operation.</v>
      </c>
      <c r="CC79" s="15" t="str">
        <f>#REF!</f>
        <v>#VALUE!:noResult:No valid cells found for operation.</v>
      </c>
      <c r="CD79" s="15" t="str">
        <f>AND(FinPos!G13,"AAAAAH/r+1E=")</f>
        <v>#VALUE!:noResult:No valid cells found for operation.</v>
      </c>
      <c r="CE79" s="15" t="str">
        <f>AND(FinPos!H13,"AAAAAH/r+1I=")</f>
        <v>#VALUE!:noResult:No valid cells found for operation.</v>
      </c>
      <c r="CF79" s="15" t="str">
        <f>AND(FinPos!I13,"AAAAAH/r+1M=")</f>
        <v>#VALUE!:noResult:No valid cells found for operation.</v>
      </c>
      <c r="CG79" s="15" t="str">
        <f>AND(FinPos!J13,"AAAAAH/r+1Q=")</f>
        <v>#VALUE!:noResult:No valid cells found for operation.</v>
      </c>
      <c r="CH79" s="15" t="str">
        <f>AND(FinPos!K13,"AAAAAH/r+1U=")</f>
        <v>#VALUE!:noResult:No valid cells found for operation.</v>
      </c>
      <c r="CI79" s="15" t="str">
        <f>AND(FinPos!L13,"AAAAAH/r+1Y=")</f>
        <v>#VALUE!:noResult:No valid cells found for operation.</v>
      </c>
      <c r="CJ79" s="15" t="str">
        <f>AND(FinPos!M13,"AAAAAH/r+1c=")</f>
        <v>#VALUE!:noResult:No valid cells found for operation.</v>
      </c>
      <c r="CK79" s="15" t="str">
        <f>AND(FinPos!N13,"AAAAAH/r+1g=")</f>
        <v>#VALUE!:noResult:No valid cells found for operation.</v>
      </c>
      <c r="CL79" s="15" t="str">
        <f>AND(FinPos!O13,"AAAAAH/r+1k=")</f>
        <v>#VALUE!:noResult:No valid cells found for operation.</v>
      </c>
      <c r="CM79" s="15" t="str">
        <f>AND(FinPos!P13,"AAAAAH/r+1o=")</f>
        <v>#VALUE!:noResult:No valid cells found for operation.</v>
      </c>
      <c r="CN79" s="15" t="str">
        <f>AND(FinPos!Q13,"AAAAAH/r+1s=")</f>
        <v>#VALUE!:noResult:No valid cells found for operation.</v>
      </c>
      <c r="CO79" s="15" t="str">
        <f>AND(FinPos!R13,"AAAAAH/r+1w=")</f>
        <v>#VALUE!:noResult:No valid cells found for operation.</v>
      </c>
      <c r="CP79" s="15" t="str">
        <f>AND(FinPos!S13,"AAAAAH/r+10=")</f>
        <v>#VALUE!:noResult:No valid cells found for operation.</v>
      </c>
      <c r="CQ79" s="15" t="str">
        <f>AND(FinPos!T13,"AAAAAH/r+14=")</f>
        <v>#VALUE!:noResult:No valid cells found for operation.</v>
      </c>
      <c r="CR79" s="15" t="str">
        <f>AND(FinPos!U13,"AAAAAH/r+18=")</f>
        <v>#VALUE!:noResult:No valid cells found for operation.</v>
      </c>
      <c r="CS79" s="15">
        <f>IF(FinPos!R[-65],"AAAAAH/r+2A=",0)</f>
        <v>0</v>
      </c>
      <c r="CT79" s="15" t="str">
        <f>AND(FinPos!A14,"AAAAAH/r+2E=")</f>
        <v>#VALUE!:noResult:No valid cells found for operation.</v>
      </c>
      <c r="CU79" s="15" t="str">
        <f>AND(FinPos!B14,"AAAAAH/r+2I=")</f>
        <v>#VALUE!:noResult:No valid cells found for operation.</v>
      </c>
      <c r="CV79" s="15" t="str">
        <f>AND(FinPos!C14,"AAAAAH/r+2M=")</f>
        <v>#VALUE!:noResult:No valid cells found for operation.</v>
      </c>
      <c r="CW79" s="15" t="b">
        <f>AND(FinPos!D14,"AAAAAH/r+2Q=")</f>
        <v>1</v>
      </c>
      <c r="CX79" s="15" t="str">
        <f>AND(FinPos!F14,"AAAAAH/r+2U=")</f>
        <v>#VALUE!:noResult:No valid cells found for operation.</v>
      </c>
      <c r="CY79" s="15" t="str">
        <f>#REF!</f>
        <v>#VALUE!:noResult:No valid cells found for operation.</v>
      </c>
      <c r="CZ79" s="15" t="str">
        <f>AND(FinPos!G14,"AAAAAH/r+2c=")</f>
        <v>#VALUE!:noResult:No valid cells found for operation.</v>
      </c>
      <c r="DA79" s="15" t="str">
        <f>AND(FinPos!H14,"AAAAAH/r+2g=")</f>
        <v>#VALUE!:noResult:No valid cells found for operation.</v>
      </c>
      <c r="DB79" s="15" t="str">
        <f>AND(FinPos!I14,"AAAAAH/r+2k=")</f>
        <v>#VALUE!:noResult:No valid cells found for operation.</v>
      </c>
      <c r="DC79" s="15" t="str">
        <f>AND(FinPos!J14,"AAAAAH/r+2o=")</f>
        <v>#VALUE!:noResult:No valid cells found for operation.</v>
      </c>
      <c r="DD79" s="15" t="str">
        <f>AND(FinPos!K14,"AAAAAH/r+2s=")</f>
        <v>#VALUE!:noResult:No valid cells found for operation.</v>
      </c>
      <c r="DE79" s="15" t="str">
        <f>AND(FinPos!L14,"AAAAAH/r+2w=")</f>
        <v>#VALUE!:noResult:No valid cells found for operation.</v>
      </c>
      <c r="DF79" s="15" t="str">
        <f>AND(FinPos!M14,"AAAAAH/r+20=")</f>
        <v>#VALUE!:noResult:No valid cells found for operation.</v>
      </c>
      <c r="DG79" s="15" t="str">
        <f>AND(FinPos!N14,"AAAAAH/r+24=")</f>
        <v>#VALUE!:noResult:No valid cells found for operation.</v>
      </c>
      <c r="DH79" s="15" t="str">
        <f>AND(FinPos!O14,"AAAAAH/r+28=")</f>
        <v>#VALUE!:noResult:No valid cells found for operation.</v>
      </c>
      <c r="DI79" s="15" t="str">
        <f>AND(FinPos!P14,"AAAAAH/r+3A=")</f>
        <v>#VALUE!:noResult:No valid cells found for operation.</v>
      </c>
      <c r="DJ79" s="15" t="str">
        <f>AND(FinPos!Q14,"AAAAAH/r+3E=")</f>
        <v>#VALUE!:noResult:No valid cells found for operation.</v>
      </c>
      <c r="DK79" s="15" t="str">
        <f>AND(FinPos!R14,"AAAAAH/r+3I=")</f>
        <v>#VALUE!:noResult:No valid cells found for operation.</v>
      </c>
      <c r="DL79" s="15" t="str">
        <f>AND(FinPos!S14,"AAAAAH/r+3M=")</f>
        <v>#VALUE!:noResult:No valid cells found for operation.</v>
      </c>
      <c r="DM79" s="15" t="str">
        <f>AND(FinPos!T14,"AAAAAH/r+3Q=")</f>
        <v>#VALUE!:noResult:No valid cells found for operation.</v>
      </c>
      <c r="DN79" s="15" t="str">
        <f>AND(FinPos!U14,"AAAAAH/r+3U=")</f>
        <v>#VALUE!:noResult:No valid cells found for operation.</v>
      </c>
      <c r="DO79" s="15">
        <f>IF(FinPos!R[-64],"AAAAAH/r+3Y=",0)</f>
        <v>0</v>
      </c>
      <c r="DP79" s="15" t="str">
        <f>AND(FinPos!A15,"AAAAAH/r+3c=")</f>
        <v>#VALUE!:noResult:No valid cells found for operation.</v>
      </c>
      <c r="DQ79" s="15" t="str">
        <f>AND(FinPos!B15,"AAAAAH/r+3g=")</f>
        <v>#VALUE!:noResult:No valid cells found for operation.</v>
      </c>
      <c r="DR79" s="15" t="str">
        <f>AND(FinPos!C15,"AAAAAH/r+3k=")</f>
        <v>#VALUE!:noResult:No valid cells found for operation.</v>
      </c>
      <c r="DS79" s="15" t="str">
        <f>AND(FinPos!D15,"AAAAAH/r+3o=")</f>
        <v>#VALUE!:noResult:No valid cells found for operation.</v>
      </c>
      <c r="DT79" s="15" t="str">
        <f>AND(FinPos!F15,"AAAAAH/r+3s=")</f>
        <v>#VALUE!:noResult:No valid cells found for operation.</v>
      </c>
      <c r="DU79" s="15" t="str">
        <f>#REF!</f>
        <v>#VALUE!:noResult:No valid cells found for operation.</v>
      </c>
      <c r="DV79" s="15" t="str">
        <f>AND(FinPos!G15,"AAAAAH/r+30=")</f>
        <v>#VALUE!:noResult:No valid cells found for operation.</v>
      </c>
      <c r="DW79" s="15" t="str">
        <f>AND(FinPos!H15,"AAAAAH/r+34=")</f>
        <v>#VALUE!:noResult:No valid cells found for operation.</v>
      </c>
      <c r="DX79" s="15" t="str">
        <f>AND(FinPos!I15,"AAAAAH/r+38=")</f>
        <v>#VALUE!:noResult:No valid cells found for operation.</v>
      </c>
      <c r="DY79" s="15" t="str">
        <f>AND(FinPos!J15,"AAAAAH/r+4A=")</f>
        <v>#VALUE!:noResult:No valid cells found for operation.</v>
      </c>
      <c r="DZ79" s="15" t="str">
        <f>AND(FinPos!K15,"AAAAAH/r+4E=")</f>
        <v>#VALUE!:noResult:No valid cells found for operation.</v>
      </c>
      <c r="EA79" s="15" t="str">
        <f>AND(FinPos!L15,"AAAAAH/r+4I=")</f>
        <v>#VALUE!:noResult:No valid cells found for operation.</v>
      </c>
      <c r="EB79" s="15" t="str">
        <f>AND(FinPos!M15,"AAAAAH/r+4M=")</f>
        <v>#VALUE!:noResult:No valid cells found for operation.</v>
      </c>
      <c r="EC79" s="15" t="str">
        <f>AND(FinPos!N15,"AAAAAH/r+4Q=")</f>
        <v>#VALUE!:noResult:No valid cells found for operation.</v>
      </c>
      <c r="ED79" s="15" t="str">
        <f>AND(FinPos!O15,"AAAAAH/r+4U=")</f>
        <v>#VALUE!:noResult:No valid cells found for operation.</v>
      </c>
      <c r="EE79" s="15" t="str">
        <f>AND(FinPos!P15,"AAAAAH/r+4Y=")</f>
        <v>#VALUE!:noResult:No valid cells found for operation.</v>
      </c>
      <c r="EF79" s="15" t="str">
        <f>AND(FinPos!Q15,"AAAAAH/r+4c=")</f>
        <v>#VALUE!:noResult:No valid cells found for operation.</v>
      </c>
      <c r="EG79" s="15" t="str">
        <f>AND(FinPos!R15,"AAAAAH/r+4g=")</f>
        <v>#VALUE!:noResult:No valid cells found for operation.</v>
      </c>
      <c r="EH79" s="15" t="str">
        <f>AND(FinPos!S15,"AAAAAH/r+4k=")</f>
        <v>#VALUE!:noResult:No valid cells found for operation.</v>
      </c>
      <c r="EI79" s="15" t="str">
        <f>AND(FinPos!T15,"AAAAAH/r+4o=")</f>
        <v>#VALUE!:noResult:No valid cells found for operation.</v>
      </c>
      <c r="EJ79" s="15" t="str">
        <f>AND(FinPos!U15,"AAAAAH/r+4s=")</f>
        <v>#VALUE!:noResult:No valid cells found for operation.</v>
      </c>
      <c r="EK79" s="15">
        <f>IF(FinPos!R[-63],"AAAAAH/r+4w=",0)</f>
        <v>0</v>
      </c>
      <c r="EL79" s="15" t="str">
        <f>AND(FinPos!A16,"AAAAAH/r+40=")</f>
        <v>#VALUE!:noResult:No valid cells found for operation.</v>
      </c>
      <c r="EM79" s="15" t="str">
        <f>AND(FinPos!B16,"AAAAAH/r+44=")</f>
        <v>#VALUE!:noResult:No valid cells found for operation.</v>
      </c>
      <c r="EN79" s="15" t="str">
        <f>AND(FinPos!C16,"AAAAAH/r+48=")</f>
        <v>#VALUE!:noResult:No valid cells found for operation.</v>
      </c>
      <c r="EO79" s="15" t="str">
        <f>AND(FinPos!D16,"AAAAAH/r+5A=")</f>
        <v>#VALUE!:noResult:No valid cells found for operation.</v>
      </c>
      <c r="EP79" s="15" t="str">
        <f>AND(FinPos!F16,"AAAAAH/r+5E=")</f>
        <v>#VALUE!:noResult:No valid cells found for operation.</v>
      </c>
      <c r="EQ79" s="15" t="str">
        <f>#REF!</f>
        <v>#VALUE!:noResult:No valid cells found for operation.</v>
      </c>
      <c r="ER79" s="15" t="str">
        <f>AND(FinPos!G16,"AAAAAH/r+5M=")</f>
        <v>#VALUE!:noResult:No valid cells found for operation.</v>
      </c>
      <c r="ES79" s="15" t="str">
        <f>AND(FinPos!H16,"AAAAAH/r+5Q=")</f>
        <v>#VALUE!:noResult:No valid cells found for operation.</v>
      </c>
      <c r="ET79" s="15" t="str">
        <f>AND(FinPos!I16,"AAAAAH/r+5U=")</f>
        <v>#VALUE!:noResult:No valid cells found for operation.</v>
      </c>
      <c r="EU79" s="15" t="str">
        <f>AND(FinPos!J16,"AAAAAH/r+5Y=")</f>
        <v>#VALUE!:noResult:No valid cells found for operation.</v>
      </c>
      <c r="EV79" s="15" t="str">
        <f>AND(FinPos!K16,"AAAAAH/r+5c=")</f>
        <v>#VALUE!:noResult:No valid cells found for operation.</v>
      </c>
      <c r="EW79" s="15" t="str">
        <f>AND(FinPos!L16,"AAAAAH/r+5g=")</f>
        <v>#VALUE!:noResult:No valid cells found for operation.</v>
      </c>
      <c r="EX79" s="15" t="str">
        <f>AND(FinPos!M16,"AAAAAH/r+5k=")</f>
        <v>#VALUE!:noResult:No valid cells found for operation.</v>
      </c>
      <c r="EY79" s="15" t="str">
        <f>AND(FinPos!N16,"AAAAAH/r+5o=")</f>
        <v>#VALUE!:noResult:No valid cells found for operation.</v>
      </c>
      <c r="EZ79" s="15" t="str">
        <f>AND(FinPos!O16,"AAAAAH/r+5s=")</f>
        <v>#VALUE!:noResult:No valid cells found for operation.</v>
      </c>
      <c r="FA79" s="15" t="str">
        <f>AND(FinPos!P16,"AAAAAH/r+5w=")</f>
        <v>#VALUE!:noResult:No valid cells found for operation.</v>
      </c>
      <c r="FB79" s="15" t="str">
        <f>AND(FinPos!Q16,"AAAAAH/r+50=")</f>
        <v>#VALUE!:noResult:No valid cells found for operation.</v>
      </c>
      <c r="FC79" s="15" t="str">
        <f>AND(FinPos!R16,"AAAAAH/r+54=")</f>
        <v>#VALUE!:noResult:No valid cells found for operation.</v>
      </c>
      <c r="FD79" s="15" t="str">
        <f>AND(FinPos!S16,"AAAAAH/r+58=")</f>
        <v>#VALUE!:noResult:No valid cells found for operation.</v>
      </c>
      <c r="FE79" s="15" t="str">
        <f>AND(FinPos!T16,"AAAAAH/r+6A=")</f>
        <v>#VALUE!:noResult:No valid cells found for operation.</v>
      </c>
      <c r="FF79" s="15" t="str">
        <f>AND(FinPos!U16,"AAAAAH/r+6E=")</f>
        <v>#VALUE!:noResult:No valid cells found for operation.</v>
      </c>
      <c r="FG79" s="15">
        <f>IF(FinPos!R[-62],"AAAAAH/r+6I=",0)</f>
        <v>0</v>
      </c>
      <c r="FH79" s="15" t="b">
        <f>AND(FinPos!A17,"AAAAAH/r+6M=")</f>
        <v>1</v>
      </c>
      <c r="FI79" s="15" t="str">
        <f>AND(FinPos!B17,"AAAAAH/r+6Q=")</f>
        <v>#VALUE!:noResult:No valid cells found for operation.</v>
      </c>
      <c r="FJ79" s="15" t="b">
        <f>AND(FinPos!C17,"AAAAAH/r+6U=")</f>
        <v>1</v>
      </c>
      <c r="FK79" s="15" t="str">
        <f>AND(FinPos!D17,"AAAAAH/r+6Y=")</f>
        <v>#VALUE!:noResult:No valid cells found for operation.</v>
      </c>
      <c r="FL79" s="15" t="str">
        <f>AND(FinPos!F17,"AAAAAH/r+6c=")</f>
        <v>#VALUE!:noResult:No valid cells found for operation.</v>
      </c>
      <c r="FM79" s="15" t="str">
        <f>#REF!</f>
        <v>#VALUE!:noResult:No valid cells found for operation.</v>
      </c>
      <c r="FN79" s="15" t="str">
        <f>AND(FinPos!G17,"AAAAAH/r+6k=")</f>
        <v>#VALUE!:noResult:No valid cells found for operation.</v>
      </c>
      <c r="FO79" s="15" t="str">
        <f>AND(FinPos!H17,"AAAAAH/r+6o=")</f>
        <v>#VALUE!:noResult:No valid cells found for operation.</v>
      </c>
      <c r="FP79" s="15" t="str">
        <f>AND(FinPos!I17,"AAAAAH/r+6s=")</f>
        <v>#VALUE!:noResult:No valid cells found for operation.</v>
      </c>
      <c r="FQ79" s="15" t="str">
        <f>AND(FinPos!J17,"AAAAAH/r+6w=")</f>
        <v>#VALUE!:noResult:No valid cells found for operation.</v>
      </c>
      <c r="FR79" s="15" t="str">
        <f>AND(FinPos!K17,"AAAAAH/r+60=")</f>
        <v>#VALUE!:noResult:No valid cells found for operation.</v>
      </c>
      <c r="FS79" s="15" t="str">
        <f>AND(FinPos!L17,"AAAAAH/r+64=")</f>
        <v>#VALUE!:noResult:No valid cells found for operation.</v>
      </c>
      <c r="FT79" s="15" t="str">
        <f>AND(FinPos!M17,"AAAAAH/r+68=")</f>
        <v>#VALUE!:noResult:No valid cells found for operation.</v>
      </c>
      <c r="FU79" s="15" t="str">
        <f>AND(FinPos!N17,"AAAAAH/r+7A=")</f>
        <v>#VALUE!:noResult:No valid cells found for operation.</v>
      </c>
      <c r="FV79" s="15" t="str">
        <f>AND(FinPos!O17,"AAAAAH/r+7E=")</f>
        <v>#VALUE!:noResult:No valid cells found for operation.</v>
      </c>
      <c r="FW79" s="15" t="str">
        <f>AND(FinPos!P17,"AAAAAH/r+7I=")</f>
        <v>#VALUE!:noResult:No valid cells found for operation.</v>
      </c>
      <c r="FX79" s="15" t="str">
        <f>AND(FinPos!Q17,"AAAAAH/r+7M=")</f>
        <v>#VALUE!:noResult:No valid cells found for operation.</v>
      </c>
      <c r="FY79" s="15" t="str">
        <f>AND(FinPos!R17,"AAAAAH/r+7Q=")</f>
        <v>#VALUE!:noResult:No valid cells found for operation.</v>
      </c>
      <c r="FZ79" s="15" t="str">
        <f>AND(FinPos!S17,"AAAAAH/r+7U=")</f>
        <v>#VALUE!:noResult:No valid cells found for operation.</v>
      </c>
      <c r="GA79" s="15" t="str">
        <f>AND(FinPos!T17,"AAAAAH/r+7Y=")</f>
        <v>#VALUE!:noResult:No valid cells found for operation.</v>
      </c>
      <c r="GB79" s="15" t="str">
        <f>AND(FinPos!U17,"AAAAAH/r+7c=")</f>
        <v>#VALUE!:noResult:No valid cells found for operation.</v>
      </c>
      <c r="GC79" s="15">
        <f>IF(FinPos!R[-58],"AAAAAH/r+7g=",0)</f>
        <v>0</v>
      </c>
      <c r="GD79" s="15" t="b">
        <f>AND(FinPos!A21,"AAAAAH/r+7k=")</f>
        <v>1</v>
      </c>
      <c r="GE79" s="15" t="str">
        <f>AND(FinPos!B21,"AAAAAH/r+7o=")</f>
        <v>#VALUE!:noResult:No valid cells found for operation.</v>
      </c>
      <c r="GF79" s="15" t="b">
        <f>AND(FinPos!C21,"AAAAAH/r+7s=")</f>
        <v>1</v>
      </c>
      <c r="GG79" s="15" t="str">
        <f>AND(FinPos!D21,"AAAAAH/r+7w=")</f>
        <v>#VALUE!:noResult:No valid cells found for operation.</v>
      </c>
      <c r="GH79" s="15" t="str">
        <f>AND(FinPos!F21,"AAAAAH/r+70=")</f>
        <v>#VALUE!:noResult:No valid cells found for operation.</v>
      </c>
      <c r="GI79" s="15" t="str">
        <f>#REF!</f>
        <v>#VALUE!:noResult:No valid cells found for operation.</v>
      </c>
      <c r="GJ79" s="15" t="str">
        <f>AND(FinPos!G21,"AAAAAH/r+78=")</f>
        <v>#VALUE!:noResult:No valid cells found for operation.</v>
      </c>
      <c r="GK79" s="15" t="str">
        <f>AND(FinPos!H21,"AAAAAH/r+8A=")</f>
        <v>#VALUE!:noResult:No valid cells found for operation.</v>
      </c>
      <c r="GL79" s="15" t="str">
        <f>AND(FinPos!I21,"AAAAAH/r+8E=")</f>
        <v>#VALUE!:noResult:No valid cells found for operation.</v>
      </c>
      <c r="GM79" s="15" t="str">
        <f>AND(FinPos!J21,"AAAAAH/r+8I=")</f>
        <v>#VALUE!:noResult:No valid cells found for operation.</v>
      </c>
      <c r="GN79" s="15" t="str">
        <f>AND(FinPos!K21,"AAAAAH/r+8M=")</f>
        <v>#VALUE!:noResult:No valid cells found for operation.</v>
      </c>
      <c r="GO79" s="15" t="str">
        <f>AND(FinPos!L21,"AAAAAH/r+8Q=")</f>
        <v>#VALUE!:noResult:No valid cells found for operation.</v>
      </c>
      <c r="GP79" s="15" t="str">
        <f>AND(FinPos!M21,"AAAAAH/r+8U=")</f>
        <v>#VALUE!:noResult:No valid cells found for operation.</v>
      </c>
      <c r="GQ79" s="15" t="str">
        <f>AND(FinPos!N21,"AAAAAH/r+8Y=")</f>
        <v>#VALUE!:noResult:No valid cells found for operation.</v>
      </c>
      <c r="GR79" s="15" t="str">
        <f>AND(FinPos!O21,"AAAAAH/r+8c=")</f>
        <v>#VALUE!:noResult:No valid cells found for operation.</v>
      </c>
      <c r="GS79" s="15" t="str">
        <f>AND(FinPos!P21,"AAAAAH/r+8g=")</f>
        <v>#VALUE!:noResult:No valid cells found for operation.</v>
      </c>
      <c r="GT79" s="15" t="str">
        <f>AND(FinPos!Q21,"AAAAAH/r+8k=")</f>
        <v>#VALUE!:noResult:No valid cells found for operation.</v>
      </c>
      <c r="GU79" s="15" t="str">
        <f>AND(FinPos!R21,"AAAAAH/r+8o=")</f>
        <v>#VALUE!:noResult:No valid cells found for operation.</v>
      </c>
      <c r="GV79" s="15" t="str">
        <f>AND(FinPos!S21,"AAAAAH/r+8s=")</f>
        <v>#VALUE!:noResult:No valid cells found for operation.</v>
      </c>
      <c r="GW79" s="15" t="str">
        <f>AND(FinPos!T21,"AAAAAH/r+8w=")</f>
        <v>#VALUE!:noResult:No valid cells found for operation.</v>
      </c>
      <c r="GX79" s="15" t="str">
        <f>AND(FinPos!U21,"AAAAAH/r+80=")</f>
        <v>#VALUE!:noResult:No valid cells found for operation.</v>
      </c>
      <c r="GY79" s="15">
        <f>IF(FinPos!R[-57],"AAAAAH/r+84=",0)</f>
        <v>0</v>
      </c>
      <c r="GZ79" s="15" t="str">
        <f>AND(FinPos!A22,"AAAAAH/r+88=")</f>
        <v>#VALUE!:noResult:No valid cells found for operation.</v>
      </c>
      <c r="HA79" s="15" t="str">
        <f>AND(FinPos!B22,"AAAAAH/r+9A=")</f>
        <v>#VALUE!:noResult:No valid cells found for operation.</v>
      </c>
      <c r="HB79" s="15" t="str">
        <f>AND(FinPos!C22,"AAAAAH/r+9E=")</f>
        <v>#VALUE!:noResult:No valid cells found for operation.</v>
      </c>
      <c r="HC79" s="15" t="b">
        <f>AND(FinPos!D22,"AAAAAH/r+9I=")</f>
        <v>1</v>
      </c>
      <c r="HD79" s="15" t="str">
        <f>AND(FinPos!F22,"AAAAAH/r+9M=")</f>
        <v>#VALUE!:noResult:No valid cells found for operation.</v>
      </c>
      <c r="HE79" s="15" t="str">
        <f>#REF!</f>
        <v>#VALUE!:noResult:No valid cells found for operation.</v>
      </c>
      <c r="HF79" s="15" t="str">
        <f>AND(FinPos!G22,"AAAAAH/r+9U=")</f>
        <v>#VALUE!:noResult:No valid cells found for operation.</v>
      </c>
      <c r="HG79" s="15" t="str">
        <f>AND(FinPos!H22,"AAAAAH/r+9Y=")</f>
        <v>#VALUE!:noResult:No valid cells found for operation.</v>
      </c>
      <c r="HH79" s="15" t="str">
        <f>AND(FinPos!I22,"AAAAAH/r+9c=")</f>
        <v>#VALUE!:noResult:No valid cells found for operation.</v>
      </c>
      <c r="HI79" s="15" t="str">
        <f>AND(FinPos!J22,"AAAAAH/r+9g=")</f>
        <v>#VALUE!:noResult:No valid cells found for operation.</v>
      </c>
      <c r="HJ79" s="15" t="str">
        <f>AND(FinPos!K22,"AAAAAH/r+9k=")</f>
        <v>#VALUE!:noResult:No valid cells found for operation.</v>
      </c>
      <c r="HK79" s="15" t="str">
        <f>AND(FinPos!L22,"AAAAAH/r+9o=")</f>
        <v>#VALUE!:noResult:No valid cells found for operation.</v>
      </c>
      <c r="HL79" s="15" t="str">
        <f>AND(FinPos!M22,"AAAAAH/r+9s=")</f>
        <v>#VALUE!:noResult:No valid cells found for operation.</v>
      </c>
      <c r="HM79" s="15" t="str">
        <f>AND(FinPos!N22,"AAAAAH/r+9w=")</f>
        <v>#VALUE!:noResult:No valid cells found for operation.</v>
      </c>
      <c r="HN79" s="15" t="str">
        <f>AND(FinPos!O22,"AAAAAH/r+90=")</f>
        <v>#VALUE!:noResult:No valid cells found for operation.</v>
      </c>
      <c r="HO79" s="15" t="str">
        <f>AND(FinPos!P22,"AAAAAH/r+94=")</f>
        <v>#VALUE!:noResult:No valid cells found for operation.</v>
      </c>
      <c r="HP79" s="15" t="str">
        <f>AND(FinPos!Q22,"AAAAAH/r+98=")</f>
        <v>#VALUE!:noResult:No valid cells found for operation.</v>
      </c>
      <c r="HQ79" s="15" t="str">
        <f>AND(FinPos!R22,"AAAAAH/r++A=")</f>
        <v>#VALUE!:noResult:No valid cells found for operation.</v>
      </c>
      <c r="HR79" s="15" t="str">
        <f>AND(FinPos!S22,"AAAAAH/r++E=")</f>
        <v>#VALUE!:noResult:No valid cells found for operation.</v>
      </c>
      <c r="HS79" s="15" t="str">
        <f>AND(FinPos!T22,"AAAAAH/r++I=")</f>
        <v>#VALUE!:noResult:No valid cells found for operation.</v>
      </c>
      <c r="HT79" s="15" t="str">
        <f>AND(FinPos!U22,"AAAAAH/r++M=")</f>
        <v>#VALUE!:noResult:No valid cells found for operation.</v>
      </c>
      <c r="HU79" s="15">
        <f>IF(FinPos!R[-54],"AAAAAH/r++Q=",0)</f>
        <v>0</v>
      </c>
      <c r="HV79" s="15" t="str">
        <f>AND(FinPos!A25,"AAAAAH/r++U=")</f>
        <v>#VALUE!:noResult:No valid cells found for operation.</v>
      </c>
      <c r="HW79" s="15" t="str">
        <f>AND(FinPos!B25,"AAAAAH/r++Y=")</f>
        <v>#VALUE!:noResult:No valid cells found for operation.</v>
      </c>
      <c r="HX79" s="15" t="str">
        <f>AND(FinPos!C25,"AAAAAH/r++c=")</f>
        <v>#VALUE!:noResult:No valid cells found for operation.</v>
      </c>
      <c r="HY79" s="15" t="str">
        <f>AND(FinPos!D25,"AAAAAH/r++g=")</f>
        <v>#VALUE!:noResult:No valid cells found for operation.</v>
      </c>
      <c r="HZ79" s="15" t="str">
        <f>AND(FinPos!F25,"AAAAAH/r++k=")</f>
        <v>#VALUE!:noResult:No valid cells found for operation.</v>
      </c>
      <c r="IA79" s="15" t="str">
        <f>#REF!</f>
        <v>#VALUE!:noResult:No valid cells found for operation.</v>
      </c>
      <c r="IB79" s="15" t="str">
        <f>AND(FinPos!G25,"AAAAAH/r++s=")</f>
        <v>#VALUE!:noResult:No valid cells found for operation.</v>
      </c>
      <c r="IC79" s="15" t="str">
        <f>AND(FinPos!H25,"AAAAAH/r++w=")</f>
        <v>#VALUE!:noResult:No valid cells found for operation.</v>
      </c>
      <c r="ID79" s="15" t="str">
        <f>AND(FinPos!I25,"AAAAAH/r++0=")</f>
        <v>#VALUE!:noResult:No valid cells found for operation.</v>
      </c>
      <c r="IE79" s="15" t="str">
        <f>AND(FinPos!J25,"AAAAAH/r++4=")</f>
        <v>#VALUE!:noResult:No valid cells found for operation.</v>
      </c>
      <c r="IF79" s="15" t="str">
        <f>AND(FinPos!K25,"AAAAAH/r++8=")</f>
        <v>#VALUE!:noResult:No valid cells found for operation.</v>
      </c>
      <c r="IG79" s="15" t="str">
        <f>AND(FinPos!L25,"AAAAAH/r+/A=")</f>
        <v>#VALUE!:noResult:No valid cells found for operation.</v>
      </c>
      <c r="IH79" s="15" t="str">
        <f>AND(FinPos!M25,"AAAAAH/r+/E=")</f>
        <v>#VALUE!:noResult:No valid cells found for operation.</v>
      </c>
      <c r="II79" s="15" t="str">
        <f>AND(FinPos!N25,"AAAAAH/r+/I=")</f>
        <v>#VALUE!:noResult:No valid cells found for operation.</v>
      </c>
      <c r="IJ79" s="15" t="str">
        <f>AND(FinPos!O25,"AAAAAH/r+/M=")</f>
        <v>#VALUE!:noResult:No valid cells found for operation.</v>
      </c>
      <c r="IK79" s="15" t="str">
        <f>AND(FinPos!P25,"AAAAAH/r+/Q=")</f>
        <v>#VALUE!:noResult:No valid cells found for operation.</v>
      </c>
      <c r="IL79" s="15" t="str">
        <f>AND(FinPos!Q25,"AAAAAH/r+/U=")</f>
        <v>#VALUE!:noResult:No valid cells found for operation.</v>
      </c>
      <c r="IM79" s="15" t="str">
        <f>AND(FinPos!R25,"AAAAAH/r+/Y=")</f>
        <v>#VALUE!:noResult:No valid cells found for operation.</v>
      </c>
      <c r="IN79" s="15" t="str">
        <f>AND(FinPos!S25,"AAAAAH/r+/c=")</f>
        <v>#VALUE!:noResult:No valid cells found for operation.</v>
      </c>
      <c r="IO79" s="15" t="str">
        <f>AND(FinPos!T25,"AAAAAH/r+/g=")</f>
        <v>#VALUE!:noResult:No valid cells found for operation.</v>
      </c>
      <c r="IP79" s="15" t="str">
        <f>AND(FinPos!U25,"AAAAAH/r+/k=")</f>
        <v>#VALUE!:noResult:No valid cells found for operation.</v>
      </c>
      <c r="IQ79" s="15">
        <f>IF(FinPos!R[-53],"AAAAAH/r+/o=",0)</f>
        <v>0</v>
      </c>
      <c r="IR79" s="15" t="str">
        <f>AND(FinPos!A26,"AAAAAH/r+/s=")</f>
        <v>#VALUE!:noResult:No valid cells found for operation.</v>
      </c>
      <c r="IS79" s="15" t="str">
        <f>AND(FinPos!B26,"AAAAAH/r+/w=")</f>
        <v>#VALUE!:noResult:No valid cells found for operation.</v>
      </c>
      <c r="IT79" s="15" t="str">
        <f>AND(FinPos!C26,"AAAAAH/r+/0=")</f>
        <v>#VALUE!:noResult:No valid cells found for operation.</v>
      </c>
      <c r="IU79" s="15" t="str">
        <f>AND(FinPos!D26,"AAAAAH/r+/4=")</f>
        <v>#VALUE!:noResult:No valid cells found for operation.</v>
      </c>
      <c r="IV79" s="15" t="str">
        <f>AND(FinPos!F26,"AAAAAH/r+/8=")</f>
        <v>#VALUE!:noResult:No valid cells found for operation.</v>
      </c>
    </row>
    <row r="80">
      <c r="A80" s="15" t="str">
        <f>#REF!</f>
        <v>#VALUE!:noResult:No valid cells found for operation.</v>
      </c>
      <c r="B80" s="15" t="str">
        <f>AND(FinPos!G26,"AAAAAHY/fwE=")</f>
        <v>#VALUE!:noResult:No valid cells found for operation.</v>
      </c>
      <c r="C80" s="15" t="str">
        <f>AND(FinPos!H26,"AAAAAHY/fwI=")</f>
        <v>#VALUE!:noResult:No valid cells found for operation.</v>
      </c>
      <c r="D80" s="15" t="str">
        <f>AND(FinPos!I26,"AAAAAHY/fwM=")</f>
        <v>#VALUE!:noResult:No valid cells found for operation.</v>
      </c>
      <c r="E80" s="15" t="str">
        <f>AND(FinPos!J26,"AAAAAHY/fwQ=")</f>
        <v>#VALUE!:noResult:No valid cells found for operation.</v>
      </c>
      <c r="F80" s="15" t="str">
        <f>AND(FinPos!K26,"AAAAAHY/fwU=")</f>
        <v>#VALUE!:noResult:No valid cells found for operation.</v>
      </c>
      <c r="G80" s="15" t="str">
        <f>AND(FinPos!L26,"AAAAAHY/fwY=")</f>
        <v>#VALUE!:noResult:No valid cells found for operation.</v>
      </c>
      <c r="H80" s="15" t="str">
        <f>AND(FinPos!M26,"AAAAAHY/fwc=")</f>
        <v>#VALUE!:noResult:No valid cells found for operation.</v>
      </c>
      <c r="I80" s="15" t="str">
        <f>AND(FinPos!N26,"AAAAAHY/fwg=")</f>
        <v>#VALUE!:noResult:No valid cells found for operation.</v>
      </c>
      <c r="J80" s="15" t="str">
        <f>AND(FinPos!O26,"AAAAAHY/fwk=")</f>
        <v>#VALUE!:noResult:No valid cells found for operation.</v>
      </c>
      <c r="K80" s="15" t="str">
        <f>AND(FinPos!P26,"AAAAAHY/fwo=")</f>
        <v>#VALUE!:noResult:No valid cells found for operation.</v>
      </c>
      <c r="L80" s="15" t="str">
        <f>AND(FinPos!Q26,"AAAAAHY/fws=")</f>
        <v>#VALUE!:noResult:No valid cells found for operation.</v>
      </c>
      <c r="M80" s="15" t="str">
        <f>AND(FinPos!R26,"AAAAAHY/fww=")</f>
        <v>#VALUE!:noResult:No valid cells found for operation.</v>
      </c>
      <c r="N80" s="15" t="str">
        <f>AND(FinPos!S26,"AAAAAHY/fw0=")</f>
        <v>#VALUE!:noResult:No valid cells found for operation.</v>
      </c>
      <c r="O80" s="15" t="str">
        <f>AND(FinPos!T26,"AAAAAHY/fw4=")</f>
        <v>#VALUE!:noResult:No valid cells found for operation.</v>
      </c>
      <c r="P80" s="15" t="str">
        <f>AND(FinPos!U26,"AAAAAHY/fw8=")</f>
        <v>#VALUE!:noResult:No valid cells found for operation.</v>
      </c>
      <c r="Q80" s="15">
        <f>IF(FinPos!R[-53],"AAAAAHY/fxA=",0)</f>
        <v>0</v>
      </c>
      <c r="R80" s="15" t="b">
        <f>AND(FinPos!A27,"AAAAAHY/fxE=")</f>
        <v>1</v>
      </c>
      <c r="S80" s="15" t="str">
        <f>AND(FinPos!B27,"AAAAAHY/fxI=")</f>
        <v>#VALUE!:noResult:No valid cells found for operation.</v>
      </c>
      <c r="T80" s="15" t="b">
        <f>AND(FinPos!C27,"AAAAAHY/fxM=")</f>
        <v>1</v>
      </c>
      <c r="U80" s="15" t="str">
        <f>AND(FinPos!D27,"AAAAAHY/fxQ=")</f>
        <v>#VALUE!:noResult:No valid cells found for operation.</v>
      </c>
      <c r="V80" s="15" t="str">
        <f>AND(FinPos!F27,"AAAAAHY/fxU=")</f>
        <v>#VALUE!:noResult:No valid cells found for operation.</v>
      </c>
      <c r="W80" s="15" t="str">
        <f>#REF!</f>
        <v>#VALUE!:noResult:No valid cells found for operation.</v>
      </c>
      <c r="X80" s="15" t="str">
        <f>AND(FinPos!G27,"AAAAAHY/fxc=")</f>
        <v>#VALUE!:noResult:No valid cells found for operation.</v>
      </c>
      <c r="Y80" s="15" t="str">
        <f>AND(FinPos!H27,"AAAAAHY/fxg=")</f>
        <v>#VALUE!:noResult:No valid cells found for operation.</v>
      </c>
      <c r="Z80" s="15" t="str">
        <f>AND(FinPos!I27,"AAAAAHY/fxk=")</f>
        <v>#VALUE!:noResult:No valid cells found for operation.</v>
      </c>
      <c r="AA80" s="15" t="str">
        <f>AND(FinPos!J27,"AAAAAHY/fxo=")</f>
        <v>#VALUE!:noResult:No valid cells found for operation.</v>
      </c>
      <c r="AB80" s="15" t="str">
        <f>AND(FinPos!K27,"AAAAAHY/fxs=")</f>
        <v>#VALUE!:noResult:No valid cells found for operation.</v>
      </c>
      <c r="AC80" s="15" t="str">
        <f>AND(FinPos!L27,"AAAAAHY/fxw=")</f>
        <v>#VALUE!:noResult:No valid cells found for operation.</v>
      </c>
      <c r="AD80" s="15" t="str">
        <f>AND(FinPos!M27,"AAAAAHY/fx0=")</f>
        <v>#VALUE!:noResult:No valid cells found for operation.</v>
      </c>
      <c r="AE80" s="15" t="str">
        <f>AND(FinPos!N27,"AAAAAHY/fx4=")</f>
        <v>#VALUE!:noResult:No valid cells found for operation.</v>
      </c>
      <c r="AF80" s="15" t="str">
        <f>AND(FinPos!O27,"AAAAAHY/fx8=")</f>
        <v>#VALUE!:noResult:No valid cells found for operation.</v>
      </c>
      <c r="AG80" s="15" t="str">
        <f>AND(FinPos!P27,"AAAAAHY/fyA=")</f>
        <v>#VALUE!:noResult:No valid cells found for operation.</v>
      </c>
      <c r="AH80" s="15" t="str">
        <f>AND(FinPos!Q27,"AAAAAHY/fyE=")</f>
        <v>#VALUE!:noResult:No valid cells found for operation.</v>
      </c>
      <c r="AI80" s="15" t="str">
        <f>AND(FinPos!R27,"AAAAAHY/fyI=")</f>
        <v>#VALUE!:noResult:No valid cells found for operation.</v>
      </c>
      <c r="AJ80" s="15" t="str">
        <f>AND(FinPos!S27,"AAAAAHY/fyM=")</f>
        <v>#VALUE!:noResult:No valid cells found for operation.</v>
      </c>
      <c r="AK80" s="15" t="str">
        <f>AND(FinPos!T27,"AAAAAHY/fyQ=")</f>
        <v>#VALUE!:noResult:No valid cells found for operation.</v>
      </c>
      <c r="AL80" s="15" t="str">
        <f>AND(FinPos!U27,"AAAAAHY/fyU=")</f>
        <v>#VALUE!:noResult:No valid cells found for operation.</v>
      </c>
      <c r="AM80" s="15">
        <f>IF(FinPos!R[-52],"AAAAAHY/fyY=",0)</f>
        <v>0</v>
      </c>
      <c r="AN80" s="15" t="b">
        <f>AND(FinPos!A28,"AAAAAHY/fyc=")</f>
        <v>1</v>
      </c>
      <c r="AO80" s="15" t="str">
        <f>AND(FinPos!B28,"AAAAAHY/fyg=")</f>
        <v>#VALUE!:noResult:No valid cells found for operation.</v>
      </c>
      <c r="AP80" s="15" t="b">
        <f>AND(FinPos!C28,"AAAAAHY/fyk=")</f>
        <v>0</v>
      </c>
      <c r="AQ80" s="15" t="str">
        <f>AND(FinPos!D28,"AAAAAHY/fyo=")</f>
        <v>#VALUE!:noResult:No valid cells found for operation.</v>
      </c>
      <c r="AR80" s="15" t="str">
        <f>AND(FinPos!F28,"AAAAAHY/fys=")</f>
        <v>#VALUE!:noResult:No valid cells found for operation.</v>
      </c>
      <c r="AS80" s="15" t="str">
        <f>#REF!</f>
        <v>#VALUE!:noResult:No valid cells found for operation.</v>
      </c>
      <c r="AT80" s="15" t="str">
        <f>AND(FinPos!G28,"AAAAAHY/fy0=")</f>
        <v>#VALUE!:noResult:No valid cells found for operation.</v>
      </c>
      <c r="AU80" s="15" t="str">
        <f>AND(FinPos!H28,"AAAAAHY/fy4=")</f>
        <v>#VALUE!:noResult:No valid cells found for operation.</v>
      </c>
      <c r="AV80" s="15" t="str">
        <f>AND(FinPos!I28,"AAAAAHY/fy8=")</f>
        <v>#VALUE!:noResult:No valid cells found for operation.</v>
      </c>
      <c r="AW80" s="15" t="str">
        <f>AND(FinPos!J28,"AAAAAHY/fzA=")</f>
        <v>#VALUE!:noResult:No valid cells found for operation.</v>
      </c>
      <c r="AX80" s="15" t="str">
        <f>AND(FinPos!K28,"AAAAAHY/fzE=")</f>
        <v>#VALUE!:noResult:No valid cells found for operation.</v>
      </c>
      <c r="AY80" s="15" t="str">
        <f>AND(FinPos!L28,"AAAAAHY/fzI=")</f>
        <v>#VALUE!:noResult:No valid cells found for operation.</v>
      </c>
      <c r="AZ80" s="15" t="str">
        <f>AND(FinPos!M28,"AAAAAHY/fzM=")</f>
        <v>#VALUE!:noResult:No valid cells found for operation.</v>
      </c>
      <c r="BA80" s="15" t="str">
        <f>AND(FinPos!N28,"AAAAAHY/fzQ=")</f>
        <v>#VALUE!:noResult:No valid cells found for operation.</v>
      </c>
      <c r="BB80" s="15" t="str">
        <f>AND(FinPos!O28,"AAAAAHY/fzU=")</f>
        <v>#VALUE!:noResult:No valid cells found for operation.</v>
      </c>
      <c r="BC80" s="15" t="str">
        <f>AND(FinPos!P28,"AAAAAHY/fzY=")</f>
        <v>#VALUE!:noResult:No valid cells found for operation.</v>
      </c>
      <c r="BD80" s="15" t="str">
        <f>AND(FinPos!Q28,"AAAAAHY/fzc=")</f>
        <v>#VALUE!:noResult:No valid cells found for operation.</v>
      </c>
      <c r="BE80" s="15" t="str">
        <f>AND(FinPos!R28,"AAAAAHY/fzg=")</f>
        <v>#VALUE!:noResult:No valid cells found for operation.</v>
      </c>
      <c r="BF80" s="15" t="str">
        <f>AND(FinPos!S28,"AAAAAHY/fzk=")</f>
        <v>#VALUE!:noResult:No valid cells found for operation.</v>
      </c>
      <c r="BG80" s="15" t="str">
        <f>AND(FinPos!T28,"AAAAAHY/fzo=")</f>
        <v>#VALUE!:noResult:No valid cells found for operation.</v>
      </c>
      <c r="BH80" s="15" t="str">
        <f>AND(FinPos!U28,"AAAAAHY/fzs=")</f>
        <v>#VALUE!:noResult:No valid cells found for operation.</v>
      </c>
      <c r="BI80" s="15">
        <f>IF(FinPos!R[-51],"AAAAAHY/fzw=",0)</f>
        <v>0</v>
      </c>
      <c r="BJ80" s="15" t="b">
        <f>AND(FinPos!A29,"AAAAAHY/fz0=")</f>
        <v>1</v>
      </c>
      <c r="BK80" s="15" t="str">
        <f>AND(FinPos!B29,"AAAAAHY/fz4=")</f>
        <v>#VALUE!:noResult:No valid cells found for operation.</v>
      </c>
      <c r="BL80" s="15" t="b">
        <f>AND(FinPos!C29,"AAAAAHY/fz8=")</f>
        <v>0</v>
      </c>
      <c r="BM80" s="15" t="str">
        <f>AND(FinPos!D29,"AAAAAHY/f0A=")</f>
        <v>#VALUE!:noResult:No valid cells found for operation.</v>
      </c>
      <c r="BN80" s="15" t="str">
        <f>AND(FinPos!F29,"AAAAAHY/f0E=")</f>
        <v>#VALUE!:noResult:No valid cells found for operation.</v>
      </c>
      <c r="BO80" s="15" t="str">
        <f>#REF!</f>
        <v>#VALUE!:noResult:No valid cells found for operation.</v>
      </c>
      <c r="BP80" s="15" t="str">
        <f>AND(FinPos!G29,"AAAAAHY/f0M=")</f>
        <v>#VALUE!:noResult:No valid cells found for operation.</v>
      </c>
      <c r="BQ80" s="15" t="str">
        <f>AND(FinPos!H29,"AAAAAHY/f0Q=")</f>
        <v>#VALUE!:noResult:No valid cells found for operation.</v>
      </c>
      <c r="BR80" s="15" t="str">
        <f>AND(FinPos!I29,"AAAAAHY/f0U=")</f>
        <v>#VALUE!:noResult:No valid cells found for operation.</v>
      </c>
      <c r="BS80" s="15" t="str">
        <f>AND(FinPos!J29,"AAAAAHY/f0Y=")</f>
        <v>#VALUE!:noResult:No valid cells found for operation.</v>
      </c>
      <c r="BT80" s="15" t="str">
        <f>AND(FinPos!K29,"AAAAAHY/f0c=")</f>
        <v>#VALUE!:noResult:No valid cells found for operation.</v>
      </c>
      <c r="BU80" s="15" t="str">
        <f>AND(FinPos!L29,"AAAAAHY/f0g=")</f>
        <v>#VALUE!:noResult:No valid cells found for operation.</v>
      </c>
      <c r="BV80" s="15" t="str">
        <f>AND(FinPos!M29,"AAAAAHY/f0k=")</f>
        <v>#VALUE!:noResult:No valid cells found for operation.</v>
      </c>
      <c r="BW80" s="15" t="str">
        <f>AND(FinPos!N29,"AAAAAHY/f0o=")</f>
        <v>#VALUE!:noResult:No valid cells found for operation.</v>
      </c>
      <c r="BX80" s="15" t="str">
        <f>AND(FinPos!O29,"AAAAAHY/f0s=")</f>
        <v>#VALUE!:noResult:No valid cells found for operation.</v>
      </c>
      <c r="BY80" s="15" t="str">
        <f>AND(FinPos!P29,"AAAAAHY/f0w=")</f>
        <v>#VALUE!:noResult:No valid cells found for operation.</v>
      </c>
      <c r="BZ80" s="15" t="str">
        <f>AND(FinPos!Q29,"AAAAAHY/f00=")</f>
        <v>#VALUE!:noResult:No valid cells found for operation.</v>
      </c>
      <c r="CA80" s="15" t="str">
        <f>AND(FinPos!R29,"AAAAAHY/f04=")</f>
        <v>#VALUE!:noResult:No valid cells found for operation.</v>
      </c>
      <c r="CB80" s="15" t="str">
        <f>AND(FinPos!S29,"AAAAAHY/f08=")</f>
        <v>#VALUE!:noResult:No valid cells found for operation.</v>
      </c>
      <c r="CC80" s="15" t="str">
        <f>AND(FinPos!T29,"AAAAAHY/f1A=")</f>
        <v>#VALUE!:noResult:No valid cells found for operation.</v>
      </c>
      <c r="CD80" s="15" t="str">
        <f>AND(FinPos!U29,"AAAAAHY/f1E=")</f>
        <v>#VALUE!:noResult:No valid cells found for operation.</v>
      </c>
      <c r="CE80" s="15">
        <f>IF(FinPos!R[-50],"AAAAAHY/f1I=",0)</f>
        <v>0</v>
      </c>
      <c r="CF80" s="15" t="b">
        <f>AND(FinPos!A30,"AAAAAHY/f1M=")</f>
        <v>1</v>
      </c>
      <c r="CG80" s="15" t="str">
        <f>AND(FinPos!B30,"AAAAAHY/f1Q=")</f>
        <v>#VALUE!:noResult:No valid cells found for operation.</v>
      </c>
      <c r="CH80" s="15" t="b">
        <f>AND(FinPos!C30,"AAAAAHY/f1U=")</f>
        <v>0</v>
      </c>
      <c r="CI80" s="15" t="str">
        <f>AND(FinPos!D30,"AAAAAHY/f1Y=")</f>
        <v>#VALUE!:noResult:No valid cells found for operation.</v>
      </c>
      <c r="CJ80" s="15" t="str">
        <f>AND(FinPos!F30,"AAAAAHY/f1c=")</f>
        <v>#VALUE!:noResult:No valid cells found for operation.</v>
      </c>
      <c r="CK80" s="15" t="str">
        <f>#REF!</f>
        <v>#VALUE!:noResult:No valid cells found for operation.</v>
      </c>
      <c r="CL80" s="15" t="str">
        <f>AND(FinPos!G30,"AAAAAHY/f1k=")</f>
        <v>#VALUE!:noResult:No valid cells found for operation.</v>
      </c>
      <c r="CM80" s="15" t="str">
        <f>AND(FinPos!H30,"AAAAAHY/f1o=")</f>
        <v>#VALUE!:noResult:No valid cells found for operation.</v>
      </c>
      <c r="CN80" s="15" t="str">
        <f>AND(FinPos!I30,"AAAAAHY/f1s=")</f>
        <v>#VALUE!:noResult:No valid cells found for operation.</v>
      </c>
      <c r="CO80" s="15" t="str">
        <f>AND(FinPos!J30,"AAAAAHY/f1w=")</f>
        <v>#VALUE!:noResult:No valid cells found for operation.</v>
      </c>
      <c r="CP80" s="15" t="str">
        <f>AND(FinPos!K30,"AAAAAHY/f10=")</f>
        <v>#VALUE!:noResult:No valid cells found for operation.</v>
      </c>
      <c r="CQ80" s="15" t="str">
        <f>AND(FinPos!L30,"AAAAAHY/f14=")</f>
        <v>#VALUE!:noResult:No valid cells found for operation.</v>
      </c>
      <c r="CR80" s="15" t="str">
        <f>AND(FinPos!M30,"AAAAAHY/f18=")</f>
        <v>#VALUE!:noResult:No valid cells found for operation.</v>
      </c>
      <c r="CS80" s="15" t="str">
        <f>AND(FinPos!N30,"AAAAAHY/f2A=")</f>
        <v>#VALUE!:noResult:No valid cells found for operation.</v>
      </c>
      <c r="CT80" s="15" t="str">
        <f>AND(FinPos!O30,"AAAAAHY/f2E=")</f>
        <v>#VALUE!:noResult:No valid cells found for operation.</v>
      </c>
      <c r="CU80" s="15" t="str">
        <f>AND(FinPos!P30,"AAAAAHY/f2I=")</f>
        <v>#VALUE!:noResult:No valid cells found for operation.</v>
      </c>
      <c r="CV80" s="15" t="str">
        <f>AND(FinPos!Q30,"AAAAAHY/f2M=")</f>
        <v>#VALUE!:noResult:No valid cells found for operation.</v>
      </c>
      <c r="CW80" s="15" t="str">
        <f>AND(FinPos!R30,"AAAAAHY/f2Q=")</f>
        <v>#VALUE!:noResult:No valid cells found for operation.</v>
      </c>
      <c r="CX80" s="15" t="str">
        <f>AND(FinPos!S30,"AAAAAHY/f2U=")</f>
        <v>#VALUE!:noResult:No valid cells found for operation.</v>
      </c>
      <c r="CY80" s="15" t="str">
        <f>AND(FinPos!T30,"AAAAAHY/f2Y=")</f>
        <v>#VALUE!:noResult:No valid cells found for operation.</v>
      </c>
      <c r="CZ80" s="15" t="str">
        <f>AND(FinPos!U30,"AAAAAHY/f2c=")</f>
        <v>#VALUE!:noResult:No valid cells found for operation.</v>
      </c>
      <c r="DA80" s="15">
        <f>IF(FinPos!R[-48],"AAAAAHY/f2g=",0)</f>
        <v>0</v>
      </c>
      <c r="DB80" s="15" t="b">
        <f>AND(FinPos!A32,"AAAAAHY/f2k=")</f>
        <v>1</v>
      </c>
      <c r="DC80" s="15" t="str">
        <f>AND(FinPos!B32,"AAAAAHY/f2o=")</f>
        <v>#VALUE!:noResult:No valid cells found for operation.</v>
      </c>
      <c r="DD80" s="15" t="b">
        <f>AND(FinPos!C32,"AAAAAHY/f2s=")</f>
        <v>0</v>
      </c>
      <c r="DE80" s="15" t="str">
        <f>AND(FinPos!D32,"AAAAAHY/f2w=")</f>
        <v>#VALUE!:noResult:No valid cells found for operation.</v>
      </c>
      <c r="DF80" s="15" t="str">
        <f>AND(FinPos!F32,"AAAAAHY/f20=")</f>
        <v>#VALUE!:noResult:No valid cells found for operation.</v>
      </c>
      <c r="DG80" s="15" t="str">
        <f>#REF!</f>
        <v>#VALUE!:noResult:No valid cells found for operation.</v>
      </c>
      <c r="DH80" s="15" t="str">
        <f>AND(FinPos!G32,"AAAAAHY/f28=")</f>
        <v>#VALUE!:noResult:No valid cells found for operation.</v>
      </c>
      <c r="DI80" s="15" t="str">
        <f>AND(FinPos!H32,"AAAAAHY/f3A=")</f>
        <v>#VALUE!:noResult:No valid cells found for operation.</v>
      </c>
      <c r="DJ80" s="15" t="str">
        <f>AND(FinPos!I32,"AAAAAHY/f3E=")</f>
        <v>#VALUE!:noResult:No valid cells found for operation.</v>
      </c>
      <c r="DK80" s="15" t="str">
        <f>AND(FinPos!J32,"AAAAAHY/f3I=")</f>
        <v>#VALUE!:noResult:No valid cells found for operation.</v>
      </c>
      <c r="DL80" s="15" t="str">
        <f>AND(FinPos!K32,"AAAAAHY/f3M=")</f>
        <v>#VALUE!:noResult:No valid cells found for operation.</v>
      </c>
      <c r="DM80" s="15" t="str">
        <f>AND(FinPos!L32,"AAAAAHY/f3Q=")</f>
        <v>#VALUE!:noResult:No valid cells found for operation.</v>
      </c>
      <c r="DN80" s="15" t="str">
        <f>AND(FinPos!M32,"AAAAAHY/f3U=")</f>
        <v>#VALUE!:noResult:No valid cells found for operation.</v>
      </c>
      <c r="DO80" s="15" t="str">
        <f>AND(FinPos!N32,"AAAAAHY/f3Y=")</f>
        <v>#VALUE!:noResult:No valid cells found for operation.</v>
      </c>
      <c r="DP80" s="15" t="str">
        <f>AND(FinPos!O32,"AAAAAHY/f3c=")</f>
        <v>#VALUE!:noResult:No valid cells found for operation.</v>
      </c>
      <c r="DQ80" s="15" t="str">
        <f>AND(FinPos!P32,"AAAAAHY/f3g=")</f>
        <v>#VALUE!:noResult:No valid cells found for operation.</v>
      </c>
      <c r="DR80" s="15" t="str">
        <f>AND(FinPos!Q32,"AAAAAHY/f3k=")</f>
        <v>#VALUE!:noResult:No valid cells found for operation.</v>
      </c>
      <c r="DS80" s="15" t="str">
        <f>AND(FinPos!R32,"AAAAAHY/f3o=")</f>
        <v>#VALUE!:noResult:No valid cells found for operation.</v>
      </c>
      <c r="DT80" s="15" t="str">
        <f>AND(FinPos!S32,"AAAAAHY/f3s=")</f>
        <v>#VALUE!:noResult:No valid cells found for operation.</v>
      </c>
      <c r="DU80" s="15" t="str">
        <f>AND(FinPos!T32,"AAAAAHY/f3w=")</f>
        <v>#VALUE!:noResult:No valid cells found for operation.</v>
      </c>
      <c r="DV80" s="15" t="str">
        <f>AND(FinPos!U32,"AAAAAHY/f30=")</f>
        <v>#VALUE!:noResult:No valid cells found for operation.</v>
      </c>
      <c r="DW80" s="15">
        <f>IF(FinPos!R[-47],"AAAAAHY/f34=",0)</f>
        <v>0</v>
      </c>
      <c r="DX80" s="15" t="str">
        <f>AND(FinPos!A33,"AAAAAHY/f38=")</f>
        <v>#VALUE!:noResult:No valid cells found for operation.</v>
      </c>
      <c r="DY80" s="15" t="str">
        <f>AND(FinPos!B33,"AAAAAHY/f4A=")</f>
        <v>#VALUE!:noResult:No valid cells found for operation.</v>
      </c>
      <c r="DZ80" s="15" t="str">
        <f>AND(FinPos!C33,"AAAAAHY/f4E=")</f>
        <v>#VALUE!:noResult:No valid cells found for operation.</v>
      </c>
      <c r="EA80" s="15" t="b">
        <f>AND(FinPos!D33,"AAAAAHY/f4I=")</f>
        <v>1</v>
      </c>
      <c r="EB80" s="15" t="str">
        <f>AND(FinPos!F33,"AAAAAHY/f4M=")</f>
        <v>#VALUE!:noResult:No valid cells found for operation.</v>
      </c>
      <c r="EC80" s="15" t="str">
        <f>#REF!</f>
        <v>#VALUE!:noResult:No valid cells found for operation.</v>
      </c>
      <c r="ED80" s="15" t="str">
        <f>AND(FinPos!G33,"AAAAAHY/f4U=")</f>
        <v>#VALUE!:noResult:No valid cells found for operation.</v>
      </c>
      <c r="EE80" s="15" t="str">
        <f>AND(FinPos!H33,"AAAAAHY/f4Y=")</f>
        <v>#VALUE!:noResult:No valid cells found for operation.</v>
      </c>
      <c r="EF80" s="15" t="str">
        <f>AND(FinPos!I33,"AAAAAHY/f4c=")</f>
        <v>#VALUE!:noResult:No valid cells found for operation.</v>
      </c>
      <c r="EG80" s="15" t="str">
        <f>AND(FinPos!J33,"AAAAAHY/f4g=")</f>
        <v>#VALUE!:noResult:No valid cells found for operation.</v>
      </c>
      <c r="EH80" s="15" t="str">
        <f>AND(FinPos!K33,"AAAAAHY/f4k=")</f>
        <v>#VALUE!:noResult:No valid cells found for operation.</v>
      </c>
      <c r="EI80" s="15" t="str">
        <f>AND(FinPos!L33,"AAAAAHY/f4o=")</f>
        <v>#VALUE!:noResult:No valid cells found for operation.</v>
      </c>
      <c r="EJ80" s="15" t="str">
        <f>AND(FinPos!M33,"AAAAAHY/f4s=")</f>
        <v>#VALUE!:noResult:No valid cells found for operation.</v>
      </c>
      <c r="EK80" s="15" t="str">
        <f>AND(FinPos!N33,"AAAAAHY/f4w=")</f>
        <v>#VALUE!:noResult:No valid cells found for operation.</v>
      </c>
      <c r="EL80" s="15" t="str">
        <f>AND(FinPos!O33,"AAAAAHY/f40=")</f>
        <v>#VALUE!:noResult:No valid cells found for operation.</v>
      </c>
      <c r="EM80" s="15" t="str">
        <f>AND(FinPos!P33,"AAAAAHY/f44=")</f>
        <v>#VALUE!:noResult:No valid cells found for operation.</v>
      </c>
      <c r="EN80" s="15" t="str">
        <f>AND(FinPos!Q33,"AAAAAHY/f48=")</f>
        <v>#VALUE!:noResult:No valid cells found for operation.</v>
      </c>
      <c r="EO80" s="15" t="str">
        <f>AND(FinPos!R33,"AAAAAHY/f5A=")</f>
        <v>#VALUE!:noResult:No valid cells found for operation.</v>
      </c>
      <c r="EP80" s="15" t="str">
        <f>AND(FinPos!S33,"AAAAAHY/f5E=")</f>
        <v>#VALUE!:noResult:No valid cells found for operation.</v>
      </c>
      <c r="EQ80" s="15" t="str">
        <f>AND(FinPos!T33,"AAAAAHY/f5I=")</f>
        <v>#VALUE!:noResult:No valid cells found for operation.</v>
      </c>
      <c r="ER80" s="15" t="str">
        <f>AND(FinPos!U33,"AAAAAHY/f5M=")</f>
        <v>#VALUE!:noResult:No valid cells found for operation.</v>
      </c>
      <c r="ES80" s="15">
        <f>IF(FinPos!R[-46],"AAAAAHY/f5Q=",0)</f>
        <v>0</v>
      </c>
      <c r="ET80" s="15" t="str">
        <f>AND(FinPos!A34,"AAAAAHY/f5U=")</f>
        <v>#VALUE!:noResult:No valid cells found for operation.</v>
      </c>
      <c r="EU80" s="15" t="str">
        <f>AND(FinPos!B34,"AAAAAHY/f5Y=")</f>
        <v>#VALUE!:noResult:No valid cells found for operation.</v>
      </c>
      <c r="EV80" s="15" t="str">
        <f>AND(FinPos!C34,"AAAAAHY/f5c=")</f>
        <v>#VALUE!:noResult:No valid cells found for operation.</v>
      </c>
      <c r="EW80" s="15" t="str">
        <f>AND(FinPos!D34,"AAAAAHY/f5g=")</f>
        <v>#VALUE!:noResult:No valid cells found for operation.</v>
      </c>
      <c r="EX80" s="15" t="str">
        <f>AND(FinPos!F34,"AAAAAHY/f5k=")</f>
        <v>#VALUE!:noResult:No valid cells found for operation.</v>
      </c>
      <c r="EY80" s="15" t="str">
        <f>#REF!</f>
        <v>#VALUE!:noResult:No valid cells found for operation.</v>
      </c>
      <c r="EZ80" s="15" t="str">
        <f>AND(FinPos!G34,"AAAAAHY/f5s=")</f>
        <v>#VALUE!:noResult:No valid cells found for operation.</v>
      </c>
      <c r="FA80" s="15" t="str">
        <f>AND(FinPos!H34,"AAAAAHY/f5w=")</f>
        <v>#VALUE!:noResult:No valid cells found for operation.</v>
      </c>
      <c r="FB80" s="15" t="str">
        <f>AND(FinPos!I34,"AAAAAHY/f50=")</f>
        <v>#VALUE!:noResult:No valid cells found for operation.</v>
      </c>
      <c r="FC80" s="15" t="str">
        <f>AND(FinPos!J34,"AAAAAHY/f54=")</f>
        <v>#VALUE!:noResult:No valid cells found for operation.</v>
      </c>
      <c r="FD80" s="15" t="str">
        <f>AND(FinPos!K34,"AAAAAHY/f58=")</f>
        <v>#VALUE!:noResult:No valid cells found for operation.</v>
      </c>
      <c r="FE80" s="15" t="str">
        <f>AND(FinPos!L34,"AAAAAHY/f6A=")</f>
        <v>#VALUE!:noResult:No valid cells found for operation.</v>
      </c>
      <c r="FF80" s="15" t="str">
        <f>AND(FinPos!M34,"AAAAAHY/f6E=")</f>
        <v>#VALUE!:noResult:No valid cells found for operation.</v>
      </c>
      <c r="FG80" s="15" t="str">
        <f>AND(FinPos!N34,"AAAAAHY/f6I=")</f>
        <v>#VALUE!:noResult:No valid cells found for operation.</v>
      </c>
      <c r="FH80" s="15" t="str">
        <f>AND(FinPos!O34,"AAAAAHY/f6M=")</f>
        <v>#VALUE!:noResult:No valid cells found for operation.</v>
      </c>
      <c r="FI80" s="15" t="str">
        <f>AND(FinPos!P34,"AAAAAHY/f6Q=")</f>
        <v>#VALUE!:noResult:No valid cells found for operation.</v>
      </c>
      <c r="FJ80" s="15" t="str">
        <f>AND(FinPos!Q34,"AAAAAHY/f6U=")</f>
        <v>#VALUE!:noResult:No valid cells found for operation.</v>
      </c>
      <c r="FK80" s="15" t="str">
        <f>AND(FinPos!R34,"AAAAAHY/f6Y=")</f>
        <v>#VALUE!:noResult:No valid cells found for operation.</v>
      </c>
      <c r="FL80" s="15" t="str">
        <f>AND(FinPos!S34,"AAAAAHY/f6c=")</f>
        <v>#VALUE!:noResult:No valid cells found for operation.</v>
      </c>
      <c r="FM80" s="15" t="str">
        <f>AND(FinPos!T34,"AAAAAHY/f6g=")</f>
        <v>#VALUE!:noResult:No valid cells found for operation.</v>
      </c>
      <c r="FN80" s="15" t="str">
        <f>AND(FinPos!U34,"AAAAAHY/f6k=")</f>
        <v>#VALUE!:noResult:No valid cells found for operation.</v>
      </c>
      <c r="FO80" s="15">
        <f>IF(FinPos!R[-45],"AAAAAHY/f6o=",0)</f>
        <v>0</v>
      </c>
      <c r="FP80" s="15" t="b">
        <f>AND(FinPos!A35,"AAAAAHY/f6s=")</f>
        <v>1</v>
      </c>
      <c r="FQ80" s="15" t="str">
        <f>AND(FinPos!B35,"AAAAAHY/f6w=")</f>
        <v>#VALUE!:noResult:No valid cells found for operation.</v>
      </c>
      <c r="FR80" s="15" t="b">
        <f>AND(FinPos!C35,"AAAAAHY/f60=")</f>
        <v>0</v>
      </c>
      <c r="FS80" s="15" t="str">
        <f>AND(FinPos!D35,"AAAAAHY/f64=")</f>
        <v>#VALUE!:noResult:No valid cells found for operation.</v>
      </c>
      <c r="FT80" s="15" t="str">
        <f>AND(FinPos!F35,"AAAAAHY/f68=")</f>
        <v>#VALUE!:noResult:No valid cells found for operation.</v>
      </c>
      <c r="FU80" s="15" t="str">
        <f>#REF!</f>
        <v>#VALUE!:noResult:No valid cells found for operation.</v>
      </c>
      <c r="FV80" s="15" t="str">
        <f>AND(FinPos!G35,"AAAAAHY/f7E=")</f>
        <v>#VALUE!:noResult:No valid cells found for operation.</v>
      </c>
      <c r="FW80" s="15" t="str">
        <f>AND(FinPos!H35,"AAAAAHY/f7I=")</f>
        <v>#VALUE!:noResult:No valid cells found for operation.</v>
      </c>
      <c r="FX80" s="15" t="str">
        <f>AND(FinPos!I35,"AAAAAHY/f7M=")</f>
        <v>#VALUE!:noResult:No valid cells found for operation.</v>
      </c>
      <c r="FY80" s="15" t="str">
        <f>AND(FinPos!J35,"AAAAAHY/f7Q=")</f>
        <v>#VALUE!:noResult:No valid cells found for operation.</v>
      </c>
      <c r="FZ80" s="15" t="str">
        <f>AND(FinPos!K35,"AAAAAHY/f7U=")</f>
        <v>#VALUE!:noResult:No valid cells found for operation.</v>
      </c>
      <c r="GA80" s="15" t="str">
        <f>AND(FinPos!L35,"AAAAAHY/f7Y=")</f>
        <v>#VALUE!:noResult:No valid cells found for operation.</v>
      </c>
      <c r="GB80" s="15" t="str">
        <f>AND(FinPos!M35,"AAAAAHY/f7c=")</f>
        <v>#VALUE!:noResult:No valid cells found for operation.</v>
      </c>
      <c r="GC80" s="15" t="str">
        <f>AND(FinPos!N35,"AAAAAHY/f7g=")</f>
        <v>#VALUE!:noResult:No valid cells found for operation.</v>
      </c>
      <c r="GD80" s="15" t="str">
        <f>AND(FinPos!O35,"AAAAAHY/f7k=")</f>
        <v>#VALUE!:noResult:No valid cells found for operation.</v>
      </c>
      <c r="GE80" s="15" t="str">
        <f>AND(FinPos!P35,"AAAAAHY/f7o=")</f>
        <v>#VALUE!:noResult:No valid cells found for operation.</v>
      </c>
      <c r="GF80" s="15" t="str">
        <f>AND(FinPos!Q35,"AAAAAHY/f7s=")</f>
        <v>#VALUE!:noResult:No valid cells found for operation.</v>
      </c>
      <c r="GG80" s="15" t="str">
        <f>AND(FinPos!R35,"AAAAAHY/f7w=")</f>
        <v>#VALUE!:noResult:No valid cells found for operation.</v>
      </c>
      <c r="GH80" s="15" t="str">
        <f>AND(FinPos!S35,"AAAAAHY/f70=")</f>
        <v>#VALUE!:noResult:No valid cells found for operation.</v>
      </c>
      <c r="GI80" s="15" t="str">
        <f>AND(FinPos!T35,"AAAAAHY/f74=")</f>
        <v>#VALUE!:noResult:No valid cells found for operation.</v>
      </c>
      <c r="GJ80" s="15" t="str">
        <f>AND(FinPos!U35,"AAAAAHY/f78=")</f>
        <v>#VALUE!:noResult:No valid cells found for operation.</v>
      </c>
      <c r="GK80" s="15">
        <f>IF(FinPos!R[-44],"AAAAAHY/f8A=",0)</f>
        <v>0</v>
      </c>
      <c r="GL80" s="15" t="str">
        <f>AND(FinPos!A36,"AAAAAHY/f8E=")</f>
        <v>#VALUE!:noResult:No valid cells found for operation.</v>
      </c>
      <c r="GM80" s="15" t="str">
        <f>AND(FinPos!B36,"AAAAAHY/f8I=")</f>
        <v>#VALUE!:noResult:No valid cells found for operation.</v>
      </c>
      <c r="GN80" s="15" t="str">
        <f>AND(FinPos!C36,"AAAAAHY/f8M=")</f>
        <v>#VALUE!:noResult:No valid cells found for operation.</v>
      </c>
      <c r="GO80" s="15" t="b">
        <f>AND(FinPos!D36,"AAAAAHY/f8Q=")</f>
        <v>0</v>
      </c>
      <c r="GP80" s="15" t="str">
        <f>AND(FinPos!F36,"AAAAAHY/f8U=")</f>
        <v>#VALUE!:noResult:No valid cells found for operation.</v>
      </c>
      <c r="GQ80" s="15" t="str">
        <f>#REF!</f>
        <v>#VALUE!:noResult:No valid cells found for operation.</v>
      </c>
      <c r="GR80" s="15" t="str">
        <f>AND(FinPos!G36,"AAAAAHY/f8c=")</f>
        <v>#VALUE!:noResult:No valid cells found for operation.</v>
      </c>
      <c r="GS80" s="15" t="str">
        <f>AND(FinPos!H36,"AAAAAHY/f8g=")</f>
        <v>#VALUE!:noResult:No valid cells found for operation.</v>
      </c>
      <c r="GT80" s="15" t="str">
        <f>AND(FinPos!I36,"AAAAAHY/f8k=")</f>
        <v>#VALUE!:noResult:No valid cells found for operation.</v>
      </c>
      <c r="GU80" s="15" t="str">
        <f>AND(FinPos!J36,"AAAAAHY/f8o=")</f>
        <v>#VALUE!:noResult:No valid cells found for operation.</v>
      </c>
      <c r="GV80" s="15" t="str">
        <f>AND(FinPos!K36,"AAAAAHY/f8s=")</f>
        <v>#VALUE!:noResult:No valid cells found for operation.</v>
      </c>
      <c r="GW80" s="15" t="str">
        <f>AND(FinPos!L36,"AAAAAHY/f8w=")</f>
        <v>#VALUE!:noResult:No valid cells found for operation.</v>
      </c>
      <c r="GX80" s="15" t="str">
        <f>AND(FinPos!M36,"AAAAAHY/f80=")</f>
        <v>#VALUE!:noResult:No valid cells found for operation.</v>
      </c>
      <c r="GY80" s="15" t="str">
        <f>AND(FinPos!N36,"AAAAAHY/f84=")</f>
        <v>#VALUE!:noResult:No valid cells found for operation.</v>
      </c>
      <c r="GZ80" s="15" t="str">
        <f>AND(FinPos!O36,"AAAAAHY/f88=")</f>
        <v>#VALUE!:noResult:No valid cells found for operation.</v>
      </c>
      <c r="HA80" s="15" t="str">
        <f>AND(FinPos!P36,"AAAAAHY/f9A=")</f>
        <v>#VALUE!:noResult:No valid cells found for operation.</v>
      </c>
      <c r="HB80" s="15" t="str">
        <f>AND(FinPos!Q36,"AAAAAHY/f9E=")</f>
        <v>#VALUE!:noResult:No valid cells found for operation.</v>
      </c>
      <c r="HC80" s="15" t="str">
        <f>AND(FinPos!R36,"AAAAAHY/f9I=")</f>
        <v>#VALUE!:noResult:No valid cells found for operation.</v>
      </c>
      <c r="HD80" s="15" t="str">
        <f>AND(FinPos!S36,"AAAAAHY/f9M=")</f>
        <v>#VALUE!:noResult:No valid cells found for operation.</v>
      </c>
      <c r="HE80" s="15" t="str">
        <f>AND(FinPos!T36,"AAAAAHY/f9Q=")</f>
        <v>#VALUE!:noResult:No valid cells found for operation.</v>
      </c>
      <c r="HF80" s="15" t="str">
        <f>AND(FinPos!U36,"AAAAAHY/f9U=")</f>
        <v>#VALUE!:noResult:No valid cells found for operation.</v>
      </c>
      <c r="HG80" s="15">
        <f>IF(FinPos!R[-43],"AAAAAHY/f9Y=",0)</f>
        <v>0</v>
      </c>
      <c r="HH80" s="15" t="str">
        <f>AND(FinPos!A37,"AAAAAHY/f9c=")</f>
        <v>#VALUE!:noResult:No valid cells found for operation.</v>
      </c>
      <c r="HI80" s="15" t="str">
        <f>AND(FinPos!B37,"AAAAAHY/f9g=")</f>
        <v>#VALUE!:noResult:No valid cells found for operation.</v>
      </c>
      <c r="HJ80" s="15" t="str">
        <f>AND(FinPos!C37,"AAAAAHY/f9k=")</f>
        <v>#VALUE!:noResult:No valid cells found for operation.</v>
      </c>
      <c r="HK80" s="15" t="str">
        <f>AND(FinPos!D37,"AAAAAHY/f9o=")</f>
        <v>#VALUE!:noResult:No valid cells found for operation.</v>
      </c>
      <c r="HL80" s="15" t="str">
        <f>AND(FinPos!F37,"AAAAAHY/f9s=")</f>
        <v>#VALUE!:noResult:No valid cells found for operation.</v>
      </c>
      <c r="HM80" s="15" t="str">
        <f>#REF!</f>
        <v>#VALUE!:noResult:No valid cells found for operation.</v>
      </c>
      <c r="HN80" s="15" t="str">
        <f>AND(FinPos!G37,"AAAAAHY/f90=")</f>
        <v>#VALUE!:noResult:No valid cells found for operation.</v>
      </c>
      <c r="HO80" s="15" t="str">
        <f>AND(FinPos!H37,"AAAAAHY/f94=")</f>
        <v>#VALUE!:noResult:No valid cells found for operation.</v>
      </c>
      <c r="HP80" s="15" t="str">
        <f>AND(FinPos!I37,"AAAAAHY/f98=")</f>
        <v>#VALUE!:noResult:No valid cells found for operation.</v>
      </c>
      <c r="HQ80" s="15" t="str">
        <f>AND(FinPos!J37,"AAAAAHY/f+A=")</f>
        <v>#VALUE!:noResult:No valid cells found for operation.</v>
      </c>
      <c r="HR80" s="15" t="str">
        <f>AND(FinPos!K37,"AAAAAHY/f+E=")</f>
        <v>#VALUE!:noResult:No valid cells found for operation.</v>
      </c>
      <c r="HS80" s="15" t="str">
        <f>AND(FinPos!L37,"AAAAAHY/f+I=")</f>
        <v>#VALUE!:noResult:No valid cells found for operation.</v>
      </c>
      <c r="HT80" s="15" t="str">
        <f>AND(FinPos!M37,"AAAAAHY/f+M=")</f>
        <v>#VALUE!:noResult:No valid cells found for operation.</v>
      </c>
      <c r="HU80" s="15" t="str">
        <f>AND(FinPos!N37,"AAAAAHY/f+Q=")</f>
        <v>#VALUE!:noResult:No valid cells found for operation.</v>
      </c>
      <c r="HV80" s="15" t="str">
        <f>AND(FinPos!O37,"AAAAAHY/f+U=")</f>
        <v>#VALUE!:noResult:No valid cells found for operation.</v>
      </c>
      <c r="HW80" s="15" t="str">
        <f>AND(FinPos!P37,"AAAAAHY/f+Y=")</f>
        <v>#VALUE!:noResult:No valid cells found for operation.</v>
      </c>
      <c r="HX80" s="15" t="str">
        <f>AND(FinPos!Q37,"AAAAAHY/f+c=")</f>
        <v>#VALUE!:noResult:No valid cells found for operation.</v>
      </c>
      <c r="HY80" s="15" t="str">
        <f>AND(FinPos!R37,"AAAAAHY/f+g=")</f>
        <v>#VALUE!:noResult:No valid cells found for operation.</v>
      </c>
      <c r="HZ80" s="15" t="str">
        <f>AND(FinPos!S37,"AAAAAHY/f+k=")</f>
        <v>#VALUE!:noResult:No valid cells found for operation.</v>
      </c>
      <c r="IA80" s="15" t="str">
        <f>AND(FinPos!T37,"AAAAAHY/f+o=")</f>
        <v>#VALUE!:noResult:No valid cells found for operation.</v>
      </c>
      <c r="IB80" s="15" t="str">
        <f>AND(FinPos!U37,"AAAAAHY/f+s=")</f>
        <v>#VALUE!:noResult:No valid cells found for operation.</v>
      </c>
      <c r="IC80" s="15">
        <f>IF(FinPos!R[-42],"AAAAAHY/f+w=",0)</f>
        <v>0</v>
      </c>
      <c r="ID80" s="15" t="b">
        <f>AND(FinPos!A38,"AAAAAHY/f+0=")</f>
        <v>1</v>
      </c>
      <c r="IE80" s="15" t="str">
        <f>AND(FinPos!B38,"AAAAAHY/f+4=")</f>
        <v>#VALUE!:noResult:No valid cells found for operation.</v>
      </c>
      <c r="IF80" s="15" t="b">
        <f>AND(FinPos!C38,"AAAAAHY/f+8=")</f>
        <v>1</v>
      </c>
      <c r="IG80" s="15" t="str">
        <f>AND(FinPos!D38,"AAAAAHY/f/A=")</f>
        <v>#VALUE!:noResult:No valid cells found for operation.</v>
      </c>
      <c r="IH80" s="15" t="str">
        <f>AND(FinPos!F38,"AAAAAHY/f/E=")</f>
        <v>#VALUE!:noResult:No valid cells found for operation.</v>
      </c>
      <c r="II80" s="15" t="str">
        <f>#REF!</f>
        <v>#VALUE!:noResult:No valid cells found for operation.</v>
      </c>
      <c r="IJ80" s="15" t="str">
        <f>AND(FinPos!G38,"AAAAAHY/f/M=")</f>
        <v>#VALUE!:noResult:No valid cells found for operation.</v>
      </c>
      <c r="IK80" s="15" t="str">
        <f>AND(FinPos!H38,"AAAAAHY/f/Q=")</f>
        <v>#VALUE!:noResult:No valid cells found for operation.</v>
      </c>
      <c r="IL80" s="15" t="str">
        <f>AND(FinPos!I38,"AAAAAHY/f/U=")</f>
        <v>#VALUE!:noResult:No valid cells found for operation.</v>
      </c>
      <c r="IM80" s="15" t="str">
        <f>AND(FinPos!J38,"AAAAAHY/f/Y=")</f>
        <v>#VALUE!:noResult:No valid cells found for operation.</v>
      </c>
      <c r="IN80" s="15" t="str">
        <f>AND(FinPos!K38,"AAAAAHY/f/c=")</f>
        <v>#VALUE!:noResult:No valid cells found for operation.</v>
      </c>
      <c r="IO80" s="15" t="str">
        <f>AND(FinPos!L38,"AAAAAHY/f/g=")</f>
        <v>#VALUE!:noResult:No valid cells found for operation.</v>
      </c>
      <c r="IP80" s="15" t="str">
        <f>AND(FinPos!M38,"AAAAAHY/f/k=")</f>
        <v>#VALUE!:noResult:No valid cells found for operation.</v>
      </c>
      <c r="IQ80" s="15" t="str">
        <f>AND(FinPos!N38,"AAAAAHY/f/o=")</f>
        <v>#VALUE!:noResult:No valid cells found for operation.</v>
      </c>
      <c r="IR80" s="15" t="str">
        <f>AND(FinPos!O38,"AAAAAHY/f/s=")</f>
        <v>#VALUE!:noResult:No valid cells found for operation.</v>
      </c>
      <c r="IS80" s="15" t="str">
        <f>AND(FinPos!P38,"AAAAAHY/f/w=")</f>
        <v>#VALUE!:noResult:No valid cells found for operation.</v>
      </c>
      <c r="IT80" s="15" t="str">
        <f>AND(FinPos!Q38,"AAAAAHY/f/0=")</f>
        <v>#VALUE!:noResult:No valid cells found for operation.</v>
      </c>
      <c r="IU80" s="15" t="str">
        <f>AND(FinPos!R38,"AAAAAHY/f/4=")</f>
        <v>#VALUE!:noResult:No valid cells found for operation.</v>
      </c>
      <c r="IV80" s="15" t="str">
        <f>AND(FinPos!S38,"AAAAAHY/f/8=")</f>
        <v>#VALUE!:noResult:No valid cells found for operation.</v>
      </c>
    </row>
    <row r="81" ht="15.0" customHeight="1">
      <c r="A81" s="15" t="str">
        <f>AND(FinPos!T38,"AAAAAH7v2AA=")</f>
        <v>#VALUE!:noResult:No valid cells found for operation.</v>
      </c>
      <c r="B81" s="15" t="str">
        <f>AND(FinPos!U38,"AAAAAH7v2AE=")</f>
        <v>#VALUE!:noResult:No valid cells found for operation.</v>
      </c>
      <c r="C81" s="15" t="str">
        <f>IF(FinPos!R[-42],"AAAAAH7v2AI=",0)</f>
        <v>AAAAAH7v2AI=</v>
      </c>
      <c r="D81" s="15" t="str">
        <f>AND(FinPos!A39,"AAAAAH7v2AM=")</f>
        <v>#VALUE!:noResult:No valid cells found for operation.</v>
      </c>
      <c r="E81" s="15" t="str">
        <f>AND(FinPos!B39,"AAAAAH7v2AQ=")</f>
        <v>#VALUE!:noResult:No valid cells found for operation.</v>
      </c>
      <c r="F81" s="15" t="b">
        <f>AND(FinPos!C39,"AAAAAH7v2AU=")</f>
        <v>1</v>
      </c>
      <c r="G81" s="15" t="str">
        <f>AND(FinPos!D39,"AAAAAH7v2AY=")</f>
        <v>#VALUE!:noResult:No valid cells found for operation.</v>
      </c>
      <c r="H81" s="15" t="str">
        <f>AND(FinPos!F39,"AAAAAH7v2Ac=")</f>
        <v>#VALUE!:noResult:No valid cells found for operation.</v>
      </c>
      <c r="I81" s="15" t="str">
        <f>#REF!</f>
        <v>#VALUE!:noResult:No valid cells found for operation.</v>
      </c>
      <c r="J81" s="15" t="str">
        <f>AND(FinPos!G39,"AAAAAH7v2Ak=")</f>
        <v>#VALUE!:noResult:No valid cells found for operation.</v>
      </c>
      <c r="K81" s="15" t="str">
        <f>AND(FinPos!H39,"AAAAAH7v2Ao=")</f>
        <v>#VALUE!:noResult:No valid cells found for operation.</v>
      </c>
      <c r="L81" s="15" t="str">
        <f>AND(FinPos!I39,"AAAAAH7v2As=")</f>
        <v>#VALUE!:noResult:No valid cells found for operation.</v>
      </c>
      <c r="M81" s="15" t="str">
        <f>AND(FinPos!J39,"AAAAAH7v2Aw=")</f>
        <v>#VALUE!:noResult:No valid cells found for operation.</v>
      </c>
      <c r="N81" s="15" t="str">
        <f>AND(FinPos!K39,"AAAAAH7v2A0=")</f>
        <v>#VALUE!:noResult:No valid cells found for operation.</v>
      </c>
      <c r="O81" s="15" t="str">
        <f>AND(FinPos!L39,"AAAAAH7v2A4=")</f>
        <v>#VALUE!:noResult:No valid cells found for operation.</v>
      </c>
      <c r="P81" s="15" t="str">
        <f>AND(FinPos!M39,"AAAAAH7v2A8=")</f>
        <v>#VALUE!:noResult:No valid cells found for operation.</v>
      </c>
      <c r="Q81" s="15" t="str">
        <f>AND(FinPos!N39,"AAAAAH7v2BA=")</f>
        <v>#VALUE!:noResult:No valid cells found for operation.</v>
      </c>
      <c r="R81" s="15" t="str">
        <f>AND(FinPos!O39,"AAAAAH7v2BE=")</f>
        <v>#VALUE!:noResult:No valid cells found for operation.</v>
      </c>
      <c r="S81" s="15" t="str">
        <f>AND(FinPos!P39,"AAAAAH7v2BI=")</f>
        <v>#VALUE!:noResult:No valid cells found for operation.</v>
      </c>
      <c r="T81" s="15" t="str">
        <f>AND(FinPos!Q39,"AAAAAH7v2BM=")</f>
        <v>#VALUE!:noResult:No valid cells found for operation.</v>
      </c>
      <c r="U81" s="15" t="str">
        <f>AND(FinPos!R39,"AAAAAH7v2BQ=")</f>
        <v>#VALUE!:noResult:No valid cells found for operation.</v>
      </c>
      <c r="V81" s="15" t="str">
        <f>AND(FinPos!S39,"AAAAAH7v2BU=")</f>
        <v>#VALUE!:noResult:No valid cells found for operation.</v>
      </c>
      <c r="W81" s="15" t="str">
        <f>AND(FinPos!T39,"AAAAAH7v2BY=")</f>
        <v>#VALUE!:noResult:No valid cells found for operation.</v>
      </c>
      <c r="X81" s="15" t="str">
        <f>AND(FinPos!U39,"AAAAAH7v2Bc=")</f>
        <v>#VALUE!:noResult:No valid cells found for operation.</v>
      </c>
      <c r="Y81" s="15">
        <f>IF(FinPos!R[-41],"AAAAAH7v2Bg=",0)</f>
        <v>0</v>
      </c>
      <c r="Z81" s="15" t="str">
        <f>AND(FinPos!A40,"AAAAAH7v2Bk=")</f>
        <v>#VALUE!:noResult:No valid cells found for operation.</v>
      </c>
      <c r="AA81" s="15" t="str">
        <f>AND(FinPos!B40,"AAAAAH7v2Bo=")</f>
        <v>#VALUE!:noResult:No valid cells found for operation.</v>
      </c>
      <c r="AB81" s="15" t="b">
        <f>AND(FinPos!C40,"AAAAAH7v2Bs=")</f>
        <v>1</v>
      </c>
      <c r="AC81" s="15" t="str">
        <f>AND(FinPos!D40,"AAAAAH7v2Bw=")</f>
        <v>#VALUE!:noResult:No valid cells found for operation.</v>
      </c>
      <c r="AD81" s="15" t="str">
        <f>AND(FinPos!F40,"AAAAAH7v2B0=")</f>
        <v>#VALUE!:noResult:No valid cells found for operation.</v>
      </c>
      <c r="AE81" s="15" t="str">
        <f>#REF!</f>
        <v>#VALUE!:noResult:No valid cells found for operation.</v>
      </c>
      <c r="AF81" s="15" t="str">
        <f>AND(FinPos!G40,"AAAAAH7v2B8=")</f>
        <v>#VALUE!:noResult:No valid cells found for operation.</v>
      </c>
      <c r="AG81" s="15" t="str">
        <f>AND(FinPos!H40,"AAAAAH7v2CA=")</f>
        <v>#VALUE!:noResult:No valid cells found for operation.</v>
      </c>
      <c r="AH81" s="15" t="str">
        <f>AND(FinPos!I40,"AAAAAH7v2CE=")</f>
        <v>#VALUE!:noResult:No valid cells found for operation.</v>
      </c>
      <c r="AI81" s="15" t="str">
        <f>AND(FinPos!J40,"AAAAAH7v2CI=")</f>
        <v>#VALUE!:noResult:No valid cells found for operation.</v>
      </c>
      <c r="AJ81" s="15" t="str">
        <f>AND(FinPos!K40,"AAAAAH7v2CM=")</f>
        <v>#VALUE!:noResult:No valid cells found for operation.</v>
      </c>
      <c r="AK81" s="15" t="str">
        <f>AND(FinPos!L40,"AAAAAH7v2CQ=")</f>
        <v>#VALUE!:noResult:No valid cells found for operation.</v>
      </c>
      <c r="AL81" s="15" t="str">
        <f>AND(FinPos!M40,"AAAAAH7v2CU=")</f>
        <v>#VALUE!:noResult:No valid cells found for operation.</v>
      </c>
      <c r="AM81" s="15" t="str">
        <f>AND(FinPos!N40,"AAAAAH7v2CY=")</f>
        <v>#VALUE!:noResult:No valid cells found for operation.</v>
      </c>
      <c r="AN81" s="15" t="str">
        <f>AND(FinPos!O40,"AAAAAH7v2Cc=")</f>
        <v>#VALUE!:noResult:No valid cells found for operation.</v>
      </c>
      <c r="AO81" s="15" t="str">
        <f>AND(FinPos!P40,"AAAAAH7v2Cg=")</f>
        <v>#VALUE!:noResult:No valid cells found for operation.</v>
      </c>
      <c r="AP81" s="15" t="str">
        <f>AND(FinPos!Q40,"AAAAAH7v2Ck=")</f>
        <v>#VALUE!:noResult:No valid cells found for operation.</v>
      </c>
      <c r="AQ81" s="15" t="str">
        <f>AND(FinPos!R40,"AAAAAH7v2Co=")</f>
        <v>#VALUE!:noResult:No valid cells found for operation.</v>
      </c>
      <c r="AR81" s="15" t="str">
        <f>AND(FinPos!S40,"AAAAAH7v2Cs=")</f>
        <v>#VALUE!:noResult:No valid cells found for operation.</v>
      </c>
      <c r="AS81" s="15" t="str">
        <f>AND(FinPos!T40,"AAAAAH7v2Cw=")</f>
        <v>#VALUE!:noResult:No valid cells found for operation.</v>
      </c>
      <c r="AT81" s="15" t="str">
        <f>AND(FinPos!U40,"AAAAAH7v2C0=")</f>
        <v>#VALUE!:noResult:No valid cells found for operation.</v>
      </c>
      <c r="AU81" s="15">
        <f>IF(FinPos!R[-40],"AAAAAH7v2C4=",0)</f>
        <v>0</v>
      </c>
      <c r="AV81" s="15" t="str">
        <f>AND(FinPos!A41,"AAAAAH7v2C8=")</f>
        <v>#VALUE!:noResult:No valid cells found for operation.</v>
      </c>
      <c r="AW81" s="15" t="str">
        <f>AND(FinPos!B41,"AAAAAH7v2DA=")</f>
        <v>#VALUE!:noResult:No valid cells found for operation.</v>
      </c>
      <c r="AX81" s="15" t="str">
        <f>AND(FinPos!C41,"AAAAAH7v2DE=")</f>
        <v>#VALUE!:noResult:No valid cells found for operation.</v>
      </c>
      <c r="AY81" s="15" t="b">
        <f>AND(FinPos!D41,"AAAAAH7v2DI=")</f>
        <v>1</v>
      </c>
      <c r="AZ81" s="15" t="str">
        <f>AND(FinPos!F41,"AAAAAH7v2DM=")</f>
        <v>#VALUE!:noResult:No valid cells found for operation.</v>
      </c>
      <c r="BA81" s="15" t="str">
        <f>#REF!</f>
        <v>#VALUE!:noResult:No valid cells found for operation.</v>
      </c>
      <c r="BB81" s="15" t="str">
        <f>AND(FinPos!G41,"AAAAAH7v2DU=")</f>
        <v>#VALUE!:noResult:No valid cells found for operation.</v>
      </c>
      <c r="BC81" s="15" t="str">
        <f>AND(FinPos!H41,"AAAAAH7v2DY=")</f>
        <v>#VALUE!:noResult:No valid cells found for operation.</v>
      </c>
      <c r="BD81" s="15" t="str">
        <f>AND(FinPos!I41,"AAAAAH7v2Dc=")</f>
        <v>#VALUE!:noResult:No valid cells found for operation.</v>
      </c>
      <c r="BE81" s="15" t="str">
        <f>AND(FinPos!J41,"AAAAAH7v2Dg=")</f>
        <v>#VALUE!:noResult:No valid cells found for operation.</v>
      </c>
      <c r="BF81" s="15" t="str">
        <f>AND(FinPos!K41,"AAAAAH7v2Dk=")</f>
        <v>#VALUE!:noResult:No valid cells found for operation.</v>
      </c>
      <c r="BG81" s="15" t="str">
        <f>AND(FinPos!L41,"AAAAAH7v2Do=")</f>
        <v>#VALUE!:noResult:No valid cells found for operation.</v>
      </c>
      <c r="BH81" s="15" t="str">
        <f>AND(FinPos!M41,"AAAAAH7v2Ds=")</f>
        <v>#VALUE!:noResult:No valid cells found for operation.</v>
      </c>
      <c r="BI81" s="15" t="str">
        <f>AND(FinPos!N41,"AAAAAH7v2Dw=")</f>
        <v>#VALUE!:noResult:No valid cells found for operation.</v>
      </c>
      <c r="BJ81" s="15" t="str">
        <f>AND(FinPos!O41,"AAAAAH7v2D0=")</f>
        <v>#VALUE!:noResult:No valid cells found for operation.</v>
      </c>
      <c r="BK81" s="15" t="str">
        <f>AND(FinPos!P41,"AAAAAH7v2D4=")</f>
        <v>#VALUE!:noResult:No valid cells found for operation.</v>
      </c>
      <c r="BL81" s="15" t="str">
        <f>AND(FinPos!Q41,"AAAAAH7v2D8=")</f>
        <v>#VALUE!:noResult:No valid cells found for operation.</v>
      </c>
      <c r="BM81" s="15" t="str">
        <f>AND(FinPos!R41,"AAAAAH7v2EA=")</f>
        <v>#VALUE!:noResult:No valid cells found for operation.</v>
      </c>
      <c r="BN81" s="15" t="str">
        <f>AND(FinPos!S41,"AAAAAH7v2EE=")</f>
        <v>#VALUE!:noResult:No valid cells found for operation.</v>
      </c>
      <c r="BO81" s="15" t="str">
        <f>AND(FinPos!T41,"AAAAAH7v2EI=")</f>
        <v>#VALUE!:noResult:No valid cells found for operation.</v>
      </c>
      <c r="BP81" s="15" t="str">
        <f>AND(FinPos!U41,"AAAAAH7v2EM=")</f>
        <v>#VALUE!:noResult:No valid cells found for operation.</v>
      </c>
      <c r="BQ81" s="15">
        <f>IF(FinPos!R[-37],"AAAAAH7v2EQ=",0)</f>
        <v>0</v>
      </c>
      <c r="BR81" s="15">
        <f>IF(FinPos!R[-36],"AAAAAH7v2EU=",0)</f>
        <v>0</v>
      </c>
      <c r="BS81" s="15">
        <f>IF(FinPos!R[-35],"AAAAAH7v2EY=",0)</f>
        <v>0</v>
      </c>
      <c r="BT81" s="15">
        <f>IF(FinPos!R[-34],"AAAAAH7v2Ec=",0)</f>
        <v>0</v>
      </c>
      <c r="BU81" s="15">
        <f>IF(FinPos!R[-33],"AAAAAH7v2Eg=",0)</f>
        <v>0</v>
      </c>
      <c r="BV81" s="15">
        <f>IF(FinPos!R[-32],"AAAAAH7v2Ek=",0)</f>
        <v>0</v>
      </c>
      <c r="BW81" s="15">
        <f>IF(FinPos!R[-31],"AAAAAH7v2Eo=",0)</f>
        <v>0</v>
      </c>
      <c r="BX81" s="15">
        <f>IF(FinPos!R[-30],"AAAAAH7v2Es=",0)</f>
        <v>0</v>
      </c>
      <c r="BY81" s="15">
        <f>IF(FinPos!R[-29],"AAAAAH7v2Ew=",0)</f>
        <v>0</v>
      </c>
      <c r="BZ81" s="15">
        <f>IF(FinPos!R[-28],"AAAAAH7v2E0=",0)</f>
        <v>0</v>
      </c>
      <c r="CA81" s="15">
        <f>IF(FinPos!R[-27],"AAAAAH7v2E4=",0)</f>
        <v>0</v>
      </c>
      <c r="CB81" s="15">
        <f>IF(FinPos!R[-26],"AAAAAH7v2E8=",0)</f>
        <v>0</v>
      </c>
      <c r="CC81" s="15">
        <f>IF(FinPos!R[-25],"AAAAAH7v2FA=",0)</f>
        <v>0</v>
      </c>
      <c r="CD81" s="15">
        <f>IF(FinPos!R[-24],"AAAAAH7v2FE=",0)</f>
        <v>0</v>
      </c>
      <c r="CE81" s="15">
        <f>IF(FinPos!R[-23],"AAAAAH7v2FI=",0)</f>
        <v>0</v>
      </c>
      <c r="CF81" s="15">
        <f>IF(FinPos!R[-22],"AAAAAH7v2FM=",0)</f>
        <v>0</v>
      </c>
      <c r="CG81" s="15">
        <f>IF(FinPos!R[-21],"AAAAAH7v2FQ=",0)</f>
        <v>0</v>
      </c>
      <c r="CH81" s="15">
        <f>IF(FinPos!R[-20],"AAAAAH7v2FU=",0)</f>
        <v>0</v>
      </c>
      <c r="CI81" s="15">
        <f>IF(FinPos!R[-19],"AAAAAH7v2FY=",0)</f>
        <v>0</v>
      </c>
      <c r="CJ81" s="15">
        <f>IF(FinPos!R[-18],"AAAAAH7v2Fc=",0)</f>
        <v>0</v>
      </c>
      <c r="CK81" s="15">
        <f>IF(FinPos!R[-17],"AAAAAH7v2Fg=",0)</f>
        <v>0</v>
      </c>
      <c r="CL81" s="15">
        <f>IF(FinPos!R[-16],"AAAAAH7v2Fk=",0)</f>
        <v>0</v>
      </c>
      <c r="CM81" s="15">
        <f>IF(FinPos!R[-15],"AAAAAH7v2Fo=",0)</f>
        <v>0</v>
      </c>
      <c r="CN81" s="15">
        <f>IF(FinPos!R[-14],"AAAAAH7v2Fs=",0)</f>
        <v>0</v>
      </c>
      <c r="CO81" s="15">
        <f>IF(FinPos!R[-13],"AAAAAH7v2Fw=",0)</f>
        <v>0</v>
      </c>
      <c r="CP81" s="15">
        <f>IF(FinPos!R[-12],"AAAAAH7v2F0=",0)</f>
        <v>0</v>
      </c>
      <c r="CQ81" s="15">
        <f>IF(FinPos!R[-11],"AAAAAH7v2F4=",0)</f>
        <v>0</v>
      </c>
      <c r="CR81" s="15">
        <f>IF(FinPos!R[-10],"AAAAAH7v2F8=",0)</f>
        <v>0</v>
      </c>
      <c r="CS81" s="15">
        <f>IF(FinPos!R[-9],"AAAAAH7v2GA=",0)</f>
        <v>0</v>
      </c>
      <c r="CT81" s="15">
        <f>IF(FinPos!R[-8],"AAAAAH7v2GE=",0)</f>
        <v>0</v>
      </c>
      <c r="CU81" s="15">
        <f>IF(FinPos!R[-7],"AAAAAH7v2GI=",0)</f>
        <v>0</v>
      </c>
      <c r="CV81" s="15">
        <f>IF(FinPos!R[-6],"AAAAAH7v2GM=",0)</f>
        <v>0</v>
      </c>
      <c r="CW81" s="15">
        <f>IF(FinPos!R[-5],"AAAAAH7v2GQ=",0)</f>
        <v>0</v>
      </c>
      <c r="CX81" s="15">
        <f>IF(FinPos!R[-4],"AAAAAH7v2GU=",0)</f>
        <v>0</v>
      </c>
      <c r="CY81" s="15">
        <f>IF(FinPos!R[-3],"AAAAAH7v2GY=",0)</f>
        <v>0</v>
      </c>
      <c r="CZ81" s="15">
        <f>IF(FinPos!R[-2],"AAAAAH7v2Gc=",0)</f>
        <v>0</v>
      </c>
      <c r="DA81" s="15">
        <f>IF(FinPos!R[-1],"AAAAAH7v2Gg=",0)</f>
        <v>0</v>
      </c>
      <c r="DB81" s="15">
        <f>IF(FinPos!R,"AAAAAH7v2Gk=",0)</f>
        <v>0</v>
      </c>
      <c r="DC81" s="15">
        <f>IF(FinPos!R[1],"AAAAAH7v2Go=",0)</f>
        <v>0</v>
      </c>
      <c r="DD81" s="15">
        <f>IF(FinPos!R[2],"AAAAAH7v2Gs=",0)</f>
        <v>0</v>
      </c>
      <c r="DE81" s="15">
        <f>IF(FinPos!R[3],"AAAAAH7v2Gw=",0)</f>
        <v>0</v>
      </c>
      <c r="DF81" s="15">
        <f>IF(FinPos!R[4],"AAAAAH7v2G0=",0)</f>
        <v>0</v>
      </c>
      <c r="DG81" s="15">
        <f>IF(FinPos!R[5],"AAAAAH7v2G4=",0)</f>
        <v>0</v>
      </c>
      <c r="DH81" s="15">
        <f>IF(FinPos!R[6],"AAAAAH7v2G8=",0)</f>
        <v>0</v>
      </c>
      <c r="DI81" s="15">
        <f>IF(FinPos!R[7],"AAAAAH7v2HA=",0)</f>
        <v>0</v>
      </c>
      <c r="DJ81" s="15">
        <f>IF(FinPos!R[8],"AAAAAH7v2HE=",0)</f>
        <v>0</v>
      </c>
      <c r="DK81" s="15">
        <f>IF(FinPos!R[9],"AAAAAH7v2HI=",0)</f>
        <v>0</v>
      </c>
      <c r="DL81" s="15">
        <f>IF(FinPos!R[10],"AAAAAH7v2HM=",0)</f>
        <v>0</v>
      </c>
      <c r="DM81" s="15">
        <f>IF(FinPos!R[11],"AAAAAH7v2HQ=",0)</f>
        <v>0</v>
      </c>
      <c r="DN81" s="15">
        <f>IF(FinPos!R[12],"AAAAAH7v2HU=",0)</f>
        <v>0</v>
      </c>
      <c r="DO81" s="15">
        <f>IF(FinPos!R[13],"AAAAAH7v2HY=",0)</f>
        <v>0</v>
      </c>
      <c r="DP81" s="15">
        <f>IF(FinPos!R[14],"AAAAAH7v2Hc=",0)</f>
        <v>0</v>
      </c>
      <c r="DQ81" s="15">
        <f>IF(FinPos!R[15],"AAAAAH7v2Hg=",0)</f>
        <v>0</v>
      </c>
      <c r="DR81" s="15">
        <f>IF(FinPos!R[16],"AAAAAH7v2Hk=",0)</f>
        <v>0</v>
      </c>
      <c r="DS81" s="15">
        <f>IF(FinPos!R[17],"AAAAAH7v2Ho=",0)</f>
        <v>0</v>
      </c>
      <c r="DT81" s="15">
        <f>IF(FinPos!R[18],"AAAAAH7v2Hs=",0)</f>
        <v>0</v>
      </c>
      <c r="DU81" s="15">
        <f>IF(FinPos!R[19],"AAAAAH7v2Hw=",0)</f>
        <v>0</v>
      </c>
      <c r="DV81" s="15">
        <f>IF(FinPos!R[20],"AAAAAH7v2H0=",0)</f>
        <v>0</v>
      </c>
      <c r="DW81" s="15">
        <f>IF(FinPos!R[21],"AAAAAH7v2H4=",0)</f>
        <v>0</v>
      </c>
      <c r="DX81" s="15">
        <f>IF(FinPos!R[22],"AAAAAH7v2H8=",0)</f>
        <v>0</v>
      </c>
      <c r="DY81" s="15">
        <f>IF(FinPos!R[23],"AAAAAH7v2IA=",0)</f>
        <v>0</v>
      </c>
      <c r="DZ81" s="15">
        <f>IF(FinPos!R[24],"AAAAAH7v2IE=",0)</f>
        <v>0</v>
      </c>
      <c r="EA81" s="15">
        <f>IF(FinPos!R[25],"AAAAAH7v2II=",0)</f>
        <v>0</v>
      </c>
      <c r="EB81" s="15">
        <f>IF(FinPos!R[26],"AAAAAH7v2IM=",0)</f>
        <v>0</v>
      </c>
      <c r="EC81" s="15">
        <f>IF(FinPos!R[27],"AAAAAH7v2IQ=",0)</f>
        <v>0</v>
      </c>
      <c r="ED81" s="15">
        <f>IF(FinPos!R[28],"AAAAAH7v2IU=",0)</f>
        <v>0</v>
      </c>
      <c r="EE81" s="15">
        <f>IF(FinPos!R[29],"AAAAAH7v2IY=",0)</f>
        <v>0</v>
      </c>
      <c r="EF81" s="15">
        <f>IF(FinPos!R[30],"AAAAAH7v2Ic=",0)</f>
        <v>0</v>
      </c>
      <c r="EG81" s="15">
        <f>IF(FinPos!R[31],"AAAAAH7v2Ig=",0)</f>
        <v>0</v>
      </c>
      <c r="EH81" s="15">
        <f>IF(FinPos!R[32],"AAAAAH7v2Ik=",0)</f>
        <v>0</v>
      </c>
      <c r="EI81" s="15">
        <f>IF(FinPos!R[33],"AAAAAH7v2Io=",0)</f>
        <v>0</v>
      </c>
      <c r="EJ81" s="15">
        <f>IF(FinPos!R[34],"AAAAAH7v2Is=",0)</f>
        <v>0</v>
      </c>
      <c r="EK81" s="15">
        <f>IF(FinPos!R[35],"AAAAAH7v2Iw=",0)</f>
        <v>0</v>
      </c>
      <c r="EL81" s="15">
        <f>IF(FinPos!R[36],"AAAAAH7v2I0=",0)</f>
        <v>0</v>
      </c>
      <c r="EM81" s="15">
        <f>IF(FinPos!R[37],"AAAAAH7v2I4=",0)</f>
        <v>0</v>
      </c>
      <c r="EN81" s="15">
        <f>IF(FinPos!R[38],"AAAAAH7v2I8=",0)</f>
        <v>0</v>
      </c>
      <c r="EO81" s="15">
        <f>IF(FinPos!R[39],"AAAAAH7v2JA=",0)</f>
        <v>0</v>
      </c>
      <c r="EP81" s="15">
        <f>IF(FinPos!R[40],"AAAAAH7v2JE=",0)</f>
        <v>0</v>
      </c>
      <c r="EQ81" s="15">
        <f>IF(FinPos!R[41],"AAAAAH7v2JI=",0)</f>
        <v>0</v>
      </c>
      <c r="ER81" s="15">
        <f>IF(FinPos!R[42],"AAAAAH7v2JM=",0)</f>
        <v>0</v>
      </c>
      <c r="ES81" s="15">
        <f>IF(FinPos!C[-148],"AAAAAH7v2JQ=",0)</f>
        <v>0</v>
      </c>
      <c r="ET81" s="15">
        <f>IF(FinPos!C[-148],"AAAAAH7v2JU=",0)</f>
        <v>0</v>
      </c>
      <c r="EU81" s="15">
        <f>IF(FinPos!C[-148],"AAAAAH7v2JY=",0)</f>
        <v>0</v>
      </c>
      <c r="EV81" s="15">
        <f>IF(FinPos!C[-148],"AAAAAH7v2Jc=",0)</f>
        <v>0</v>
      </c>
      <c r="EW81" s="15">
        <f>IF(FinPos!C[-147],"AAAAAH7v2Jg=",0)</f>
        <v>0</v>
      </c>
      <c r="EX81" s="15" t="str">
        <f>#REF!</f>
        <v>#REF!:refOutOfRange</v>
      </c>
      <c r="EY81" s="15">
        <f>IF(FinPos!C[-148],"AAAAAH7v2Jo=",0)</f>
        <v>0</v>
      </c>
      <c r="EZ81" s="15">
        <f>IF(FinPos!C[-148],"AAAAAH7v2Js=",0)</f>
        <v>0</v>
      </c>
      <c r="FA81" s="15">
        <f>IF(FinPos!C[-148],"AAAAAH7v2Jw=",0)</f>
        <v>0</v>
      </c>
      <c r="FB81" s="15">
        <f>IF(FinPos!C[-148],"AAAAAH7v2J0=",0)</f>
        <v>0</v>
      </c>
      <c r="FC81" s="15">
        <f>IF(FinPos!C[-148],"AAAAAH7v2J4=",0)</f>
        <v>0</v>
      </c>
      <c r="FD81" s="15">
        <f>IF(FinPos!C[-148],"AAAAAH7v2J8=",0)</f>
        <v>0</v>
      </c>
      <c r="FE81" s="15">
        <f>IF(FinPos!C[-148],"AAAAAH7v2KA=",0)</f>
        <v>0</v>
      </c>
      <c r="FF81" s="15">
        <f>IF(FinPos!C[-148],"AAAAAH7v2KE=",0)</f>
        <v>0</v>
      </c>
      <c r="FG81" s="15">
        <f>IF(FinPos!C[-148],"AAAAAH7v2KI=",0)</f>
        <v>0</v>
      </c>
      <c r="FH81" s="15">
        <f>IF(FinPos!C[-148],"AAAAAH7v2KM=",0)</f>
        <v>0</v>
      </c>
      <c r="FI81" s="15">
        <f>IF(FinPos!C[-148],"AAAAAH7v2KQ=",0)</f>
        <v>0</v>
      </c>
      <c r="FJ81" s="15">
        <f>IF(FinPos!C[-148],"AAAAAH7v2KU=",0)</f>
        <v>0</v>
      </c>
      <c r="FK81" s="15">
        <f>IF(FinPos!C[-148],"AAAAAH7v2KY=",0)</f>
        <v>0</v>
      </c>
      <c r="FL81" s="15">
        <f>IF(FinPos!C[-148],"AAAAAH7v2Kc=",0)</f>
        <v>0</v>
      </c>
      <c r="FM81" s="15">
        <f>IF(FinPos!C[-148],"AAAAAH7v2Kg=",0)</f>
        <v>0</v>
      </c>
      <c r="FN81" s="19" t="s">
        <v>1459</v>
      </c>
      <c r="FO81" s="15" t="s">
        <v>1460</v>
      </c>
      <c r="FP81" s="15" t="str">
        <f>IF("N",finyear,"AAAAAH7v2Ks=")</f>
        <v>#VALUE!:notNumber</v>
      </c>
      <c r="FQ81" s="15" t="str">
        <f>IF("N",finyearenddate,"AAAAAH7v2Kw=")</f>
        <v>#VALUE!:notNumber</v>
      </c>
      <c r="FR81" s="15" t="str">
        <f>IF("N",finyearstartdate,"AAAAAH7v2K0=")</f>
        <v>#VALUE!:notNumber</v>
      </c>
      <c r="FS81" s="15" t="str">
        <f>IF("N",rptdate,"AAAAAH7v2K4=")</f>
        <v>#VALUE!:notNumber</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4.43"/>
    <col customWidth="1" min="2" max="2" width="38.71"/>
    <col customWidth="1" min="3" max="3" width="8.0"/>
    <col customWidth="1" min="4" max="4" width="11.71"/>
    <col customWidth="1" min="5" max="5" width="12.29"/>
    <col customWidth="1" min="6" max="6" width="8.57"/>
    <col customWidth="1" min="7" max="7" width="11.57"/>
    <col customWidth="1" min="8" max="8" width="10.29"/>
  </cols>
  <sheetData>
    <row r="1" ht="25.5" customHeight="1">
      <c r="A1" s="5" t="s">
        <v>8</v>
      </c>
      <c r="B1" s="5" t="s">
        <v>9</v>
      </c>
      <c r="C1" s="5" t="s">
        <v>10</v>
      </c>
      <c r="D1" s="5" t="s">
        <v>11</v>
      </c>
      <c r="E1" s="5" t="s">
        <v>12</v>
      </c>
      <c r="F1" s="5" t="s">
        <v>13</v>
      </c>
      <c r="G1" s="5" t="s">
        <v>14</v>
      </c>
      <c r="H1" s="5" t="s">
        <v>15</v>
      </c>
    </row>
    <row r="2">
      <c r="A2" s="20">
        <v>101</v>
      </c>
      <c r="B2" s="20" t="s">
        <v>16</v>
      </c>
      <c r="C2" s="20" t="s">
        <v>17</v>
      </c>
      <c r="D2">
        <v>0</v>
      </c>
      <c r="E2">
        <v>0</v>
      </c>
      <c r="F2">
        <v>0</v>
      </c>
      <c r="G2">
        <v>0</v>
      </c>
      <c r="H2">
        <v>2</v>
      </c>
    </row>
    <row r="3">
      <c r="A3" s="20">
        <v>102</v>
      </c>
      <c r="B3" s="20" t="s">
        <v>18</v>
      </c>
      <c r="C3" s="20" t="s">
        <v>17</v>
      </c>
      <c r="D3">
        <v>758.06</v>
      </c>
      <c r="E3">
        <v>2744.58</v>
      </c>
      <c r="F3">
        <v>3502.64</v>
      </c>
      <c r="G3">
        <v>350</v>
      </c>
      <c r="H3">
        <v>1</v>
      </c>
    </row>
    <row r="4">
      <c r="A4" s="20">
        <v>103</v>
      </c>
      <c r="B4" s="20" t="s">
        <v>19</v>
      </c>
      <c r="C4" s="20" t="s">
        <v>17</v>
      </c>
      <c r="D4">
        <v>0</v>
      </c>
      <c r="E4">
        <v>-0.000000000000909</v>
      </c>
      <c r="F4">
        <v>-0.000000000000909</v>
      </c>
      <c r="G4">
        <v>0</v>
      </c>
      <c r="H4">
        <v>51</v>
      </c>
    </row>
    <row r="5">
      <c r="A5" s="20">
        <v>151</v>
      </c>
      <c r="B5" s="20" t="s">
        <v>20</v>
      </c>
      <c r="C5" s="20" t="s">
        <v>17</v>
      </c>
      <c r="D5">
        <v>0</v>
      </c>
      <c r="E5">
        <v>0</v>
      </c>
      <c r="F5">
        <v>0</v>
      </c>
      <c r="G5">
        <v>0</v>
      </c>
      <c r="H5">
        <v>0</v>
      </c>
    </row>
    <row r="6">
      <c r="A6" s="20">
        <v>152</v>
      </c>
      <c r="B6" s="20" t="s">
        <v>21</v>
      </c>
      <c r="C6" s="20" t="s">
        <v>17</v>
      </c>
      <c r="D6">
        <v>-800</v>
      </c>
      <c r="E6">
        <v>800</v>
      </c>
      <c r="F6">
        <v>0</v>
      </c>
      <c r="G6">
        <v>1</v>
      </c>
      <c r="H6">
        <v>1</v>
      </c>
    </row>
    <row r="7">
      <c r="A7" s="20">
        <v>153</v>
      </c>
      <c r="B7" s="20" t="s">
        <v>22</v>
      </c>
      <c r="C7" s="20" t="s">
        <v>17</v>
      </c>
      <c r="D7">
        <v>0</v>
      </c>
      <c r="E7">
        <v>0</v>
      </c>
      <c r="F7">
        <v>0</v>
      </c>
      <c r="G7">
        <v>0</v>
      </c>
      <c r="H7">
        <v>6</v>
      </c>
    </row>
    <row r="8">
      <c r="A8" s="20">
        <v>181</v>
      </c>
      <c r="B8" s="20" t="s">
        <v>23</v>
      </c>
      <c r="C8" s="20" t="s">
        <v>17</v>
      </c>
      <c r="D8">
        <v>0</v>
      </c>
      <c r="E8">
        <v>150</v>
      </c>
      <c r="F8">
        <v>150</v>
      </c>
      <c r="G8">
        <v>0</v>
      </c>
      <c r="H8">
        <v>2</v>
      </c>
    </row>
    <row r="9">
      <c r="A9" s="20">
        <v>199</v>
      </c>
      <c r="B9" s="20" t="s">
        <v>24</v>
      </c>
      <c r="C9" s="20" t="s">
        <v>17</v>
      </c>
      <c r="D9">
        <v>0</v>
      </c>
      <c r="E9">
        <v>0</v>
      </c>
      <c r="F9">
        <v>0</v>
      </c>
      <c r="G9">
        <v>0</v>
      </c>
      <c r="H9">
        <v>0</v>
      </c>
    </row>
    <row r="10">
      <c r="A10" s="20">
        <v>201</v>
      </c>
      <c r="B10" s="20" t="s">
        <v>25</v>
      </c>
      <c r="C10" s="20" t="s">
        <v>17</v>
      </c>
      <c r="D10">
        <v>0</v>
      </c>
      <c r="E10">
        <v>50</v>
      </c>
      <c r="F10">
        <v>50</v>
      </c>
      <c r="G10">
        <v>0</v>
      </c>
      <c r="H10">
        <v>1</v>
      </c>
    </row>
    <row r="11">
      <c r="A11" s="20">
        <v>202</v>
      </c>
      <c r="B11" s="20" t="s">
        <v>26</v>
      </c>
      <c r="C11" s="20" t="s">
        <v>17</v>
      </c>
      <c r="D11">
        <v>0</v>
      </c>
      <c r="E11">
        <v>100</v>
      </c>
      <c r="F11">
        <v>100</v>
      </c>
      <c r="G11">
        <v>0</v>
      </c>
      <c r="H11">
        <v>1</v>
      </c>
    </row>
    <row r="12">
      <c r="A12" s="20">
        <v>203</v>
      </c>
      <c r="B12" s="20" t="s">
        <v>27</v>
      </c>
      <c r="C12" s="20" t="s">
        <v>17</v>
      </c>
      <c r="D12">
        <v>3500</v>
      </c>
      <c r="E12">
        <v>6500</v>
      </c>
      <c r="F12">
        <v>10000</v>
      </c>
      <c r="G12">
        <v>6</v>
      </c>
      <c r="H12">
        <v>7</v>
      </c>
    </row>
    <row r="13">
      <c r="A13" s="20">
        <v>204</v>
      </c>
      <c r="B13" s="20" t="s">
        <v>28</v>
      </c>
      <c r="C13" s="20" t="s">
        <v>17</v>
      </c>
      <c r="D13">
        <v>899.8</v>
      </c>
      <c r="E13">
        <v>0</v>
      </c>
      <c r="F13">
        <v>899.8</v>
      </c>
      <c r="G13">
        <v>1</v>
      </c>
      <c r="H13">
        <v>1</v>
      </c>
    </row>
    <row r="14">
      <c r="A14" s="20">
        <v>251</v>
      </c>
      <c r="B14" s="20" t="s">
        <v>29</v>
      </c>
      <c r="C14" s="20" t="s">
        <v>17</v>
      </c>
      <c r="D14">
        <v>-31.55</v>
      </c>
      <c r="E14">
        <v>0</v>
      </c>
      <c r="F14">
        <v>-31.55</v>
      </c>
      <c r="G14">
        <v>1</v>
      </c>
      <c r="H14">
        <v>1</v>
      </c>
    </row>
    <row r="15">
      <c r="A15" s="20">
        <v>301</v>
      </c>
      <c r="B15" s="20" t="s">
        <v>30</v>
      </c>
      <c r="C15" s="20" t="s">
        <v>31</v>
      </c>
      <c r="D15">
        <v>0</v>
      </c>
      <c r="E15">
        <v>25</v>
      </c>
      <c r="F15">
        <v>25</v>
      </c>
      <c r="G15">
        <v>0</v>
      </c>
      <c r="H15">
        <v>1</v>
      </c>
    </row>
    <row r="16">
      <c r="A16" s="20">
        <v>302</v>
      </c>
      <c r="B16" s="20" t="s">
        <v>32</v>
      </c>
      <c r="C16" s="20" t="s">
        <v>31</v>
      </c>
      <c r="D16">
        <v>0</v>
      </c>
      <c r="E16">
        <v>0</v>
      </c>
      <c r="F16">
        <v>0</v>
      </c>
      <c r="G16">
        <v>0</v>
      </c>
      <c r="H16">
        <v>0</v>
      </c>
    </row>
    <row r="17">
      <c r="A17" s="20">
        <v>303</v>
      </c>
      <c r="B17" s="20" t="s">
        <v>33</v>
      </c>
      <c r="C17" s="20" t="s">
        <v>31</v>
      </c>
      <c r="D17">
        <v>0</v>
      </c>
      <c r="E17">
        <v>0</v>
      </c>
      <c r="F17">
        <v>0</v>
      </c>
      <c r="G17">
        <v>0</v>
      </c>
      <c r="H17">
        <v>0</v>
      </c>
    </row>
    <row r="18">
      <c r="A18" s="20">
        <v>304</v>
      </c>
      <c r="B18" s="20" t="s">
        <v>34</v>
      </c>
      <c r="C18" s="20" t="s">
        <v>31</v>
      </c>
      <c r="D18">
        <v>0</v>
      </c>
      <c r="E18">
        <v>0</v>
      </c>
      <c r="F18">
        <v>0</v>
      </c>
      <c r="G18">
        <v>0</v>
      </c>
      <c r="H18">
        <v>0</v>
      </c>
    </row>
    <row r="19">
      <c r="A19" s="20">
        <v>305</v>
      </c>
      <c r="B19" s="20" t="s">
        <v>35</v>
      </c>
      <c r="C19" s="20" t="s">
        <v>31</v>
      </c>
      <c r="D19">
        <v>0</v>
      </c>
      <c r="E19">
        <v>0</v>
      </c>
      <c r="F19">
        <v>0</v>
      </c>
      <c r="G19">
        <v>0</v>
      </c>
      <c r="H19">
        <v>1</v>
      </c>
    </row>
    <row r="20">
      <c r="A20" s="20">
        <v>306</v>
      </c>
      <c r="B20" s="20" t="s">
        <v>36</v>
      </c>
      <c r="C20" s="20" t="s">
        <v>31</v>
      </c>
      <c r="D20">
        <v>0</v>
      </c>
      <c r="E20">
        <v>0</v>
      </c>
      <c r="F20">
        <v>0</v>
      </c>
      <c r="G20">
        <v>0</v>
      </c>
      <c r="H20">
        <v>0</v>
      </c>
    </row>
    <row r="21">
      <c r="A21" s="20">
        <v>401</v>
      </c>
      <c r="B21" s="20" t="s">
        <v>37</v>
      </c>
      <c r="C21" s="20" t="s">
        <v>31</v>
      </c>
      <c r="D21">
        <v>0</v>
      </c>
      <c r="E21">
        <v>0</v>
      </c>
      <c r="F21">
        <v>0</v>
      </c>
      <c r="G21">
        <v>0</v>
      </c>
      <c r="H21">
        <v>0</v>
      </c>
    </row>
    <row r="22">
      <c r="A22" s="20">
        <v>501</v>
      </c>
      <c r="B22" s="20" t="s">
        <v>38</v>
      </c>
      <c r="C22" s="20" t="s">
        <v>39</v>
      </c>
      <c r="D22">
        <v>2800</v>
      </c>
      <c r="E22">
        <v>5006</v>
      </c>
      <c r="F22">
        <v>7806</v>
      </c>
      <c r="G22">
        <v>2</v>
      </c>
      <c r="H22">
        <v>9</v>
      </c>
    </row>
    <row r="23">
      <c r="A23" s="20">
        <v>502</v>
      </c>
      <c r="B23" s="20" t="s">
        <v>40</v>
      </c>
      <c r="C23" s="20" t="s">
        <v>39</v>
      </c>
      <c r="D23">
        <v>104.89</v>
      </c>
      <c r="E23">
        <v>522.88</v>
      </c>
      <c r="F23">
        <v>627.77</v>
      </c>
      <c r="G23">
        <v>6</v>
      </c>
      <c r="H23">
        <v>124</v>
      </c>
    </row>
    <row r="24">
      <c r="A24" s="20">
        <v>503</v>
      </c>
      <c r="B24" s="20" t="s">
        <v>41</v>
      </c>
      <c r="C24" s="20" t="s">
        <v>39</v>
      </c>
      <c r="D24">
        <v>600</v>
      </c>
      <c r="E24">
        <v>2981.65</v>
      </c>
      <c r="F24">
        <v>3581.65</v>
      </c>
      <c r="G24">
        <v>30</v>
      </c>
      <c r="H24">
        <v>159</v>
      </c>
    </row>
    <row r="25">
      <c r="A25" s="20">
        <v>504</v>
      </c>
      <c r="B25" s="20" t="s">
        <v>42</v>
      </c>
      <c r="C25" s="20" t="s">
        <v>39</v>
      </c>
      <c r="D25">
        <v>0</v>
      </c>
      <c r="E25">
        <v>15</v>
      </c>
      <c r="F25">
        <v>15</v>
      </c>
      <c r="G25">
        <v>0</v>
      </c>
      <c r="H25">
        <v>1</v>
      </c>
    </row>
    <row r="26">
      <c r="A26" s="20">
        <v>505</v>
      </c>
      <c r="B26" s="20" t="s">
        <v>43</v>
      </c>
      <c r="C26" s="20" t="s">
        <v>39</v>
      </c>
      <c r="D26">
        <v>3600</v>
      </c>
      <c r="E26">
        <v>27552.55</v>
      </c>
      <c r="F26">
        <v>31152.55</v>
      </c>
      <c r="G26">
        <v>3</v>
      </c>
      <c r="H26">
        <v>27</v>
      </c>
    </row>
    <row r="27">
      <c r="A27" s="20">
        <v>506</v>
      </c>
      <c r="B27" s="20" t="s">
        <v>44</v>
      </c>
      <c r="C27" s="20" t="s">
        <v>39</v>
      </c>
      <c r="D27">
        <v>0</v>
      </c>
      <c r="E27">
        <v>25</v>
      </c>
      <c r="F27">
        <v>25</v>
      </c>
      <c r="G27">
        <v>0</v>
      </c>
      <c r="H27">
        <v>2</v>
      </c>
    </row>
    <row r="28">
      <c r="A28" s="20">
        <v>507</v>
      </c>
      <c r="B28" s="20" t="s">
        <v>45</v>
      </c>
      <c r="C28" s="20" t="s">
        <v>39</v>
      </c>
      <c r="D28">
        <v>2150.68</v>
      </c>
      <c r="E28">
        <v>0</v>
      </c>
      <c r="F28">
        <v>2150.68</v>
      </c>
      <c r="G28">
        <v>6</v>
      </c>
      <c r="H28">
        <v>6</v>
      </c>
    </row>
    <row r="29">
      <c r="A29" s="20">
        <v>541</v>
      </c>
      <c r="B29" s="20" t="s">
        <v>46</v>
      </c>
      <c r="C29" s="20" t="s">
        <v>39</v>
      </c>
      <c r="D29">
        <v>230</v>
      </c>
      <c r="E29">
        <v>0</v>
      </c>
      <c r="F29">
        <v>230</v>
      </c>
      <c r="G29">
        <v>3</v>
      </c>
      <c r="H29">
        <v>2</v>
      </c>
    </row>
    <row r="30">
      <c r="A30" s="20">
        <v>551</v>
      </c>
      <c r="B30" s="20" t="s">
        <v>47</v>
      </c>
      <c r="C30" s="20" t="s">
        <v>39</v>
      </c>
      <c r="D30">
        <v>1292</v>
      </c>
      <c r="E30">
        <v>2579</v>
      </c>
      <c r="F30">
        <v>3871</v>
      </c>
      <c r="G30">
        <v>6</v>
      </c>
      <c r="H30">
        <v>16</v>
      </c>
    </row>
    <row r="31">
      <c r="A31" s="20">
        <v>561</v>
      </c>
      <c r="B31" s="20" t="s">
        <v>48</v>
      </c>
      <c r="C31" s="20" t="s">
        <v>39</v>
      </c>
      <c r="D31">
        <v>19236.49</v>
      </c>
      <c r="E31">
        <v>118526.35</v>
      </c>
      <c r="F31">
        <v>137762.84</v>
      </c>
      <c r="G31">
        <v>138</v>
      </c>
      <c r="H31">
        <v>517</v>
      </c>
    </row>
    <row r="32">
      <c r="A32" s="20">
        <v>562</v>
      </c>
      <c r="B32" s="20" t="s">
        <v>49</v>
      </c>
      <c r="C32" s="20" t="s">
        <v>39</v>
      </c>
      <c r="D32">
        <v>0</v>
      </c>
      <c r="E32">
        <v>1860</v>
      </c>
      <c r="F32">
        <v>1860</v>
      </c>
      <c r="G32">
        <v>0</v>
      </c>
      <c r="H32">
        <v>0</v>
      </c>
    </row>
    <row r="33">
      <c r="A33" s="20">
        <v>581</v>
      </c>
      <c r="B33" s="20" t="s">
        <v>50</v>
      </c>
      <c r="C33" s="20" t="s">
        <v>39</v>
      </c>
      <c r="D33">
        <v>230</v>
      </c>
      <c r="E33">
        <v>605</v>
      </c>
      <c r="F33">
        <v>835</v>
      </c>
      <c r="G33">
        <v>7</v>
      </c>
      <c r="H33">
        <v>33</v>
      </c>
    </row>
    <row r="34">
      <c r="A34" s="20">
        <v>582</v>
      </c>
      <c r="B34" s="20" t="s">
        <v>51</v>
      </c>
      <c r="C34" s="20" t="s">
        <v>39</v>
      </c>
      <c r="D34">
        <v>0</v>
      </c>
      <c r="E34">
        <v>0</v>
      </c>
      <c r="F34">
        <v>0</v>
      </c>
      <c r="G34">
        <v>0</v>
      </c>
      <c r="H34">
        <v>0</v>
      </c>
    </row>
    <row r="35">
      <c r="A35" s="20">
        <v>583</v>
      </c>
      <c r="B35" s="20" t="s">
        <v>52</v>
      </c>
      <c r="C35" s="20" t="s">
        <v>39</v>
      </c>
      <c r="D35">
        <v>0</v>
      </c>
      <c r="E35">
        <v>50</v>
      </c>
      <c r="F35">
        <v>50</v>
      </c>
      <c r="G35">
        <v>0</v>
      </c>
      <c r="H35">
        <v>1</v>
      </c>
    </row>
    <row r="36">
      <c r="A36" s="20">
        <v>584</v>
      </c>
      <c r="B36" s="20" t="s">
        <v>53</v>
      </c>
      <c r="C36" s="20" t="s">
        <v>39</v>
      </c>
      <c r="D36">
        <v>1240</v>
      </c>
      <c r="E36">
        <v>710.95</v>
      </c>
      <c r="F36">
        <v>1950.95</v>
      </c>
      <c r="G36">
        <v>20</v>
      </c>
      <c r="H36">
        <v>35</v>
      </c>
    </row>
    <row r="37">
      <c r="A37" s="20">
        <v>585</v>
      </c>
      <c r="B37" s="20" t="s">
        <v>54</v>
      </c>
      <c r="C37" s="20" t="s">
        <v>39</v>
      </c>
      <c r="D37">
        <v>1550.35</v>
      </c>
      <c r="E37">
        <v>2631.75</v>
      </c>
      <c r="F37">
        <v>4182.1</v>
      </c>
      <c r="G37">
        <v>8</v>
      </c>
      <c r="H37">
        <v>15</v>
      </c>
    </row>
    <row r="38">
      <c r="A38" s="20">
        <v>586</v>
      </c>
      <c r="B38" s="20" t="s">
        <v>55</v>
      </c>
      <c r="C38" s="20" t="s">
        <v>39</v>
      </c>
      <c r="D38">
        <v>2320</v>
      </c>
      <c r="E38">
        <v>4975.45</v>
      </c>
      <c r="F38">
        <v>7295.45</v>
      </c>
      <c r="G38">
        <v>59</v>
      </c>
      <c r="H38">
        <v>138</v>
      </c>
    </row>
    <row r="39">
      <c r="A39" s="20">
        <v>588</v>
      </c>
      <c r="B39" s="20" t="s">
        <v>56</v>
      </c>
      <c r="C39" s="20" t="s">
        <v>39</v>
      </c>
      <c r="D39">
        <v>0</v>
      </c>
      <c r="E39">
        <v>1604</v>
      </c>
      <c r="F39">
        <v>1604</v>
      </c>
      <c r="G39">
        <v>0</v>
      </c>
      <c r="H39">
        <v>7</v>
      </c>
    </row>
    <row r="40">
      <c r="A40" s="20">
        <v>591</v>
      </c>
      <c r="B40" s="20" t="s">
        <v>57</v>
      </c>
      <c r="C40" s="20" t="s">
        <v>39</v>
      </c>
      <c r="D40">
        <v>100</v>
      </c>
      <c r="E40">
        <v>0</v>
      </c>
      <c r="F40">
        <v>100</v>
      </c>
      <c r="G40">
        <v>1</v>
      </c>
      <c r="H40">
        <v>1</v>
      </c>
    </row>
    <row r="41">
      <c r="A41" s="20">
        <v>598</v>
      </c>
      <c r="B41" s="20" t="s">
        <v>58</v>
      </c>
      <c r="C41" s="20" t="s">
        <v>39</v>
      </c>
      <c r="D41">
        <v>0</v>
      </c>
      <c r="E41">
        <v>150</v>
      </c>
      <c r="F41">
        <v>150</v>
      </c>
      <c r="G41">
        <v>0</v>
      </c>
      <c r="H41">
        <v>0</v>
      </c>
    </row>
    <row r="42">
      <c r="A42" s="20">
        <v>599</v>
      </c>
      <c r="B42" s="20" t="s">
        <v>59</v>
      </c>
      <c r="C42" s="20" t="s">
        <v>39</v>
      </c>
      <c r="D42">
        <v>0</v>
      </c>
      <c r="E42">
        <v>0</v>
      </c>
      <c r="F42">
        <v>0</v>
      </c>
      <c r="G42">
        <v>0</v>
      </c>
      <c r="H42">
        <v>0</v>
      </c>
    </row>
    <row r="43">
      <c r="A43" s="20">
        <v>600</v>
      </c>
      <c r="B43" s="20" t="s">
        <v>60</v>
      </c>
      <c r="C43" s="20" t="s">
        <v>61</v>
      </c>
      <c r="D43">
        <v>0</v>
      </c>
      <c r="E43">
        <v>0</v>
      </c>
      <c r="F43">
        <v>0</v>
      </c>
      <c r="G43">
        <v>0</v>
      </c>
      <c r="H43">
        <v>0</v>
      </c>
    </row>
    <row r="44">
      <c r="A44" s="20">
        <v>601</v>
      </c>
      <c r="B44" s="20" t="s">
        <v>62</v>
      </c>
      <c r="C44" s="20" t="s">
        <v>61</v>
      </c>
      <c r="D44">
        <v>0</v>
      </c>
      <c r="E44">
        <v>0</v>
      </c>
      <c r="F44">
        <v>0</v>
      </c>
      <c r="G44">
        <v>0</v>
      </c>
      <c r="H44">
        <v>0</v>
      </c>
    </row>
    <row r="45">
      <c r="A45" s="20">
        <v>602</v>
      </c>
      <c r="B45" s="20" t="s">
        <v>63</v>
      </c>
      <c r="C45" s="20" t="s">
        <v>61</v>
      </c>
      <c r="D45">
        <v>3.4</v>
      </c>
      <c r="E45">
        <v>253.75</v>
      </c>
      <c r="F45">
        <v>257.15</v>
      </c>
      <c r="G45">
        <v>1</v>
      </c>
      <c r="H45">
        <v>62</v>
      </c>
    </row>
    <row r="46">
      <c r="A46" s="20">
        <v>603</v>
      </c>
      <c r="B46" s="20" t="s">
        <v>64</v>
      </c>
      <c r="C46" s="20" t="s">
        <v>61</v>
      </c>
      <c r="D46">
        <v>0</v>
      </c>
      <c r="E46">
        <v>1810</v>
      </c>
      <c r="F46">
        <v>1810</v>
      </c>
      <c r="G46">
        <v>0</v>
      </c>
      <c r="H46">
        <v>4</v>
      </c>
    </row>
    <row r="47">
      <c r="A47" s="20">
        <v>604</v>
      </c>
      <c r="B47" s="20" t="s">
        <v>65</v>
      </c>
      <c r="C47" s="20" t="s">
        <v>61</v>
      </c>
      <c r="D47">
        <v>0</v>
      </c>
      <c r="E47">
        <v>366.98</v>
      </c>
      <c r="F47">
        <v>366.98</v>
      </c>
      <c r="G47">
        <v>0</v>
      </c>
      <c r="H47">
        <v>7</v>
      </c>
    </row>
    <row r="48">
      <c r="A48" s="20">
        <v>605</v>
      </c>
      <c r="B48" s="20" t="s">
        <v>66</v>
      </c>
      <c r="C48" s="20" t="s">
        <v>61</v>
      </c>
      <c r="D48">
        <v>0</v>
      </c>
      <c r="E48">
        <v>1049.8</v>
      </c>
      <c r="F48">
        <v>1049.8</v>
      </c>
      <c r="G48">
        <v>0</v>
      </c>
      <c r="H48">
        <v>5</v>
      </c>
    </row>
    <row r="49">
      <c r="A49" s="20">
        <v>606</v>
      </c>
      <c r="B49" s="20" t="s">
        <v>67</v>
      </c>
      <c r="C49" s="20" t="s">
        <v>61</v>
      </c>
      <c r="D49">
        <v>0</v>
      </c>
      <c r="E49">
        <v>163.8</v>
      </c>
      <c r="F49">
        <v>163.8</v>
      </c>
      <c r="G49">
        <v>0</v>
      </c>
      <c r="H49">
        <v>6</v>
      </c>
    </row>
    <row r="50">
      <c r="A50" s="20">
        <v>607</v>
      </c>
      <c r="B50" s="20" t="s">
        <v>68</v>
      </c>
      <c r="C50" s="20" t="s">
        <v>61</v>
      </c>
      <c r="D50">
        <v>4353.39</v>
      </c>
      <c r="E50">
        <v>14248.32</v>
      </c>
      <c r="F50">
        <v>18601.71</v>
      </c>
      <c r="G50">
        <v>10</v>
      </c>
      <c r="H50">
        <v>27</v>
      </c>
    </row>
    <row r="51">
      <c r="A51" s="20">
        <v>608</v>
      </c>
      <c r="B51" s="20" t="s">
        <v>69</v>
      </c>
      <c r="C51" s="20" t="s">
        <v>61</v>
      </c>
      <c r="D51">
        <v>26.47</v>
      </c>
      <c r="E51">
        <v>1571.52</v>
      </c>
      <c r="F51">
        <v>1597.99</v>
      </c>
      <c r="G51">
        <v>1</v>
      </c>
      <c r="H51">
        <v>10</v>
      </c>
    </row>
    <row r="52">
      <c r="A52" s="20">
        <v>609</v>
      </c>
      <c r="B52" s="20" t="s">
        <v>70</v>
      </c>
      <c r="C52" s="20" t="s">
        <v>61</v>
      </c>
      <c r="D52">
        <v>62.8</v>
      </c>
      <c r="E52">
        <v>0</v>
      </c>
      <c r="F52">
        <v>62.8</v>
      </c>
      <c r="G52">
        <v>1</v>
      </c>
      <c r="H52">
        <v>1</v>
      </c>
    </row>
    <row r="53">
      <c r="A53" s="20">
        <v>610</v>
      </c>
      <c r="B53" s="20" t="s">
        <v>71</v>
      </c>
      <c r="C53" s="20" t="s">
        <v>61</v>
      </c>
      <c r="D53">
        <v>31.55</v>
      </c>
      <c r="E53">
        <v>0</v>
      </c>
      <c r="F53">
        <v>31.55</v>
      </c>
      <c r="G53">
        <v>1</v>
      </c>
      <c r="H53">
        <v>0</v>
      </c>
    </row>
    <row r="54">
      <c r="A54" s="20">
        <v>641</v>
      </c>
      <c r="B54" s="20" t="s">
        <v>72</v>
      </c>
      <c r="C54" s="20" t="s">
        <v>61</v>
      </c>
      <c r="D54">
        <v>440</v>
      </c>
      <c r="E54">
        <v>0</v>
      </c>
      <c r="F54">
        <v>440</v>
      </c>
      <c r="G54">
        <v>1</v>
      </c>
      <c r="H54">
        <v>1</v>
      </c>
    </row>
    <row r="55">
      <c r="A55" s="20">
        <v>651</v>
      </c>
      <c r="B55" s="20" t="s">
        <v>73</v>
      </c>
      <c r="C55" s="20" t="s">
        <v>61</v>
      </c>
      <c r="D55">
        <v>1317</v>
      </c>
      <c r="E55">
        <v>1668.5</v>
      </c>
      <c r="F55">
        <v>2985.5</v>
      </c>
      <c r="G55">
        <v>10</v>
      </c>
      <c r="H55">
        <v>34</v>
      </c>
    </row>
    <row r="56">
      <c r="A56" s="20">
        <v>661</v>
      </c>
      <c r="B56" s="20" t="s">
        <v>74</v>
      </c>
      <c r="C56" s="20" t="s">
        <v>61</v>
      </c>
      <c r="D56">
        <v>17300</v>
      </c>
      <c r="E56">
        <v>76519.8</v>
      </c>
      <c r="F56">
        <v>93819.8</v>
      </c>
      <c r="G56">
        <v>1</v>
      </c>
      <c r="H56">
        <v>15</v>
      </c>
    </row>
    <row r="57">
      <c r="A57" s="20">
        <v>662</v>
      </c>
      <c r="B57" s="20" t="s">
        <v>75</v>
      </c>
      <c r="C57" s="20" t="s">
        <v>61</v>
      </c>
      <c r="D57">
        <v>800</v>
      </c>
      <c r="E57">
        <v>8241.6</v>
      </c>
      <c r="F57">
        <v>9041.6</v>
      </c>
      <c r="G57">
        <v>1</v>
      </c>
      <c r="H57">
        <v>9</v>
      </c>
    </row>
    <row r="58">
      <c r="A58" s="20">
        <v>663</v>
      </c>
      <c r="B58" s="20" t="s">
        <v>76</v>
      </c>
      <c r="C58" s="20" t="s">
        <v>61</v>
      </c>
      <c r="D58">
        <v>1253.05</v>
      </c>
      <c r="E58">
        <v>1635</v>
      </c>
      <c r="F58">
        <v>2888.05</v>
      </c>
      <c r="G58">
        <v>2</v>
      </c>
      <c r="H58">
        <v>7</v>
      </c>
    </row>
    <row r="59">
      <c r="A59" s="20">
        <v>664</v>
      </c>
      <c r="B59" s="20" t="s">
        <v>77</v>
      </c>
      <c r="C59" s="20" t="s">
        <v>61</v>
      </c>
      <c r="D59">
        <v>0</v>
      </c>
      <c r="E59">
        <v>3565.05</v>
      </c>
      <c r="F59">
        <v>3565.05</v>
      </c>
      <c r="G59">
        <v>0</v>
      </c>
      <c r="H59">
        <v>35</v>
      </c>
    </row>
    <row r="60">
      <c r="A60" s="20">
        <v>665</v>
      </c>
      <c r="B60" s="20" t="s">
        <v>78</v>
      </c>
      <c r="C60" s="20" t="s">
        <v>61</v>
      </c>
      <c r="D60">
        <v>521.85</v>
      </c>
      <c r="E60">
        <v>37325.03</v>
      </c>
      <c r="F60">
        <v>37846.88</v>
      </c>
      <c r="G60">
        <v>5</v>
      </c>
      <c r="H60">
        <v>43</v>
      </c>
    </row>
    <row r="61">
      <c r="A61" s="20">
        <v>681</v>
      </c>
      <c r="B61" s="20" t="s">
        <v>79</v>
      </c>
      <c r="C61" s="20" t="s">
        <v>61</v>
      </c>
      <c r="D61">
        <v>0</v>
      </c>
      <c r="E61">
        <v>550</v>
      </c>
      <c r="F61">
        <v>550</v>
      </c>
      <c r="G61">
        <v>0</v>
      </c>
      <c r="H61">
        <v>2</v>
      </c>
    </row>
    <row r="62">
      <c r="A62" s="20">
        <v>682</v>
      </c>
      <c r="B62" s="20" t="s">
        <v>80</v>
      </c>
      <c r="C62" s="20" t="s">
        <v>61</v>
      </c>
      <c r="D62">
        <v>0</v>
      </c>
      <c r="E62">
        <v>0</v>
      </c>
      <c r="F62">
        <v>0</v>
      </c>
      <c r="G62">
        <v>0</v>
      </c>
      <c r="H62">
        <v>0</v>
      </c>
    </row>
    <row r="63">
      <c r="A63" s="20">
        <v>683</v>
      </c>
      <c r="B63" s="20" t="s">
        <v>81</v>
      </c>
      <c r="C63" s="20" t="s">
        <v>61</v>
      </c>
      <c r="D63">
        <v>0</v>
      </c>
      <c r="E63">
        <v>450</v>
      </c>
      <c r="F63">
        <v>450</v>
      </c>
      <c r="G63">
        <v>0</v>
      </c>
      <c r="H63">
        <v>1</v>
      </c>
    </row>
    <row r="64">
      <c r="A64">
        <v>684</v>
      </c>
      <c r="B64" t="s">
        <v>82</v>
      </c>
      <c r="C64" s="20" t="s">
        <v>61</v>
      </c>
      <c r="D64">
        <v>2100</v>
      </c>
      <c r="E64">
        <v>995</v>
      </c>
      <c r="F64">
        <v>3095</v>
      </c>
      <c r="G64">
        <v>1</v>
      </c>
      <c r="H64">
        <v>5</v>
      </c>
    </row>
    <row r="65">
      <c r="A65" s="20">
        <v>685</v>
      </c>
      <c r="B65" s="20" t="s">
        <v>83</v>
      </c>
      <c r="C65" s="20" t="s">
        <v>61</v>
      </c>
      <c r="D65">
        <v>1065.35</v>
      </c>
      <c r="E65">
        <v>1139.71</v>
      </c>
      <c r="F65">
        <v>2205.06</v>
      </c>
      <c r="G65">
        <v>15</v>
      </c>
      <c r="H65">
        <v>21</v>
      </c>
    </row>
    <row r="66">
      <c r="A66" s="20">
        <v>686</v>
      </c>
      <c r="B66" s="20" t="s">
        <v>84</v>
      </c>
      <c r="C66" s="20" t="s">
        <v>61</v>
      </c>
      <c r="D66">
        <v>1493</v>
      </c>
      <c r="E66">
        <v>4459</v>
      </c>
      <c r="F66">
        <v>5952</v>
      </c>
      <c r="G66">
        <v>4</v>
      </c>
      <c r="H66">
        <v>14</v>
      </c>
    </row>
    <row r="67">
      <c r="A67" s="20">
        <v>688</v>
      </c>
      <c r="B67" s="20" t="s">
        <v>85</v>
      </c>
      <c r="C67" s="20" t="s">
        <v>61</v>
      </c>
      <c r="D67">
        <v>101.5</v>
      </c>
      <c r="E67">
        <v>3473.14</v>
      </c>
      <c r="F67">
        <v>3574.64</v>
      </c>
      <c r="G67">
        <v>1</v>
      </c>
      <c r="H67">
        <v>4</v>
      </c>
    </row>
    <row r="68">
      <c r="A68" s="20">
        <v>689</v>
      </c>
      <c r="B68" s="20" t="s">
        <v>86</v>
      </c>
      <c r="C68" s="20" t="s">
        <v>61</v>
      </c>
      <c r="D68">
        <v>0</v>
      </c>
      <c r="E68">
        <v>0</v>
      </c>
      <c r="F68">
        <v>0</v>
      </c>
      <c r="G68">
        <v>0</v>
      </c>
      <c r="H68">
        <v>0</v>
      </c>
    </row>
    <row r="69">
      <c r="A69" s="20">
        <v>690</v>
      </c>
      <c r="B69" s="20" t="s">
        <v>87</v>
      </c>
      <c r="C69" s="20" t="s">
        <v>61</v>
      </c>
      <c r="D69">
        <v>150.95</v>
      </c>
      <c r="E69">
        <v>0</v>
      </c>
      <c r="F69">
        <v>150.95</v>
      </c>
      <c r="G69">
        <v>1</v>
      </c>
      <c r="H69">
        <v>1</v>
      </c>
    </row>
    <row r="70">
      <c r="A70" s="20">
        <v>691</v>
      </c>
      <c r="B70" s="20" t="s">
        <v>88</v>
      </c>
      <c r="C70" s="20" t="s">
        <v>61</v>
      </c>
      <c r="D70">
        <v>41.5</v>
      </c>
      <c r="E70">
        <v>0</v>
      </c>
      <c r="F70">
        <v>41.5</v>
      </c>
      <c r="G70">
        <v>1</v>
      </c>
      <c r="H70">
        <v>1</v>
      </c>
    </row>
    <row r="71">
      <c r="A71" s="20">
        <v>901</v>
      </c>
      <c r="B71" s="20" t="s">
        <v>89</v>
      </c>
      <c r="C71" s="20" t="s">
        <v>90</v>
      </c>
      <c r="D71">
        <v>0</v>
      </c>
      <c r="E71">
        <v>10</v>
      </c>
      <c r="F71">
        <v>10</v>
      </c>
      <c r="G71">
        <v>0</v>
      </c>
      <c r="H71">
        <v>2</v>
      </c>
    </row>
    <row r="75">
      <c r="B75" s="20" t="s">
        <v>17</v>
      </c>
      <c r="D75" s="20">
        <f>SUMIF($C$2:$C$71,B75,$D$2:$D$71)</f>
        <v>4326.31</v>
      </c>
      <c r="E75">
        <f>SUMIF($C$2:$C$71,B75,$E$2:$E$71)</f>
        <v>10344.58</v>
      </c>
      <c r="F75" s="20">
        <f>SUMIF($C$2:$C$71,B75,$F$2:$F$71)</f>
        <v>14670.89</v>
      </c>
    </row>
    <row r="76">
      <c r="B76" s="20" t="s">
        <v>31</v>
      </c>
      <c r="D76" s="20">
        <f>SUMIF($C$2:$C$71,B76,$D$2:$D$71)</f>
        <v>0</v>
      </c>
      <c r="E76">
        <f>SUMIF($C$2:$C$71,B76,$E$2:$E$71)</f>
        <v>25</v>
      </c>
      <c r="F76" s="20">
        <f>SUMIF($C$2:$C$71,B76,$F$2:$F$71)</f>
        <v>25</v>
      </c>
    </row>
    <row r="77">
      <c r="B77" s="20" t="s">
        <v>39</v>
      </c>
      <c r="D77" s="20">
        <f>SUMIF($C$2:$C$71,B77,$D$2:$D$71)</f>
        <v>35454.41</v>
      </c>
      <c r="E77">
        <f>SUMIF($C$2:$C$71,B77,$E$2:$E$71)</f>
        <v>169795.58</v>
      </c>
      <c r="F77" s="20">
        <f>SUMIF($C$2:$C$71,B77,$F$2:$F$71)</f>
        <v>205249.99</v>
      </c>
    </row>
    <row r="78">
      <c r="B78" s="20" t="s">
        <v>61</v>
      </c>
      <c r="D78" s="20">
        <f>SUMIF($C$2:$C$71,B78,$D$2:$D$71)</f>
        <v>31061.81</v>
      </c>
      <c r="E78">
        <f>SUMIF($C$2:$C$71,B78,$E$2:$E$71)</f>
        <v>159486</v>
      </c>
      <c r="F78" s="20">
        <f>SUMIF($C$2:$C$71,B78,$F$2:$F$71)</f>
        <v>190547.81</v>
      </c>
    </row>
    <row r="79">
      <c r="B79" s="20" t="s">
        <v>90</v>
      </c>
      <c r="D79" s="20">
        <f>SUMIF($C$2:$C$71,B79,$D$2:$D$71)</f>
        <v>0</v>
      </c>
      <c r="E79">
        <f>SUMIF($C$2:$C$71,B79,$E$2:$E$71)</f>
        <v>10</v>
      </c>
      <c r="F79" s="20">
        <f>SUMIF($C$2:$C$71,B79,$F$2:$F$71)</f>
        <v>10</v>
      </c>
    </row>
    <row r="80">
      <c r="B80" s="20" t="s">
        <v>91</v>
      </c>
      <c r="D80" s="20">
        <f>D75-D76</f>
        <v>4326.31</v>
      </c>
      <c r="E80" s="20">
        <f>E75-E76</f>
        <v>10319.58</v>
      </c>
      <c r="F80" s="20">
        <f>F75-F76</f>
        <v>14645.89</v>
      </c>
    </row>
    <row r="81">
      <c r="B81" s="20" t="s">
        <v>92</v>
      </c>
      <c r="D81" s="20">
        <f>D77-D78</f>
        <v>4392.60000000001</v>
      </c>
      <c r="E81" s="20">
        <f>E77-E78</f>
        <v>10309.58</v>
      </c>
      <c r="F81" s="20">
        <f>F77-F78</f>
        <v>14702.18</v>
      </c>
    </row>
    <row r="82">
      <c r="B82" s="20" t="s">
        <v>93</v>
      </c>
      <c r="D82" s="20">
        <f>D75-(D76+D79)</f>
        <v>4326.31</v>
      </c>
      <c r="E82" s="20">
        <f>E75-(E76+E79)</f>
        <v>10309.58</v>
      </c>
      <c r="F82" s="20">
        <f>F75-(F76+F79)</f>
        <v>14635.89</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12.29"/>
    <col customWidth="1" min="2" max="2" width="50.71"/>
    <col customWidth="1" min="3" max="3" width="7.14"/>
    <col customWidth="1" min="4" max="4" width="5.29"/>
    <col customWidth="1" min="5" max="5" width="19.0"/>
    <col customWidth="1" min="6" max="6" width="30.71"/>
    <col customWidth="1" min="7" max="7" width="14.43"/>
    <col customWidth="1" min="8" max="8" width="36.57"/>
  </cols>
  <sheetData>
    <row r="1" ht="25.5" customHeight="1">
      <c r="A1" s="7" t="s">
        <v>94</v>
      </c>
      <c r="B1" s="5" t="s">
        <v>95</v>
      </c>
      <c r="C1" s="5" t="s">
        <v>96</v>
      </c>
      <c r="D1" s="20" t="s">
        <v>97</v>
      </c>
      <c r="E1" s="5" t="s">
        <v>98</v>
      </c>
      <c r="F1" s="5" t="s">
        <v>99</v>
      </c>
      <c r="G1" s="5" t="s">
        <v>100</v>
      </c>
      <c r="H1" s="29" t="s">
        <v>101</v>
      </c>
    </row>
    <row r="2">
      <c r="A2" s="7">
        <v>36497</v>
      </c>
      <c r="B2" s="15" t="s">
        <v>102</v>
      </c>
      <c r="C2" s="20">
        <v>-10</v>
      </c>
      <c r="D2" s="20">
        <v>901</v>
      </c>
      <c r="E2" s="20" t="s">
        <v>18</v>
      </c>
      <c r="F2" s="20" t="s">
        <v>89</v>
      </c>
    </row>
    <row r="3">
      <c r="A3" s="7">
        <v>36497</v>
      </c>
      <c r="B3" s="15" t="s">
        <v>103</v>
      </c>
      <c r="C3" s="20">
        <v>20</v>
      </c>
      <c r="D3" s="20">
        <v>901</v>
      </c>
      <c r="E3" s="20" t="s">
        <v>18</v>
      </c>
      <c r="F3" s="20" t="s">
        <v>89</v>
      </c>
    </row>
    <row r="4">
      <c r="A4" s="7">
        <v>36497</v>
      </c>
      <c r="B4" s="15" t="s">
        <v>104</v>
      </c>
      <c r="C4" s="20">
        <v>-7.5</v>
      </c>
      <c r="D4" s="20">
        <v>602</v>
      </c>
      <c r="E4" s="20" t="s">
        <v>18</v>
      </c>
      <c r="F4" s="20" t="s">
        <v>63</v>
      </c>
    </row>
    <row r="5">
      <c r="A5" s="7">
        <v>36609</v>
      </c>
      <c r="B5" s="15" t="s">
        <v>105</v>
      </c>
      <c r="C5" s="20">
        <v>593.5</v>
      </c>
      <c r="D5" s="20">
        <v>561</v>
      </c>
      <c r="E5" s="20" t="s">
        <v>18</v>
      </c>
      <c r="F5" s="20" t="s">
        <v>48</v>
      </c>
    </row>
    <row r="6">
      <c r="A6" s="7">
        <v>36615</v>
      </c>
      <c r="B6" s="15" t="s">
        <v>105</v>
      </c>
      <c r="C6" s="20">
        <v>352</v>
      </c>
      <c r="D6" s="20">
        <v>561</v>
      </c>
      <c r="E6" s="20" t="s">
        <v>18</v>
      </c>
      <c r="F6" s="20" t="s">
        <v>48</v>
      </c>
    </row>
    <row r="7">
      <c r="A7" s="7">
        <v>36616</v>
      </c>
      <c r="B7" s="15" t="s">
        <v>106</v>
      </c>
      <c r="C7" s="20">
        <v>0.01</v>
      </c>
      <c r="D7" s="20">
        <v>502</v>
      </c>
      <c r="E7" s="20" t="s">
        <v>18</v>
      </c>
      <c r="F7" s="20" t="s">
        <v>40</v>
      </c>
    </row>
    <row r="8">
      <c r="A8" s="7">
        <v>36629</v>
      </c>
      <c r="B8" s="15" t="s">
        <v>107</v>
      </c>
      <c r="C8" s="20">
        <v>120</v>
      </c>
      <c r="D8" s="20">
        <v>503</v>
      </c>
      <c r="E8" s="20" t="s">
        <v>18</v>
      </c>
      <c r="F8" s="20" t="s">
        <v>41</v>
      </c>
    </row>
    <row r="9">
      <c r="A9" s="7">
        <v>36629</v>
      </c>
      <c r="B9" s="15" t="s">
        <v>103</v>
      </c>
      <c r="C9" s="20">
        <v>1750</v>
      </c>
      <c r="D9" s="20">
        <v>561</v>
      </c>
      <c r="E9" s="20" t="s">
        <v>18</v>
      </c>
      <c r="F9" s="20" t="s">
        <v>48</v>
      </c>
    </row>
    <row r="10">
      <c r="A10" s="7">
        <v>36630</v>
      </c>
      <c r="B10" s="15" t="s">
        <v>108</v>
      </c>
      <c r="C10" s="20">
        <v>-3000</v>
      </c>
      <c r="D10" s="20">
        <v>661</v>
      </c>
      <c r="E10" s="20" t="s">
        <v>18</v>
      </c>
      <c r="F10" s="20" t="s">
        <v>74</v>
      </c>
    </row>
    <row r="11">
      <c r="A11" s="7">
        <v>36630</v>
      </c>
      <c r="B11" s="15" t="s">
        <v>105</v>
      </c>
      <c r="C11" s="20">
        <v>1151.4</v>
      </c>
      <c r="D11" s="20">
        <v>561</v>
      </c>
      <c r="E11" s="20" t="s">
        <v>18</v>
      </c>
      <c r="F11" s="20" t="s">
        <v>75</v>
      </c>
    </row>
    <row r="12">
      <c r="A12" s="7">
        <v>36630</v>
      </c>
      <c r="B12" s="15" t="s">
        <v>103</v>
      </c>
      <c r="C12" s="20">
        <v>385</v>
      </c>
      <c r="D12" s="20">
        <v>561</v>
      </c>
      <c r="E12" s="20" t="s">
        <v>18</v>
      </c>
      <c r="F12" s="20" t="s">
        <v>48</v>
      </c>
    </row>
    <row r="13">
      <c r="A13" s="7">
        <v>36635</v>
      </c>
      <c r="B13" s="15" t="s">
        <v>109</v>
      </c>
      <c r="C13" s="20">
        <v>-567</v>
      </c>
      <c r="D13" s="20">
        <v>665</v>
      </c>
      <c r="E13" s="20" t="s">
        <v>18</v>
      </c>
      <c r="F13" s="20" t="s">
        <v>78</v>
      </c>
    </row>
    <row r="14">
      <c r="A14" s="7">
        <v>36642</v>
      </c>
      <c r="B14" s="15" t="s">
        <v>110</v>
      </c>
      <c r="C14" s="20">
        <v>-190</v>
      </c>
      <c r="D14" s="20">
        <v>605</v>
      </c>
      <c r="E14" s="20" t="s">
        <v>18</v>
      </c>
      <c r="F14" s="20" t="s">
        <v>66</v>
      </c>
    </row>
    <row r="15">
      <c r="A15" s="7">
        <v>36644</v>
      </c>
      <c r="B15" s="15" t="s">
        <v>111</v>
      </c>
      <c r="C15" s="20">
        <v>-3.7</v>
      </c>
      <c r="D15" s="20">
        <v>602</v>
      </c>
      <c r="E15" s="20" t="s">
        <v>18</v>
      </c>
      <c r="F15" s="20" t="s">
        <v>63</v>
      </c>
    </row>
    <row r="16">
      <c r="A16" s="7">
        <v>36646</v>
      </c>
      <c r="B16" s="15" t="s">
        <v>106</v>
      </c>
      <c r="C16" s="20">
        <v>0.08</v>
      </c>
      <c r="D16" s="20">
        <v>502</v>
      </c>
      <c r="E16" s="20" t="s">
        <v>18</v>
      </c>
      <c r="F16" s="20" t="s">
        <v>40</v>
      </c>
    </row>
    <row r="17">
      <c r="A17" s="7">
        <v>36663</v>
      </c>
      <c r="B17" s="15" t="s">
        <v>112</v>
      </c>
      <c r="C17" s="20">
        <v>-96</v>
      </c>
      <c r="D17" s="20">
        <v>665</v>
      </c>
      <c r="E17" s="20" t="s">
        <v>18</v>
      </c>
      <c r="F17" s="20" t="s">
        <v>78</v>
      </c>
    </row>
    <row r="18">
      <c r="A18" s="7">
        <v>36668</v>
      </c>
      <c r="B18" s="15" t="s">
        <v>113</v>
      </c>
      <c r="C18" s="20">
        <v>-56</v>
      </c>
      <c r="D18" s="20">
        <v>606</v>
      </c>
      <c r="E18" s="20" t="s">
        <v>18</v>
      </c>
      <c r="F18" s="20" t="s">
        <v>67</v>
      </c>
    </row>
    <row r="19">
      <c r="A19" s="7">
        <v>36668</v>
      </c>
      <c r="B19" s="15" t="s">
        <v>114</v>
      </c>
      <c r="C19" s="20">
        <v>165</v>
      </c>
      <c r="D19" s="20">
        <v>561</v>
      </c>
      <c r="E19" s="20" t="s">
        <v>18</v>
      </c>
      <c r="F19" s="20" t="s">
        <v>48</v>
      </c>
    </row>
    <row r="20">
      <c r="A20" s="7">
        <v>36671</v>
      </c>
      <c r="B20" s="15" t="s">
        <v>115</v>
      </c>
      <c r="C20" s="20">
        <v>2500</v>
      </c>
      <c r="D20" s="20">
        <v>561</v>
      </c>
      <c r="E20" s="20" t="s">
        <v>18</v>
      </c>
      <c r="F20" s="20" t="s">
        <v>48</v>
      </c>
    </row>
    <row r="21">
      <c r="A21" s="7">
        <v>36671</v>
      </c>
      <c r="B21" s="15" t="s">
        <v>103</v>
      </c>
      <c r="C21" s="20">
        <v>338.5</v>
      </c>
      <c r="D21" s="20">
        <v>561</v>
      </c>
      <c r="E21" s="20" t="s">
        <v>18</v>
      </c>
      <c r="F21" s="20" t="s">
        <v>48</v>
      </c>
    </row>
    <row r="22">
      <c r="A22" s="7">
        <v>36675</v>
      </c>
      <c r="B22" s="15" t="s">
        <v>116</v>
      </c>
      <c r="C22" s="20">
        <v>500</v>
      </c>
      <c r="D22" s="20">
        <v>561</v>
      </c>
      <c r="E22" s="20" t="s">
        <v>18</v>
      </c>
      <c r="F22" s="20" t="s">
        <v>48</v>
      </c>
    </row>
    <row r="23">
      <c r="A23" s="7">
        <v>36677</v>
      </c>
      <c r="B23" s="15" t="s">
        <v>117</v>
      </c>
      <c r="C23" s="20">
        <v>-3338.5</v>
      </c>
      <c r="D23" s="20">
        <v>661</v>
      </c>
      <c r="E23" s="20" t="s">
        <v>18</v>
      </c>
      <c r="F23" s="20" t="s">
        <v>74</v>
      </c>
    </row>
    <row r="24">
      <c r="A24" s="7">
        <v>36677</v>
      </c>
      <c r="B24" s="15" t="s">
        <v>111</v>
      </c>
      <c r="C24" s="20">
        <v>-2.1</v>
      </c>
      <c r="D24" s="20">
        <v>602</v>
      </c>
      <c r="E24" s="20" t="s">
        <v>18</v>
      </c>
      <c r="F24" s="20" t="s">
        <v>63</v>
      </c>
    </row>
    <row r="25">
      <c r="A25" s="7">
        <v>36677</v>
      </c>
      <c r="B25" s="15" t="s">
        <v>106</v>
      </c>
      <c r="C25" s="20">
        <v>0.1</v>
      </c>
      <c r="D25" s="20">
        <v>502</v>
      </c>
      <c r="E25" s="20" t="s">
        <v>18</v>
      </c>
      <c r="F25" s="20" t="s">
        <v>40</v>
      </c>
    </row>
    <row r="26">
      <c r="A26" s="7">
        <v>36678</v>
      </c>
      <c r="B26" s="15" t="s">
        <v>118</v>
      </c>
      <c r="C26" s="20">
        <v>-465</v>
      </c>
      <c r="D26" s="20">
        <v>561</v>
      </c>
      <c r="E26" s="20" t="s">
        <v>18</v>
      </c>
      <c r="F26" s="20" t="s">
        <v>48</v>
      </c>
    </row>
    <row r="27">
      <c r="A27" s="7">
        <v>36692</v>
      </c>
      <c r="B27" s="15" t="s">
        <v>114</v>
      </c>
      <c r="C27" s="20">
        <v>170</v>
      </c>
      <c r="D27" s="20">
        <v>561</v>
      </c>
      <c r="E27" s="20" t="s">
        <v>18</v>
      </c>
      <c r="F27" s="20" t="s">
        <v>48</v>
      </c>
    </row>
    <row r="28">
      <c r="A28" s="7">
        <v>36696</v>
      </c>
      <c r="B28" s="15" t="s">
        <v>119</v>
      </c>
      <c r="C28" s="20">
        <v>-300</v>
      </c>
      <c r="D28" s="20">
        <v>661</v>
      </c>
      <c r="E28" s="20" t="s">
        <v>18</v>
      </c>
      <c r="F28" s="20" t="s">
        <v>74</v>
      </c>
    </row>
    <row r="29">
      <c r="A29" s="7">
        <v>36707</v>
      </c>
      <c r="B29" s="15" t="s">
        <v>111</v>
      </c>
      <c r="C29" s="20">
        <v>-1.4</v>
      </c>
      <c r="D29" s="20">
        <v>602</v>
      </c>
      <c r="E29" s="20" t="s">
        <v>18</v>
      </c>
      <c r="F29" s="20" t="s">
        <v>63</v>
      </c>
    </row>
    <row r="30">
      <c r="A30" s="7">
        <v>36707</v>
      </c>
      <c r="B30" s="15" t="s">
        <v>106</v>
      </c>
      <c r="C30" s="20">
        <v>0.01</v>
      </c>
      <c r="D30" s="20">
        <v>502</v>
      </c>
      <c r="E30" s="20" t="s">
        <v>18</v>
      </c>
      <c r="F30" s="20" t="s">
        <v>40</v>
      </c>
    </row>
    <row r="31">
      <c r="A31" s="7">
        <v>36727</v>
      </c>
      <c r="B31" s="15" t="s">
        <v>120</v>
      </c>
      <c r="C31" s="20">
        <v>-30</v>
      </c>
      <c r="D31" s="20">
        <v>602</v>
      </c>
      <c r="E31" s="20" t="s">
        <v>18</v>
      </c>
      <c r="F31" s="20" t="s">
        <v>63</v>
      </c>
    </row>
    <row r="32">
      <c r="A32" s="7">
        <v>36728</v>
      </c>
      <c r="B32" s="15" t="s">
        <v>103</v>
      </c>
      <c r="C32" s="20">
        <v>40</v>
      </c>
      <c r="D32" s="20">
        <v>561</v>
      </c>
      <c r="E32" s="20" t="s">
        <v>18</v>
      </c>
      <c r="F32" s="20" t="s">
        <v>48</v>
      </c>
    </row>
    <row r="33">
      <c r="A33" s="7">
        <v>36738</v>
      </c>
      <c r="B33" s="15" t="s">
        <v>121</v>
      </c>
      <c r="C33" s="20">
        <v>-0.01</v>
      </c>
      <c r="D33" s="20">
        <v>502</v>
      </c>
      <c r="E33" s="20" t="s">
        <v>18</v>
      </c>
      <c r="F33" s="20" t="s">
        <v>40</v>
      </c>
    </row>
    <row r="34">
      <c r="A34" s="7">
        <v>36762</v>
      </c>
      <c r="B34" s="15" t="s">
        <v>105</v>
      </c>
      <c r="C34" s="20">
        <v>1709</v>
      </c>
      <c r="D34" s="20">
        <v>561</v>
      </c>
      <c r="E34" s="20" t="s">
        <v>18</v>
      </c>
      <c r="F34" s="20" t="s">
        <v>48</v>
      </c>
    </row>
    <row r="35">
      <c r="A35" s="7">
        <v>36769</v>
      </c>
      <c r="B35" s="15" t="s">
        <v>106</v>
      </c>
      <c r="C35" s="20">
        <v>0.03</v>
      </c>
      <c r="D35" s="20">
        <v>502</v>
      </c>
      <c r="E35" s="20" t="s">
        <v>18</v>
      </c>
      <c r="F35" s="20" t="s">
        <v>40</v>
      </c>
    </row>
    <row r="36">
      <c r="A36" s="7">
        <v>36780</v>
      </c>
      <c r="B36" s="15" t="s">
        <v>103</v>
      </c>
      <c r="C36" s="20">
        <v>2520</v>
      </c>
      <c r="D36" s="20">
        <v>561</v>
      </c>
      <c r="E36" s="20" t="s">
        <v>18</v>
      </c>
      <c r="F36" s="20" t="s">
        <v>48</v>
      </c>
    </row>
    <row r="37">
      <c r="A37" s="7">
        <v>36780</v>
      </c>
      <c r="B37" s="15" t="s">
        <v>107</v>
      </c>
      <c r="C37" s="20">
        <v>25</v>
      </c>
      <c r="D37" s="20">
        <v>503</v>
      </c>
      <c r="E37" s="20" t="s">
        <v>18</v>
      </c>
      <c r="F37" s="20" t="s">
        <v>41</v>
      </c>
    </row>
    <row r="38">
      <c r="A38" s="7">
        <v>36782</v>
      </c>
      <c r="B38" s="15" t="s">
        <v>114</v>
      </c>
      <c r="C38" s="20">
        <v>980</v>
      </c>
      <c r="D38" s="20">
        <v>561</v>
      </c>
      <c r="E38" s="20" t="s">
        <v>18</v>
      </c>
      <c r="F38" s="20" t="s">
        <v>48</v>
      </c>
    </row>
    <row r="39">
      <c r="A39" s="7">
        <v>36783</v>
      </c>
      <c r="B39" s="15" t="s">
        <v>114</v>
      </c>
      <c r="C39" s="20">
        <v>2055</v>
      </c>
      <c r="D39" s="20">
        <v>561</v>
      </c>
      <c r="E39" s="20" t="s">
        <v>18</v>
      </c>
      <c r="F39" s="20" t="s">
        <v>48</v>
      </c>
    </row>
    <row r="40">
      <c r="A40" s="7">
        <v>36784</v>
      </c>
      <c r="B40" s="15" t="s">
        <v>105</v>
      </c>
      <c r="C40" s="20">
        <v>338</v>
      </c>
      <c r="D40" s="20">
        <v>561</v>
      </c>
      <c r="E40" s="20" t="s">
        <v>18</v>
      </c>
      <c r="F40" s="20" t="s">
        <v>48</v>
      </c>
    </row>
    <row r="41">
      <c r="A41" s="7">
        <v>36784</v>
      </c>
      <c r="B41" s="15" t="s">
        <v>105</v>
      </c>
      <c r="C41" s="20">
        <v>660</v>
      </c>
      <c r="D41" s="20">
        <v>561</v>
      </c>
      <c r="E41" s="20" t="s">
        <v>18</v>
      </c>
      <c r="F41" s="20" t="s">
        <v>48</v>
      </c>
    </row>
    <row r="42">
      <c r="A42" s="7">
        <v>36788</v>
      </c>
      <c r="B42" s="15" t="s">
        <v>114</v>
      </c>
      <c r="C42" s="20">
        <v>137</v>
      </c>
      <c r="D42" s="20">
        <v>561</v>
      </c>
      <c r="E42" s="20" t="s">
        <v>18</v>
      </c>
      <c r="F42" s="20" t="s">
        <v>48</v>
      </c>
    </row>
    <row r="43">
      <c r="A43" s="7">
        <v>36789</v>
      </c>
      <c r="B43" s="15" t="s">
        <v>103</v>
      </c>
      <c r="C43" s="20">
        <v>1450</v>
      </c>
      <c r="D43" s="20">
        <v>561</v>
      </c>
      <c r="E43" s="20" t="s">
        <v>18</v>
      </c>
      <c r="F43" s="20" t="s">
        <v>48</v>
      </c>
    </row>
    <row r="44">
      <c r="A44" s="7">
        <v>36790</v>
      </c>
      <c r="B44" s="15" t="s">
        <v>122</v>
      </c>
      <c r="C44" s="20">
        <v>4332</v>
      </c>
      <c r="D44" s="20">
        <v>561</v>
      </c>
      <c r="E44" s="20" t="s">
        <v>18</v>
      </c>
      <c r="F44" s="20" t="s">
        <v>48</v>
      </c>
    </row>
    <row r="45">
      <c r="A45" s="7">
        <v>36791</v>
      </c>
      <c r="B45" s="15" t="s">
        <v>123</v>
      </c>
      <c r="C45" s="20">
        <v>-1000</v>
      </c>
      <c r="D45" s="20">
        <v>665</v>
      </c>
      <c r="E45" s="20" t="s">
        <v>18</v>
      </c>
      <c r="F45" s="20" t="s">
        <v>78</v>
      </c>
    </row>
    <row r="46">
      <c r="A46" s="7">
        <v>36791</v>
      </c>
      <c r="B46" s="15" t="s">
        <v>114</v>
      </c>
      <c r="C46" s="20">
        <v>770</v>
      </c>
      <c r="D46" s="20">
        <v>561</v>
      </c>
      <c r="E46" s="20" t="s">
        <v>18</v>
      </c>
      <c r="F46" s="20" t="s">
        <v>48</v>
      </c>
    </row>
    <row r="47">
      <c r="A47" s="7">
        <v>36795</v>
      </c>
      <c r="B47" s="15" t="s">
        <v>124</v>
      </c>
      <c r="C47" s="20">
        <v>-12200</v>
      </c>
      <c r="D47" s="20">
        <v>661</v>
      </c>
      <c r="E47" s="20" t="s">
        <v>18</v>
      </c>
      <c r="F47" s="20" t="s">
        <v>74</v>
      </c>
    </row>
    <row r="48">
      <c r="A48" s="7">
        <v>36795</v>
      </c>
      <c r="B48" s="15" t="s">
        <v>125</v>
      </c>
      <c r="C48" s="20">
        <v>-45.95</v>
      </c>
      <c r="D48" s="20">
        <v>665</v>
      </c>
      <c r="E48" s="20" t="s">
        <v>18</v>
      </c>
      <c r="F48" s="20" t="s">
        <v>78</v>
      </c>
    </row>
    <row r="49">
      <c r="A49" s="7">
        <v>36795</v>
      </c>
      <c r="B49" s="15" t="s">
        <v>126</v>
      </c>
      <c r="C49" s="20">
        <v>-850</v>
      </c>
      <c r="D49" s="20">
        <v>665</v>
      </c>
      <c r="E49" s="20" t="s">
        <v>18</v>
      </c>
      <c r="F49" s="20" t="s">
        <v>78</v>
      </c>
    </row>
    <row r="50">
      <c r="A50" s="7">
        <v>36796</v>
      </c>
      <c r="B50" s="15" t="s">
        <v>127</v>
      </c>
      <c r="C50" s="20">
        <v>-132</v>
      </c>
      <c r="D50" s="20">
        <v>665</v>
      </c>
      <c r="E50" s="20" t="s">
        <v>18</v>
      </c>
      <c r="F50" s="20" t="s">
        <v>78</v>
      </c>
    </row>
    <row r="51">
      <c r="A51" s="7">
        <v>36798</v>
      </c>
      <c r="B51" s="15" t="s">
        <v>111</v>
      </c>
      <c r="C51" s="20">
        <v>-8</v>
      </c>
      <c r="D51" s="20">
        <v>602</v>
      </c>
      <c r="E51" s="20" t="s">
        <v>18</v>
      </c>
      <c r="F51" s="20" t="s">
        <v>63</v>
      </c>
    </row>
    <row r="52">
      <c r="A52" s="7">
        <v>36799</v>
      </c>
      <c r="B52" s="15" t="s">
        <v>106</v>
      </c>
      <c r="C52" s="20">
        <v>1.89</v>
      </c>
      <c r="D52" s="20">
        <v>502</v>
      </c>
      <c r="E52" s="20" t="s">
        <v>18</v>
      </c>
      <c r="F52" s="20" t="s">
        <v>40</v>
      </c>
    </row>
    <row r="53">
      <c r="A53" s="7">
        <v>36804</v>
      </c>
      <c r="B53" s="15" t="s">
        <v>114</v>
      </c>
      <c r="C53" s="20">
        <v>136</v>
      </c>
      <c r="D53" s="20">
        <v>561</v>
      </c>
      <c r="E53" s="20" t="s">
        <v>18</v>
      </c>
      <c r="F53" s="20" t="s">
        <v>48</v>
      </c>
    </row>
    <row r="54">
      <c r="A54" s="7">
        <v>36805</v>
      </c>
      <c r="B54" s="15" t="s">
        <v>114</v>
      </c>
      <c r="C54" s="20">
        <v>153.8</v>
      </c>
      <c r="D54" s="20">
        <v>561</v>
      </c>
      <c r="E54" s="20" t="s">
        <v>18</v>
      </c>
      <c r="F54" s="20" t="s">
        <v>48</v>
      </c>
    </row>
    <row r="55">
      <c r="A55" s="7">
        <v>36811</v>
      </c>
      <c r="B55" s="15" t="s">
        <v>128</v>
      </c>
      <c r="C55" s="20">
        <v>-663.3</v>
      </c>
      <c r="D55" s="20">
        <v>665</v>
      </c>
      <c r="E55" s="20" t="s">
        <v>18</v>
      </c>
      <c r="F55" s="20" t="s">
        <v>78</v>
      </c>
    </row>
    <row r="56">
      <c r="A56" s="7">
        <v>36830</v>
      </c>
      <c r="B56" s="15" t="s">
        <v>106</v>
      </c>
      <c r="C56" s="20">
        <v>0.05</v>
      </c>
      <c r="D56" s="20">
        <v>502</v>
      </c>
      <c r="E56" s="20" t="s">
        <v>18</v>
      </c>
      <c r="F56" s="20" t="s">
        <v>40</v>
      </c>
    </row>
    <row r="57">
      <c r="A57" s="7">
        <v>36830</v>
      </c>
      <c r="B57" s="15" t="s">
        <v>111</v>
      </c>
      <c r="C57" s="20">
        <v>-1.5</v>
      </c>
      <c r="D57" s="20">
        <v>602</v>
      </c>
      <c r="E57" s="20" t="s">
        <v>18</v>
      </c>
      <c r="F57" s="20" t="s">
        <v>63</v>
      </c>
    </row>
    <row r="58">
      <c r="A58" s="7">
        <v>36860</v>
      </c>
      <c r="B58" s="15" t="s">
        <v>106</v>
      </c>
      <c r="C58" s="20">
        <v>0.03</v>
      </c>
      <c r="D58" s="20">
        <v>502</v>
      </c>
      <c r="E58" s="20" t="s">
        <v>18</v>
      </c>
      <c r="F58" s="20" t="s">
        <v>40</v>
      </c>
    </row>
    <row r="59">
      <c r="A59" s="7">
        <v>36887</v>
      </c>
      <c r="B59" s="15" t="s">
        <v>129</v>
      </c>
      <c r="C59" s="20">
        <v>-139.8</v>
      </c>
      <c r="D59" s="20">
        <v>605</v>
      </c>
      <c r="E59" s="20" t="s">
        <v>18</v>
      </c>
      <c r="F59" s="20" t="s">
        <v>66</v>
      </c>
    </row>
    <row r="60">
      <c r="A60" s="7">
        <v>36891</v>
      </c>
      <c r="B60" s="15" t="s">
        <v>106</v>
      </c>
      <c r="C60" s="20">
        <v>0.03</v>
      </c>
      <c r="D60" s="20">
        <v>502</v>
      </c>
      <c r="E60" s="20" t="s">
        <v>18</v>
      </c>
      <c r="F60" s="20" t="s">
        <v>40</v>
      </c>
    </row>
    <row r="61">
      <c r="A61" s="7">
        <v>36891</v>
      </c>
      <c r="B61" s="15" t="s">
        <v>130</v>
      </c>
      <c r="C61" s="20">
        <v>-0.7</v>
      </c>
      <c r="D61" s="20">
        <v>602</v>
      </c>
      <c r="E61" s="20" t="s">
        <v>18</v>
      </c>
      <c r="F61" s="20" t="s">
        <v>63</v>
      </c>
    </row>
    <row r="62">
      <c r="A62" s="7">
        <v>36922</v>
      </c>
      <c r="B62" s="15" t="s">
        <v>106</v>
      </c>
      <c r="C62" s="20">
        <v>0.02</v>
      </c>
      <c r="D62" s="20">
        <v>502</v>
      </c>
      <c r="E62" s="20" t="s">
        <v>18</v>
      </c>
      <c r="F62" s="20" t="s">
        <v>40</v>
      </c>
    </row>
    <row r="63">
      <c r="A63" s="7">
        <v>36943</v>
      </c>
      <c r="B63" s="15" t="s">
        <v>114</v>
      </c>
      <c r="C63" s="20">
        <v>398</v>
      </c>
      <c r="D63" s="20">
        <v>551</v>
      </c>
      <c r="E63" s="20" t="s">
        <v>18</v>
      </c>
      <c r="F63" s="20" t="s">
        <v>47</v>
      </c>
    </row>
    <row r="64">
      <c r="A64" s="7">
        <v>36948</v>
      </c>
      <c r="B64" s="15" t="s">
        <v>131</v>
      </c>
      <c r="C64" s="20">
        <v>-200</v>
      </c>
      <c r="D64" s="20">
        <v>651</v>
      </c>
      <c r="E64" s="20" t="s">
        <v>18</v>
      </c>
      <c r="F64" s="20" t="s">
        <v>73</v>
      </c>
    </row>
    <row r="65">
      <c r="A65" s="7">
        <v>36950</v>
      </c>
      <c r="B65" s="15" t="s">
        <v>106</v>
      </c>
      <c r="C65" s="20">
        <v>0.03</v>
      </c>
      <c r="D65" s="20">
        <v>502</v>
      </c>
      <c r="E65" s="20" t="s">
        <v>18</v>
      </c>
      <c r="F65" s="20" t="s">
        <v>40</v>
      </c>
    </row>
    <row r="66">
      <c r="A66" s="7">
        <v>36950</v>
      </c>
      <c r="B66" s="15" t="s">
        <v>111</v>
      </c>
      <c r="C66" s="20">
        <v>-0.7</v>
      </c>
      <c r="D66" s="20">
        <v>602</v>
      </c>
      <c r="E66" s="20" t="s">
        <v>18</v>
      </c>
      <c r="F66" s="20" t="s">
        <v>63</v>
      </c>
    </row>
    <row r="67">
      <c r="A67" s="7">
        <v>36952</v>
      </c>
      <c r="B67" s="15" t="s">
        <v>114</v>
      </c>
      <c r="C67" s="20">
        <v>371.5</v>
      </c>
      <c r="D67" s="20">
        <v>586</v>
      </c>
      <c r="E67" s="20" t="s">
        <v>18</v>
      </c>
      <c r="F67" s="20" t="s">
        <v>55</v>
      </c>
    </row>
    <row r="68">
      <c r="A68" s="7">
        <v>36965</v>
      </c>
      <c r="B68" s="15" t="s">
        <v>132</v>
      </c>
      <c r="C68" s="20">
        <v>381.5</v>
      </c>
      <c r="D68" s="20">
        <v>586</v>
      </c>
      <c r="E68" s="20" t="s">
        <v>18</v>
      </c>
      <c r="F68" s="20" t="s">
        <v>55</v>
      </c>
    </row>
    <row r="69">
      <c r="A69" s="7">
        <v>36966</v>
      </c>
      <c r="B69" s="15" t="s">
        <v>133</v>
      </c>
      <c r="C69" s="20">
        <v>-19.3</v>
      </c>
      <c r="D69" s="20">
        <v>606</v>
      </c>
      <c r="E69" s="20" t="s">
        <v>18</v>
      </c>
      <c r="F69" s="20" t="s">
        <v>67</v>
      </c>
    </row>
    <row r="70">
      <c r="A70" s="7">
        <v>36970</v>
      </c>
      <c r="B70" s="15" t="s">
        <v>134</v>
      </c>
      <c r="C70" s="20">
        <v>-3</v>
      </c>
      <c r="D70" s="20">
        <v>602</v>
      </c>
      <c r="E70" s="20" t="s">
        <v>18</v>
      </c>
      <c r="F70" s="20" t="s">
        <v>63</v>
      </c>
    </row>
    <row r="71">
      <c r="A71" s="7">
        <v>36971</v>
      </c>
      <c r="B71" s="15" t="s">
        <v>135</v>
      </c>
      <c r="C71" s="20">
        <v>38</v>
      </c>
      <c r="D71" s="20">
        <v>586</v>
      </c>
      <c r="E71" s="20" t="s">
        <v>18</v>
      </c>
      <c r="F71" s="20" t="s">
        <v>55</v>
      </c>
    </row>
    <row r="72">
      <c r="A72" s="7">
        <v>36976</v>
      </c>
      <c r="B72" s="15" t="s">
        <v>136</v>
      </c>
      <c r="C72" s="20">
        <v>-108</v>
      </c>
      <c r="D72" s="20">
        <v>686</v>
      </c>
      <c r="E72" s="20" t="s">
        <v>18</v>
      </c>
      <c r="F72" s="20" t="s">
        <v>84</v>
      </c>
    </row>
    <row r="73">
      <c r="A73" s="7">
        <v>36981</v>
      </c>
      <c r="B73" s="15" t="s">
        <v>106</v>
      </c>
      <c r="C73" s="20">
        <v>0.08</v>
      </c>
      <c r="D73" s="20">
        <v>502</v>
      </c>
      <c r="E73" s="20" t="s">
        <v>18</v>
      </c>
      <c r="F73" s="20" t="s">
        <v>40</v>
      </c>
    </row>
    <row r="74">
      <c r="A74" s="7">
        <v>36981</v>
      </c>
      <c r="B74" s="15" t="s">
        <v>111</v>
      </c>
      <c r="C74" s="20">
        <v>-0.7</v>
      </c>
      <c r="D74" s="20">
        <v>602</v>
      </c>
      <c r="E74" s="20" t="s">
        <v>18</v>
      </c>
      <c r="F74" s="20" t="s">
        <v>63</v>
      </c>
    </row>
    <row r="75">
      <c r="A75" s="7">
        <v>36983</v>
      </c>
      <c r="B75" s="15" t="s">
        <v>137</v>
      </c>
      <c r="C75" s="20">
        <v>-352</v>
      </c>
      <c r="D75" s="20">
        <v>686</v>
      </c>
      <c r="E75" s="20" t="s">
        <v>18</v>
      </c>
      <c r="F75" s="20" t="s">
        <v>84</v>
      </c>
    </row>
    <row r="76">
      <c r="A76" s="7">
        <v>36993</v>
      </c>
      <c r="B76" s="15" t="s">
        <v>138</v>
      </c>
      <c r="C76" s="20">
        <v>-2</v>
      </c>
      <c r="D76" s="20">
        <v>602</v>
      </c>
      <c r="E76" s="20" t="s">
        <v>18</v>
      </c>
      <c r="F76" s="20" t="s">
        <v>63</v>
      </c>
    </row>
    <row r="77">
      <c r="A77" s="7">
        <v>37007</v>
      </c>
      <c r="B77" s="15" t="s">
        <v>139</v>
      </c>
      <c r="C77" s="20">
        <v>-300</v>
      </c>
      <c r="D77" s="20">
        <v>686</v>
      </c>
      <c r="E77" s="20" t="s">
        <v>18</v>
      </c>
      <c r="F77" s="20" t="s">
        <v>84</v>
      </c>
    </row>
    <row r="78">
      <c r="A78" s="7">
        <v>37011</v>
      </c>
      <c r="B78" s="15" t="s">
        <v>106</v>
      </c>
      <c r="C78" s="20">
        <v>0.06</v>
      </c>
      <c r="D78" s="20">
        <v>502</v>
      </c>
      <c r="E78" s="20" t="s">
        <v>18</v>
      </c>
      <c r="F78" s="20" t="s">
        <v>40</v>
      </c>
    </row>
    <row r="79">
      <c r="A79" s="7">
        <v>37011</v>
      </c>
      <c r="B79" s="15" t="s">
        <v>111</v>
      </c>
      <c r="C79" s="20">
        <v>-1.4</v>
      </c>
      <c r="D79" s="20">
        <v>602</v>
      </c>
      <c r="E79" s="20" t="s">
        <v>18</v>
      </c>
      <c r="F79" s="20" t="s">
        <v>63</v>
      </c>
    </row>
    <row r="80">
      <c r="A80" s="7">
        <v>37015</v>
      </c>
      <c r="B80" s="15" t="s">
        <v>140</v>
      </c>
      <c r="C80" s="20">
        <v>-55</v>
      </c>
      <c r="D80" s="20">
        <v>665</v>
      </c>
      <c r="E80" s="20" t="s">
        <v>18</v>
      </c>
      <c r="F80" s="20" t="s">
        <v>78</v>
      </c>
    </row>
    <row r="81">
      <c r="A81" s="7">
        <v>37026</v>
      </c>
      <c r="B81" s="15" t="s">
        <v>141</v>
      </c>
      <c r="C81" s="20">
        <v>730</v>
      </c>
      <c r="D81" s="20">
        <v>561</v>
      </c>
      <c r="E81" s="20" t="s">
        <v>18</v>
      </c>
      <c r="F81" s="20" t="s">
        <v>48</v>
      </c>
    </row>
    <row r="82">
      <c r="A82" s="7">
        <v>37026</v>
      </c>
      <c r="B82" s="15" t="s">
        <v>142</v>
      </c>
      <c r="C82" s="20">
        <v>75</v>
      </c>
      <c r="D82" s="20">
        <v>561</v>
      </c>
      <c r="E82" s="20" t="s">
        <v>18</v>
      </c>
      <c r="F82" s="20" t="s">
        <v>48</v>
      </c>
    </row>
    <row r="83">
      <c r="A83" s="7">
        <v>37026</v>
      </c>
      <c r="B83" s="15" t="s">
        <v>143</v>
      </c>
      <c r="C83" s="20">
        <v>135</v>
      </c>
      <c r="D83" s="20">
        <v>503</v>
      </c>
      <c r="E83" s="20" t="s">
        <v>18</v>
      </c>
      <c r="F83" s="20" t="s">
        <v>41</v>
      </c>
    </row>
    <row r="84">
      <c r="A84" s="7">
        <v>37027</v>
      </c>
      <c r="B84" s="15" t="s">
        <v>144</v>
      </c>
      <c r="C84" s="20">
        <v>153.2</v>
      </c>
      <c r="D84" s="20">
        <v>561</v>
      </c>
      <c r="E84" s="20" t="s">
        <v>18</v>
      </c>
      <c r="F84" s="20" t="s">
        <v>48</v>
      </c>
    </row>
    <row r="85">
      <c r="A85" s="7">
        <v>37034</v>
      </c>
      <c r="B85" s="15" t="s">
        <v>145</v>
      </c>
      <c r="C85" s="20">
        <v>-62.5</v>
      </c>
      <c r="D85" s="20">
        <v>665</v>
      </c>
      <c r="E85" s="20" t="s">
        <v>18</v>
      </c>
      <c r="F85" s="20" t="s">
        <v>78</v>
      </c>
    </row>
    <row r="86">
      <c r="A86" s="7">
        <v>37042</v>
      </c>
      <c r="B86" s="15" t="s">
        <v>106</v>
      </c>
      <c r="C86" s="20">
        <v>0.08</v>
      </c>
      <c r="D86" s="20">
        <v>502</v>
      </c>
      <c r="E86" s="20" t="s">
        <v>18</v>
      </c>
      <c r="F86" s="20" t="s">
        <v>40</v>
      </c>
    </row>
    <row r="87">
      <c r="A87" s="7">
        <v>37042</v>
      </c>
      <c r="B87" s="15" t="s">
        <v>111</v>
      </c>
      <c r="C87" s="20">
        <v>-0.6</v>
      </c>
      <c r="D87" s="20">
        <v>602</v>
      </c>
      <c r="E87" s="20" t="s">
        <v>18</v>
      </c>
      <c r="F87" s="20" t="s">
        <v>63</v>
      </c>
    </row>
    <row r="88">
      <c r="A88" s="7">
        <v>37047</v>
      </c>
      <c r="B88" s="15" t="s">
        <v>146</v>
      </c>
      <c r="C88" s="20">
        <v>-100</v>
      </c>
      <c r="D88" s="20">
        <v>665</v>
      </c>
      <c r="E88" s="20" t="s">
        <v>18</v>
      </c>
      <c r="F88" s="20" t="s">
        <v>78</v>
      </c>
    </row>
    <row r="89">
      <c r="A89" s="7">
        <v>37068</v>
      </c>
      <c r="B89" s="15" t="s">
        <v>147</v>
      </c>
      <c r="C89" s="20">
        <v>-302.5</v>
      </c>
      <c r="D89" s="20">
        <v>665</v>
      </c>
      <c r="E89" s="20" t="s">
        <v>18</v>
      </c>
      <c r="F89" s="20" t="s">
        <v>78</v>
      </c>
    </row>
    <row r="90">
      <c r="A90" s="7">
        <v>37068</v>
      </c>
      <c r="B90" s="15" t="s">
        <v>148</v>
      </c>
      <c r="C90" s="20">
        <v>-250</v>
      </c>
      <c r="D90" s="20">
        <v>665</v>
      </c>
      <c r="E90" s="20" t="s">
        <v>18</v>
      </c>
      <c r="F90" s="20" t="s">
        <v>78</v>
      </c>
    </row>
    <row r="91">
      <c r="A91" s="7">
        <v>37072</v>
      </c>
      <c r="B91" s="15" t="s">
        <v>106</v>
      </c>
      <c r="C91" s="20">
        <v>0.1</v>
      </c>
      <c r="D91" s="20">
        <v>502</v>
      </c>
      <c r="E91" s="20" t="s">
        <v>18</v>
      </c>
      <c r="F91" s="20" t="s">
        <v>40</v>
      </c>
    </row>
    <row r="92">
      <c r="A92" s="7">
        <v>37072</v>
      </c>
      <c r="B92" s="15" t="s">
        <v>111</v>
      </c>
      <c r="C92" s="20">
        <v>-2.1</v>
      </c>
      <c r="D92" s="20">
        <v>602</v>
      </c>
      <c r="E92" s="20" t="s">
        <v>18</v>
      </c>
      <c r="F92" s="20" t="s">
        <v>63</v>
      </c>
    </row>
    <row r="93">
      <c r="A93" s="7">
        <v>37103</v>
      </c>
      <c r="B93" s="15" t="s">
        <v>106</v>
      </c>
      <c r="C93" s="20">
        <v>0.07</v>
      </c>
      <c r="D93" s="20">
        <v>502</v>
      </c>
      <c r="E93" s="20" t="s">
        <v>18</v>
      </c>
      <c r="F93" s="20" t="s">
        <v>40</v>
      </c>
    </row>
    <row r="94">
      <c r="A94" s="7">
        <v>37104</v>
      </c>
      <c r="B94" s="15" t="s">
        <v>149</v>
      </c>
      <c r="C94" s="20">
        <v>-168</v>
      </c>
      <c r="D94" s="20">
        <v>561</v>
      </c>
      <c r="E94" s="20" t="s">
        <v>18</v>
      </c>
      <c r="F94" s="20" t="s">
        <v>48</v>
      </c>
    </row>
    <row r="95">
      <c r="A95" s="7">
        <v>37116</v>
      </c>
      <c r="B95" s="15" t="s">
        <v>105</v>
      </c>
      <c r="C95" s="20">
        <v>575</v>
      </c>
      <c r="D95" s="20">
        <v>561</v>
      </c>
      <c r="E95" s="20" t="s">
        <v>18</v>
      </c>
      <c r="F95" s="20" t="s">
        <v>48</v>
      </c>
    </row>
    <row r="96">
      <c r="A96" s="7">
        <v>37119</v>
      </c>
      <c r="B96" s="15" t="s">
        <v>150</v>
      </c>
      <c r="C96" s="20">
        <v>-270.71</v>
      </c>
      <c r="D96" s="20">
        <v>665</v>
      </c>
      <c r="E96" s="20" t="s">
        <v>18</v>
      </c>
      <c r="F96" s="20" t="s">
        <v>78</v>
      </c>
    </row>
    <row r="97">
      <c r="A97" s="7">
        <v>37124</v>
      </c>
      <c r="B97" s="15" t="s">
        <v>114</v>
      </c>
      <c r="C97" s="20">
        <v>1455</v>
      </c>
      <c r="D97" s="20">
        <v>561</v>
      </c>
      <c r="E97" s="20" t="s">
        <v>18</v>
      </c>
      <c r="F97" s="20" t="s">
        <v>48</v>
      </c>
    </row>
    <row r="98">
      <c r="A98" s="7">
        <v>37126</v>
      </c>
      <c r="B98" s="15" t="s">
        <v>151</v>
      </c>
      <c r="C98" s="20">
        <v>10230</v>
      </c>
      <c r="D98" s="20">
        <v>101</v>
      </c>
      <c r="E98" s="20" t="s">
        <v>18</v>
      </c>
      <c r="F98" s="20" t="s">
        <v>16</v>
      </c>
    </row>
    <row r="99">
      <c r="A99" s="7">
        <v>37126</v>
      </c>
      <c r="B99" s="15" t="s">
        <v>152</v>
      </c>
      <c r="C99" s="20">
        <v>1475</v>
      </c>
      <c r="D99" s="20">
        <v>561</v>
      </c>
      <c r="E99" s="20" t="s">
        <v>18</v>
      </c>
      <c r="F99" s="20" t="s">
        <v>48</v>
      </c>
    </row>
    <row r="100">
      <c r="A100" s="7">
        <v>37130</v>
      </c>
      <c r="B100" s="15" t="s">
        <v>153</v>
      </c>
      <c r="C100" s="20">
        <v>-61.2</v>
      </c>
      <c r="D100" s="20">
        <v>665</v>
      </c>
      <c r="E100" s="20" t="s">
        <v>18</v>
      </c>
      <c r="F100" s="20" t="s">
        <v>78</v>
      </c>
    </row>
    <row r="101">
      <c r="A101" s="7">
        <v>37130</v>
      </c>
      <c r="B101" s="15" t="s">
        <v>154</v>
      </c>
      <c r="C101" s="20">
        <v>401.75</v>
      </c>
      <c r="D101" s="20">
        <v>561</v>
      </c>
      <c r="E101" s="20" t="s">
        <v>18</v>
      </c>
      <c r="F101" s="20" t="s">
        <v>48</v>
      </c>
    </row>
    <row r="102">
      <c r="A102" s="7">
        <v>37130</v>
      </c>
      <c r="B102" s="15" t="s">
        <v>155</v>
      </c>
      <c r="C102" s="20">
        <v>447.3</v>
      </c>
      <c r="D102" s="20">
        <v>561</v>
      </c>
      <c r="E102" s="20" t="s">
        <v>18</v>
      </c>
      <c r="F102" s="20" t="s">
        <v>48</v>
      </c>
    </row>
    <row r="103">
      <c r="A103" s="7">
        <v>37131</v>
      </c>
      <c r="B103" s="15" t="s">
        <v>156</v>
      </c>
      <c r="C103" s="20">
        <v>-256.6</v>
      </c>
      <c r="D103" s="20">
        <v>662</v>
      </c>
      <c r="E103" s="20" t="s">
        <v>18</v>
      </c>
      <c r="F103" s="20" t="s">
        <v>75</v>
      </c>
    </row>
    <row r="104">
      <c r="A104" s="7">
        <v>37131</v>
      </c>
      <c r="B104" s="15" t="s">
        <v>157</v>
      </c>
      <c r="C104" s="20">
        <v>-12552.65</v>
      </c>
      <c r="D104" s="20">
        <v>661</v>
      </c>
      <c r="E104" s="20" t="s">
        <v>18</v>
      </c>
      <c r="F104" s="20" t="s">
        <v>74</v>
      </c>
    </row>
    <row r="105">
      <c r="A105" s="7">
        <v>37133</v>
      </c>
      <c r="B105" s="15" t="s">
        <v>158</v>
      </c>
      <c r="C105" s="20">
        <v>266.95</v>
      </c>
      <c r="D105" s="20">
        <v>665</v>
      </c>
      <c r="E105" s="20" t="s">
        <v>18</v>
      </c>
      <c r="F105" s="20" t="s">
        <v>78</v>
      </c>
    </row>
    <row r="106">
      <c r="A106" s="7">
        <v>37133</v>
      </c>
      <c r="B106" s="15" t="s">
        <v>159</v>
      </c>
      <c r="C106" s="20">
        <v>-60</v>
      </c>
      <c r="D106" s="20">
        <v>665</v>
      </c>
      <c r="E106" s="20" t="s">
        <v>18</v>
      </c>
      <c r="F106" s="20" t="s">
        <v>78</v>
      </c>
    </row>
    <row r="107">
      <c r="A107" s="7">
        <v>37134</v>
      </c>
      <c r="B107" s="15" t="s">
        <v>160</v>
      </c>
      <c r="C107" s="20">
        <v>400</v>
      </c>
      <c r="D107" s="20">
        <v>561</v>
      </c>
      <c r="E107" s="20" t="s">
        <v>18</v>
      </c>
      <c r="F107" s="20" t="s">
        <v>48</v>
      </c>
    </row>
    <row r="108">
      <c r="A108" s="7">
        <v>37134</v>
      </c>
      <c r="B108" s="15" t="s">
        <v>106</v>
      </c>
      <c r="C108" s="20">
        <v>0.27</v>
      </c>
      <c r="D108" s="20">
        <v>502</v>
      </c>
      <c r="E108" s="20" t="s">
        <v>18</v>
      </c>
      <c r="F108" s="20" t="s">
        <v>40</v>
      </c>
    </row>
    <row r="109">
      <c r="A109" s="7">
        <v>37134</v>
      </c>
      <c r="B109" s="15" t="s">
        <v>111</v>
      </c>
      <c r="C109" s="20">
        <v>-6.4</v>
      </c>
      <c r="D109" s="20">
        <v>602</v>
      </c>
      <c r="E109" s="20" t="s">
        <v>18</v>
      </c>
      <c r="F109" s="20" t="s">
        <v>63</v>
      </c>
    </row>
    <row r="110">
      <c r="A110" s="7">
        <v>37145</v>
      </c>
      <c r="B110" s="15" t="s">
        <v>161</v>
      </c>
      <c r="C110" s="20">
        <v>50</v>
      </c>
      <c r="D110" s="20">
        <v>583</v>
      </c>
      <c r="E110" s="20" t="s">
        <v>18</v>
      </c>
      <c r="F110" s="20" t="s">
        <v>52</v>
      </c>
    </row>
    <row r="111">
      <c r="A111" s="7">
        <v>37151</v>
      </c>
      <c r="B111" s="15" t="s">
        <v>162</v>
      </c>
      <c r="C111" s="20">
        <v>-550</v>
      </c>
      <c r="D111" s="20">
        <v>683</v>
      </c>
      <c r="E111" s="20" t="s">
        <v>18</v>
      </c>
      <c r="F111" s="20" t="s">
        <v>81</v>
      </c>
    </row>
    <row r="112">
      <c r="A112" s="7">
        <v>37151</v>
      </c>
      <c r="B112" s="15" t="s">
        <v>163</v>
      </c>
      <c r="C112" s="20">
        <v>-100</v>
      </c>
      <c r="D112" s="20">
        <v>685</v>
      </c>
      <c r="E112" s="20" t="s">
        <v>18</v>
      </c>
      <c r="F112" s="20" t="s">
        <v>83</v>
      </c>
    </row>
    <row r="113">
      <c r="A113" s="7">
        <v>37149</v>
      </c>
      <c r="B113" s="15" t="s">
        <v>104</v>
      </c>
      <c r="C113" s="20">
        <v>-7.5</v>
      </c>
      <c r="D113" s="20">
        <v>602</v>
      </c>
      <c r="E113" s="20" t="s">
        <v>18</v>
      </c>
      <c r="F113" s="20" t="s">
        <v>63</v>
      </c>
    </row>
    <row r="114">
      <c r="A114" s="7">
        <v>37155</v>
      </c>
      <c r="B114" s="15" t="s">
        <v>164</v>
      </c>
      <c r="C114" s="20">
        <v>2500</v>
      </c>
      <c r="D114" s="20">
        <v>505</v>
      </c>
      <c r="E114" s="20" t="s">
        <v>18</v>
      </c>
      <c r="F114" s="20" t="s">
        <v>43</v>
      </c>
    </row>
    <row r="115">
      <c r="A115" s="7">
        <v>37160</v>
      </c>
      <c r="B115" s="15" t="s">
        <v>165</v>
      </c>
      <c r="C115" s="20">
        <v>202.8</v>
      </c>
      <c r="D115" s="20">
        <v>585</v>
      </c>
      <c r="E115" s="20" t="s">
        <v>18</v>
      </c>
      <c r="F115" s="20" t="s">
        <v>54</v>
      </c>
    </row>
    <row r="116">
      <c r="A116" s="7">
        <v>37161</v>
      </c>
      <c r="B116" s="15" t="s">
        <v>166</v>
      </c>
      <c r="C116" s="20">
        <v>-2</v>
      </c>
      <c r="D116" s="20">
        <v>602</v>
      </c>
      <c r="E116" s="20" t="s">
        <v>18</v>
      </c>
      <c r="F116" s="20" t="s">
        <v>63</v>
      </c>
    </row>
    <row r="117">
      <c r="A117" s="7">
        <v>37162</v>
      </c>
      <c r="B117" s="15" t="s">
        <v>167</v>
      </c>
      <c r="C117" s="20">
        <v>-2724</v>
      </c>
      <c r="D117" s="20">
        <v>665</v>
      </c>
      <c r="E117" s="20" t="s">
        <v>18</v>
      </c>
      <c r="F117" s="20" t="s">
        <v>78</v>
      </c>
    </row>
    <row r="118">
      <c r="A118" s="7">
        <v>37164</v>
      </c>
      <c r="B118" s="15" t="s">
        <v>106</v>
      </c>
      <c r="C118" s="20">
        <v>0.25</v>
      </c>
      <c r="D118" s="20">
        <v>502</v>
      </c>
      <c r="E118" s="20" t="s">
        <v>18</v>
      </c>
      <c r="F118" s="20" t="s">
        <v>40</v>
      </c>
    </row>
    <row r="119">
      <c r="A119" s="7">
        <v>37165</v>
      </c>
      <c r="B119" s="15" t="s">
        <v>168</v>
      </c>
      <c r="C119" s="20">
        <v>-1716</v>
      </c>
      <c r="D119" s="20">
        <v>665</v>
      </c>
      <c r="E119" s="20" t="s">
        <v>18</v>
      </c>
      <c r="F119" s="20" t="s">
        <v>78</v>
      </c>
    </row>
    <row r="120">
      <c r="A120" s="7">
        <v>37165</v>
      </c>
      <c r="B120" s="15" t="s">
        <v>111</v>
      </c>
      <c r="C120" s="20">
        <v>-3</v>
      </c>
      <c r="D120" s="20">
        <v>602</v>
      </c>
      <c r="E120" s="20" t="s">
        <v>18</v>
      </c>
      <c r="F120" s="20" t="s">
        <v>63</v>
      </c>
    </row>
    <row r="121">
      <c r="A121" s="7">
        <v>37168</v>
      </c>
      <c r="B121" s="15" t="s">
        <v>169</v>
      </c>
      <c r="C121" s="20">
        <v>-110</v>
      </c>
      <c r="D121" s="20">
        <v>685</v>
      </c>
      <c r="E121" s="20" t="s">
        <v>18</v>
      </c>
      <c r="F121" s="20" t="s">
        <v>83</v>
      </c>
    </row>
    <row r="122">
      <c r="A122" s="7">
        <v>37179</v>
      </c>
      <c r="B122" s="15" t="s">
        <v>170</v>
      </c>
      <c r="C122" s="20">
        <v>-11</v>
      </c>
      <c r="D122" s="20">
        <v>606</v>
      </c>
      <c r="E122" s="20" t="s">
        <v>18</v>
      </c>
      <c r="F122" s="20" t="s">
        <v>67</v>
      </c>
    </row>
    <row r="123">
      <c r="A123" s="7">
        <v>37179</v>
      </c>
      <c r="B123" s="15" t="s">
        <v>171</v>
      </c>
      <c r="C123" s="20">
        <v>150</v>
      </c>
      <c r="D123" s="20">
        <v>588</v>
      </c>
      <c r="E123" s="20" t="s">
        <v>18</v>
      </c>
      <c r="F123" s="20" t="s">
        <v>56</v>
      </c>
    </row>
    <row r="124">
      <c r="A124" s="7">
        <v>37179</v>
      </c>
      <c r="B124" s="15" t="s">
        <v>172</v>
      </c>
      <c r="C124" s="20">
        <v>650</v>
      </c>
      <c r="D124" s="20">
        <v>501</v>
      </c>
      <c r="E124" s="20" t="s">
        <v>18</v>
      </c>
      <c r="F124" s="20" t="s">
        <v>38</v>
      </c>
    </row>
    <row r="125">
      <c r="A125" s="7">
        <v>37187</v>
      </c>
      <c r="B125" s="15" t="s">
        <v>173</v>
      </c>
      <c r="C125" s="20">
        <v>-150</v>
      </c>
      <c r="D125" s="20">
        <v>103</v>
      </c>
      <c r="E125" s="20" t="s">
        <v>18</v>
      </c>
      <c r="F125" s="20" t="s">
        <v>19</v>
      </c>
    </row>
    <row r="126">
      <c r="A126" s="7">
        <v>37187</v>
      </c>
      <c r="B126" s="15" t="s">
        <v>174</v>
      </c>
      <c r="C126" s="20">
        <v>205.8</v>
      </c>
      <c r="D126" s="20">
        <v>585</v>
      </c>
      <c r="E126" s="20" t="s">
        <v>18</v>
      </c>
      <c r="F126" s="20" t="s">
        <v>54</v>
      </c>
    </row>
    <row r="127">
      <c r="A127" s="7">
        <v>37187</v>
      </c>
      <c r="B127" s="15" t="s">
        <v>175</v>
      </c>
      <c r="C127" s="20">
        <v>100</v>
      </c>
      <c r="D127" s="20">
        <v>585</v>
      </c>
      <c r="E127" s="20" t="s">
        <v>18</v>
      </c>
      <c r="F127" s="20" t="s">
        <v>54</v>
      </c>
    </row>
    <row r="128">
      <c r="A128" s="7">
        <v>37189</v>
      </c>
      <c r="B128" s="15" t="s">
        <v>176</v>
      </c>
      <c r="C128" s="20">
        <v>1852</v>
      </c>
      <c r="D128" s="20">
        <v>505</v>
      </c>
      <c r="E128" s="20" t="s">
        <v>18</v>
      </c>
      <c r="F128" s="20" t="s">
        <v>43</v>
      </c>
    </row>
    <row r="129">
      <c r="A129" s="7">
        <v>37189</v>
      </c>
      <c r="B129" s="15" t="s">
        <v>177</v>
      </c>
      <c r="C129" s="20">
        <v>-50</v>
      </c>
      <c r="D129" s="20">
        <v>604</v>
      </c>
      <c r="E129" s="20" t="s">
        <v>18</v>
      </c>
      <c r="F129" s="20" t="s">
        <v>65</v>
      </c>
    </row>
    <row r="130">
      <c r="A130" s="7">
        <v>37193</v>
      </c>
      <c r="B130" s="15" t="s">
        <v>178</v>
      </c>
      <c r="C130" s="20">
        <v>-1923.14</v>
      </c>
      <c r="D130" s="20">
        <v>688</v>
      </c>
      <c r="E130" s="20" t="s">
        <v>18</v>
      </c>
      <c r="F130" s="20" t="s">
        <v>85</v>
      </c>
    </row>
    <row r="131">
      <c r="A131" s="7">
        <v>37195</v>
      </c>
      <c r="B131" s="15" t="s">
        <v>106</v>
      </c>
      <c r="C131" s="20">
        <v>0.08</v>
      </c>
      <c r="D131" s="20">
        <v>502</v>
      </c>
      <c r="E131" s="20" t="s">
        <v>18</v>
      </c>
      <c r="F131" s="20" t="s">
        <v>40</v>
      </c>
    </row>
    <row r="132">
      <c r="A132" s="7">
        <v>37195</v>
      </c>
      <c r="B132" s="15" t="s">
        <v>111</v>
      </c>
      <c r="C132" s="20">
        <v>-3.3</v>
      </c>
      <c r="D132" s="20">
        <v>602</v>
      </c>
      <c r="E132" s="20" t="s">
        <v>18</v>
      </c>
      <c r="F132" s="20" t="s">
        <v>63</v>
      </c>
    </row>
    <row r="133">
      <c r="A133" s="7">
        <v>37200</v>
      </c>
      <c r="B133" s="15" t="s">
        <v>179</v>
      </c>
      <c r="C133" s="20">
        <v>-50</v>
      </c>
      <c r="D133" s="20">
        <v>604</v>
      </c>
      <c r="E133" s="20" t="s">
        <v>18</v>
      </c>
      <c r="F133" s="20" t="s">
        <v>65</v>
      </c>
    </row>
    <row r="134">
      <c r="A134" s="7">
        <v>37200</v>
      </c>
      <c r="B134" s="15" t="s">
        <v>180</v>
      </c>
      <c r="C134" s="20">
        <v>200</v>
      </c>
      <c r="D134" s="20">
        <v>501</v>
      </c>
      <c r="E134" s="20" t="s">
        <v>18</v>
      </c>
      <c r="F134" s="20" t="s">
        <v>38</v>
      </c>
    </row>
    <row r="135">
      <c r="A135" s="7">
        <v>37204</v>
      </c>
      <c r="B135" s="15" t="s">
        <v>181</v>
      </c>
      <c r="C135" s="20">
        <v>-100</v>
      </c>
      <c r="D135" s="20">
        <v>604</v>
      </c>
      <c r="E135" s="20" t="s">
        <v>18</v>
      </c>
      <c r="F135" s="20" t="s">
        <v>65</v>
      </c>
    </row>
    <row r="136">
      <c r="A136" s="7">
        <v>37214</v>
      </c>
      <c r="B136" s="15" t="s">
        <v>182</v>
      </c>
      <c r="C136" s="20">
        <v>-18</v>
      </c>
      <c r="D136" s="20">
        <v>604</v>
      </c>
      <c r="E136" s="20" t="s">
        <v>18</v>
      </c>
      <c r="F136" s="20" t="s">
        <v>65</v>
      </c>
    </row>
    <row r="137">
      <c r="A137" s="7">
        <v>37225</v>
      </c>
      <c r="B137" s="15" t="s">
        <v>106</v>
      </c>
      <c r="C137" s="20">
        <v>0.09</v>
      </c>
      <c r="D137" s="20">
        <v>502</v>
      </c>
      <c r="E137" s="20" t="s">
        <v>18</v>
      </c>
      <c r="F137" s="20" t="s">
        <v>40</v>
      </c>
    </row>
    <row r="138">
      <c r="A138" s="7">
        <v>37225</v>
      </c>
      <c r="B138" s="15" t="s">
        <v>111</v>
      </c>
      <c r="C138" s="20">
        <v>-0.6</v>
      </c>
      <c r="D138" s="20">
        <v>602</v>
      </c>
      <c r="E138" s="20" t="s">
        <v>18</v>
      </c>
      <c r="F138" s="20" t="s">
        <v>63</v>
      </c>
    </row>
    <row r="139">
      <c r="A139" s="7">
        <v>37256</v>
      </c>
      <c r="B139" s="15" t="s">
        <v>106</v>
      </c>
      <c r="C139" s="20">
        <v>0.07</v>
      </c>
      <c r="D139" s="20">
        <v>502</v>
      </c>
      <c r="E139" s="20" t="s">
        <v>18</v>
      </c>
      <c r="F139" s="20" t="s">
        <v>40</v>
      </c>
    </row>
    <row r="140">
      <c r="A140" s="7">
        <v>37259</v>
      </c>
      <c r="B140" s="15" t="s">
        <v>183</v>
      </c>
      <c r="C140" s="20">
        <v>-250</v>
      </c>
      <c r="D140" s="20">
        <v>605</v>
      </c>
      <c r="E140" s="20" t="s">
        <v>18</v>
      </c>
      <c r="F140" s="20" t="s">
        <v>66</v>
      </c>
    </row>
    <row r="141">
      <c r="A141" s="7">
        <v>37287</v>
      </c>
      <c r="B141" s="15" t="s">
        <v>106</v>
      </c>
      <c r="C141" s="20">
        <v>0.03</v>
      </c>
      <c r="D141" s="20">
        <v>502</v>
      </c>
      <c r="E141" s="20" t="s">
        <v>18</v>
      </c>
      <c r="F141" s="20" t="s">
        <v>40</v>
      </c>
    </row>
    <row r="142">
      <c r="A142" s="7">
        <v>37287</v>
      </c>
      <c r="B142" s="15" t="s">
        <v>111</v>
      </c>
      <c r="C142" s="20">
        <v>-0.7</v>
      </c>
      <c r="D142" s="20">
        <v>602</v>
      </c>
      <c r="E142" s="20" t="s">
        <v>18</v>
      </c>
      <c r="F142" s="20" t="s">
        <v>63</v>
      </c>
    </row>
    <row r="143">
      <c r="A143" s="7">
        <v>37315</v>
      </c>
      <c r="B143" s="15" t="s">
        <v>106</v>
      </c>
      <c r="C143" s="20">
        <v>0.03</v>
      </c>
      <c r="D143" s="20">
        <v>502</v>
      </c>
      <c r="E143" s="20" t="s">
        <v>18</v>
      </c>
      <c r="F143" s="20" t="s">
        <v>40</v>
      </c>
    </row>
    <row r="144">
      <c r="A144" s="7">
        <v>37330</v>
      </c>
      <c r="B144" s="15" t="s">
        <v>103</v>
      </c>
      <c r="C144" s="20">
        <v>168</v>
      </c>
      <c r="D144" s="20">
        <v>503</v>
      </c>
      <c r="E144" s="20" t="s">
        <v>18</v>
      </c>
      <c r="F144" s="20" t="s">
        <v>41</v>
      </c>
    </row>
    <row r="145">
      <c r="A145" s="7">
        <v>37330</v>
      </c>
      <c r="B145" s="15" t="s">
        <v>103</v>
      </c>
      <c r="C145" s="20">
        <v>1236</v>
      </c>
      <c r="D145" s="20">
        <v>505</v>
      </c>
      <c r="E145" s="20" t="s">
        <v>18</v>
      </c>
      <c r="F145" s="20" t="s">
        <v>43</v>
      </c>
    </row>
    <row r="146">
      <c r="A146" s="7">
        <v>37335</v>
      </c>
      <c r="B146" s="15" t="s">
        <v>184</v>
      </c>
      <c r="C146" s="20">
        <v>-198</v>
      </c>
      <c r="D146" s="20">
        <v>608</v>
      </c>
      <c r="E146" s="20" t="s">
        <v>18</v>
      </c>
      <c r="F146" s="20" t="s">
        <v>69</v>
      </c>
    </row>
    <row r="147">
      <c r="A147" s="7">
        <v>37346</v>
      </c>
      <c r="B147" s="15" t="s">
        <v>106</v>
      </c>
      <c r="C147" s="20">
        <v>0.06</v>
      </c>
      <c r="D147" s="20">
        <v>502</v>
      </c>
      <c r="E147" s="20" t="s">
        <v>18</v>
      </c>
      <c r="F147" s="20" t="s">
        <v>40</v>
      </c>
    </row>
    <row r="148">
      <c r="A148" s="7">
        <v>37346</v>
      </c>
      <c r="B148" s="15" t="s">
        <v>111</v>
      </c>
      <c r="C148" s="20">
        <v>-0.7</v>
      </c>
      <c r="D148" s="20">
        <v>602</v>
      </c>
      <c r="E148" s="20" t="s">
        <v>18</v>
      </c>
      <c r="F148" s="20" t="s">
        <v>63</v>
      </c>
    </row>
    <row r="149">
      <c r="A149" s="7">
        <v>37355</v>
      </c>
      <c r="B149" s="15" t="s">
        <v>185</v>
      </c>
      <c r="C149" s="20">
        <v>30</v>
      </c>
      <c r="D149" s="20">
        <v>588</v>
      </c>
      <c r="E149" s="20" t="s">
        <v>18</v>
      </c>
      <c r="F149" s="20" t="s">
        <v>56</v>
      </c>
    </row>
    <row r="150">
      <c r="A150" s="7">
        <v>37356</v>
      </c>
      <c r="B150" s="15" t="s">
        <v>141</v>
      </c>
      <c r="C150" s="20">
        <v>350</v>
      </c>
      <c r="D150" s="20">
        <v>561</v>
      </c>
      <c r="E150" s="20" t="s">
        <v>18</v>
      </c>
      <c r="F150" s="20" t="s">
        <v>48</v>
      </c>
    </row>
    <row r="151">
      <c r="A151" s="7">
        <v>37356</v>
      </c>
      <c r="B151" s="15" t="s">
        <v>186</v>
      </c>
      <c r="C151" s="20">
        <v>535</v>
      </c>
      <c r="D151" s="20">
        <v>561</v>
      </c>
      <c r="E151" s="20" t="s">
        <v>18</v>
      </c>
      <c r="F151" s="20" t="s">
        <v>48</v>
      </c>
    </row>
    <row r="152">
      <c r="A152" s="7">
        <v>37356</v>
      </c>
      <c r="B152" s="15" t="s">
        <v>187</v>
      </c>
      <c r="C152" s="20">
        <v>-30</v>
      </c>
      <c r="D152" s="20">
        <v>103</v>
      </c>
      <c r="E152" s="20" t="s">
        <v>18</v>
      </c>
      <c r="F152" s="20" t="s">
        <v>19</v>
      </c>
    </row>
    <row r="153">
      <c r="A153" s="7">
        <v>37358</v>
      </c>
      <c r="B153" s="15" t="s">
        <v>188</v>
      </c>
      <c r="C153" s="20">
        <v>1548</v>
      </c>
      <c r="D153" s="20">
        <v>561</v>
      </c>
      <c r="E153" s="20" t="s">
        <v>18</v>
      </c>
      <c r="F153" s="20" t="s">
        <v>48</v>
      </c>
    </row>
    <row r="154">
      <c r="A154" s="7">
        <v>37358</v>
      </c>
      <c r="B154" s="15" t="s">
        <v>189</v>
      </c>
      <c r="C154" s="20">
        <v>120</v>
      </c>
      <c r="D154" s="20">
        <v>561</v>
      </c>
      <c r="E154" s="20" t="s">
        <v>18</v>
      </c>
      <c r="F154" s="20" t="s">
        <v>48</v>
      </c>
    </row>
    <row r="155">
      <c r="A155" s="7">
        <v>37361</v>
      </c>
      <c r="B155" s="15" t="s">
        <v>190</v>
      </c>
      <c r="C155" s="20">
        <v>-200</v>
      </c>
      <c r="D155" s="20">
        <v>665</v>
      </c>
      <c r="E155" s="20" t="s">
        <v>18</v>
      </c>
      <c r="F155" s="20" t="s">
        <v>78</v>
      </c>
    </row>
    <row r="156">
      <c r="A156" s="7">
        <v>37362</v>
      </c>
      <c r="B156" s="15" t="s">
        <v>191</v>
      </c>
      <c r="C156" s="20">
        <v>-1705</v>
      </c>
      <c r="D156" s="20">
        <v>662</v>
      </c>
      <c r="E156" s="20" t="s">
        <v>18</v>
      </c>
      <c r="F156" s="20" t="s">
        <v>75</v>
      </c>
    </row>
    <row r="157">
      <c r="A157" s="7">
        <v>37363</v>
      </c>
      <c r="B157" s="15" t="s">
        <v>192</v>
      </c>
      <c r="C157" s="20">
        <v>-50</v>
      </c>
      <c r="D157" s="20">
        <v>604</v>
      </c>
      <c r="E157" s="20" t="s">
        <v>18</v>
      </c>
      <c r="F157" s="20" t="s">
        <v>65</v>
      </c>
    </row>
    <row r="158">
      <c r="A158" s="7">
        <v>37368</v>
      </c>
      <c r="B158" s="15" t="s">
        <v>193</v>
      </c>
      <c r="C158" s="20">
        <v>-291.5</v>
      </c>
      <c r="D158" s="20">
        <v>607</v>
      </c>
      <c r="E158" s="20" t="s">
        <v>18</v>
      </c>
      <c r="F158" s="20" t="s">
        <v>68</v>
      </c>
    </row>
    <row r="159">
      <c r="A159" s="7">
        <v>37376</v>
      </c>
      <c r="B159" s="15" t="s">
        <v>194</v>
      </c>
      <c r="C159" s="20">
        <v>-121.42</v>
      </c>
      <c r="D159" s="20">
        <v>607</v>
      </c>
      <c r="E159" s="20" t="s">
        <v>18</v>
      </c>
      <c r="F159" s="20" t="s">
        <v>68</v>
      </c>
    </row>
    <row r="160">
      <c r="A160" s="7">
        <v>37376</v>
      </c>
      <c r="B160" s="15" t="s">
        <v>106</v>
      </c>
      <c r="C160" s="20">
        <v>0.11</v>
      </c>
      <c r="D160" s="20">
        <v>502</v>
      </c>
      <c r="E160" s="20" t="s">
        <v>18</v>
      </c>
      <c r="F160" s="20" t="s">
        <v>40</v>
      </c>
    </row>
    <row r="161">
      <c r="A161" s="7">
        <v>37376</v>
      </c>
      <c r="B161" s="15" t="s">
        <v>111</v>
      </c>
      <c r="C161" s="20">
        <v>-3.6</v>
      </c>
      <c r="D161" s="20">
        <v>602</v>
      </c>
      <c r="E161" s="20" t="s">
        <v>18</v>
      </c>
      <c r="F161" s="20" t="s">
        <v>63</v>
      </c>
    </row>
    <row r="162">
      <c r="A162" s="7">
        <v>37406</v>
      </c>
      <c r="B162" s="15" t="s">
        <v>195</v>
      </c>
      <c r="C162" s="20">
        <v>-7.5</v>
      </c>
      <c r="D162" s="20">
        <v>606</v>
      </c>
      <c r="E162" s="20" t="s">
        <v>18</v>
      </c>
      <c r="F162" s="20" t="s">
        <v>67</v>
      </c>
    </row>
    <row r="163">
      <c r="A163" s="7">
        <v>37407</v>
      </c>
      <c r="B163" s="15" t="s">
        <v>196</v>
      </c>
      <c r="C163" s="20">
        <v>300</v>
      </c>
      <c r="D163" s="20">
        <v>501</v>
      </c>
      <c r="E163" s="20" t="s">
        <v>18</v>
      </c>
      <c r="F163" s="20" t="s">
        <v>38</v>
      </c>
    </row>
    <row r="164">
      <c r="A164" s="7">
        <v>37407</v>
      </c>
      <c r="B164" s="15" t="s">
        <v>106</v>
      </c>
      <c r="C164" s="20">
        <v>0.09</v>
      </c>
      <c r="D164" s="20">
        <v>502</v>
      </c>
      <c r="E164" s="20" t="s">
        <v>18</v>
      </c>
      <c r="F164" s="20" t="s">
        <v>40</v>
      </c>
    </row>
    <row r="165">
      <c r="A165" s="7">
        <v>37407</v>
      </c>
      <c r="B165" s="15" t="s">
        <v>111</v>
      </c>
      <c r="C165" s="20">
        <v>-0.3</v>
      </c>
      <c r="D165" s="20">
        <v>602</v>
      </c>
      <c r="E165" s="20" t="s">
        <v>18</v>
      </c>
      <c r="F165" s="20" t="s">
        <v>63</v>
      </c>
    </row>
    <row r="166">
      <c r="A166" s="7">
        <v>37419</v>
      </c>
      <c r="B166" s="15" t="s">
        <v>164</v>
      </c>
      <c r="C166" s="20">
        <v>1500</v>
      </c>
      <c r="D166" s="20">
        <v>505</v>
      </c>
      <c r="E166" s="20" t="s">
        <v>18</v>
      </c>
      <c r="F166" s="20" t="s">
        <v>43</v>
      </c>
    </row>
    <row r="167">
      <c r="A167" s="7">
        <v>37419</v>
      </c>
      <c r="B167" s="15" t="s">
        <v>197</v>
      </c>
      <c r="C167" s="20">
        <v>1523</v>
      </c>
      <c r="D167" s="20">
        <v>103</v>
      </c>
      <c r="E167" s="20" t="s">
        <v>18</v>
      </c>
      <c r="F167" s="20" t="s">
        <v>19</v>
      </c>
    </row>
    <row r="168">
      <c r="A168" s="7">
        <v>37425</v>
      </c>
      <c r="B168" s="15" t="s">
        <v>198</v>
      </c>
      <c r="C168" s="20">
        <v>-300</v>
      </c>
      <c r="D168" s="20">
        <v>607</v>
      </c>
      <c r="E168" s="20" t="s">
        <v>18</v>
      </c>
      <c r="F168" s="20" t="s">
        <v>68</v>
      </c>
    </row>
    <row r="169">
      <c r="A169" s="7">
        <v>37425</v>
      </c>
      <c r="B169" s="15" t="s">
        <v>199</v>
      </c>
      <c r="C169" s="20">
        <v>-65</v>
      </c>
      <c r="D169" s="20">
        <v>604</v>
      </c>
      <c r="E169" s="20" t="s">
        <v>18</v>
      </c>
      <c r="F169" s="20" t="s">
        <v>65</v>
      </c>
    </row>
    <row r="170">
      <c r="A170" s="7">
        <v>37426</v>
      </c>
      <c r="B170" s="15" t="s">
        <v>200</v>
      </c>
      <c r="C170" s="20">
        <v>-1522.4</v>
      </c>
      <c r="D170" s="20">
        <v>607</v>
      </c>
      <c r="E170" s="20" t="s">
        <v>18</v>
      </c>
      <c r="F170" s="20" t="s">
        <v>68</v>
      </c>
    </row>
    <row r="171">
      <c r="A171" s="7">
        <v>37428</v>
      </c>
      <c r="B171" s="15" t="s">
        <v>201</v>
      </c>
      <c r="C171" s="20">
        <v>-352</v>
      </c>
      <c r="D171" s="20">
        <v>607</v>
      </c>
      <c r="E171" s="20" t="s">
        <v>18</v>
      </c>
      <c r="F171" s="20" t="s">
        <v>68</v>
      </c>
    </row>
    <row r="172">
      <c r="A172" s="7">
        <v>37435</v>
      </c>
      <c r="B172" s="15" t="s">
        <v>199</v>
      </c>
      <c r="C172" s="20">
        <v>-500</v>
      </c>
      <c r="D172" s="20">
        <v>607</v>
      </c>
      <c r="E172" s="20" t="s">
        <v>18</v>
      </c>
      <c r="F172" s="20" t="s">
        <v>68</v>
      </c>
    </row>
    <row r="173">
      <c r="A173" s="7">
        <v>37437</v>
      </c>
      <c r="B173" s="15" t="s">
        <v>106</v>
      </c>
      <c r="C173" s="20">
        <v>0.14</v>
      </c>
      <c r="D173" s="20">
        <v>502</v>
      </c>
      <c r="E173" s="20" t="s">
        <v>18</v>
      </c>
      <c r="F173" s="20" t="s">
        <v>40</v>
      </c>
    </row>
    <row r="174">
      <c r="A174" s="7">
        <v>37437</v>
      </c>
      <c r="B174" s="15" t="s">
        <v>111</v>
      </c>
      <c r="C174" s="20">
        <v>-2.9</v>
      </c>
      <c r="D174" s="20">
        <v>602</v>
      </c>
      <c r="E174" s="20" t="s">
        <v>18</v>
      </c>
      <c r="F174" s="20" t="s">
        <v>63</v>
      </c>
    </row>
    <row r="175">
      <c r="A175" s="7">
        <v>37439</v>
      </c>
      <c r="B175" s="15" t="s">
        <v>202</v>
      </c>
      <c r="C175" s="20">
        <v>-200</v>
      </c>
      <c r="D175" s="20">
        <v>607</v>
      </c>
      <c r="E175" s="20" t="s">
        <v>18</v>
      </c>
      <c r="F175" s="20" t="s">
        <v>68</v>
      </c>
    </row>
    <row r="176">
      <c r="A176" s="7">
        <v>37463</v>
      </c>
      <c r="B176" s="15" t="s">
        <v>203</v>
      </c>
      <c r="C176" s="20">
        <v>-33.98</v>
      </c>
      <c r="D176" s="20">
        <v>604</v>
      </c>
      <c r="E176" s="20" t="s">
        <v>18</v>
      </c>
      <c r="F176" s="20" t="s">
        <v>65</v>
      </c>
    </row>
    <row r="177">
      <c r="A177" s="7">
        <v>37468</v>
      </c>
      <c r="B177" s="15" t="s">
        <v>106</v>
      </c>
      <c r="C177" s="20">
        <v>0.11</v>
      </c>
      <c r="D177" s="20">
        <v>502</v>
      </c>
      <c r="E177" s="20" t="s">
        <v>18</v>
      </c>
      <c r="F177" s="20" t="s">
        <v>40</v>
      </c>
    </row>
    <row r="178">
      <c r="A178" s="7">
        <v>37468</v>
      </c>
      <c r="B178" s="15" t="s">
        <v>111</v>
      </c>
      <c r="C178" s="20">
        <v>-0.3</v>
      </c>
      <c r="D178" s="20">
        <v>602</v>
      </c>
      <c r="E178" s="20" t="s">
        <v>18</v>
      </c>
      <c r="F178" s="20" t="s">
        <v>63</v>
      </c>
    </row>
    <row r="179">
      <c r="A179" s="7">
        <v>37499</v>
      </c>
      <c r="B179" s="15" t="s">
        <v>106</v>
      </c>
      <c r="C179" s="20">
        <v>0.11</v>
      </c>
      <c r="D179" s="20">
        <v>502</v>
      </c>
      <c r="E179" s="20" t="s">
        <v>18</v>
      </c>
      <c r="F179" s="20" t="s">
        <v>40</v>
      </c>
    </row>
    <row r="180">
      <c r="A180" s="7">
        <v>37512</v>
      </c>
      <c r="B180" s="15" t="s">
        <v>158</v>
      </c>
      <c r="C180" s="20">
        <v>11000</v>
      </c>
      <c r="D180" s="20">
        <v>561</v>
      </c>
      <c r="E180" s="20" t="s">
        <v>18</v>
      </c>
      <c r="F180" s="20" t="s">
        <v>48</v>
      </c>
    </row>
    <row r="181">
      <c r="A181" s="7">
        <v>37512</v>
      </c>
      <c r="B181" s="15" t="s">
        <v>204</v>
      </c>
      <c r="C181" s="20">
        <v>1185</v>
      </c>
      <c r="D181" s="20">
        <v>561</v>
      </c>
      <c r="E181" s="20" t="s">
        <v>18</v>
      </c>
      <c r="F181" s="20" t="s">
        <v>48</v>
      </c>
    </row>
    <row r="182">
      <c r="A182" s="7">
        <v>37512</v>
      </c>
      <c r="B182" s="15" t="s">
        <v>205</v>
      </c>
      <c r="C182" s="20">
        <v>-11000</v>
      </c>
      <c r="D182" s="20">
        <v>561</v>
      </c>
      <c r="E182" s="20" t="s">
        <v>18</v>
      </c>
      <c r="F182" s="20" t="s">
        <v>48</v>
      </c>
    </row>
    <row r="183">
      <c r="A183" s="7">
        <v>37512</v>
      </c>
      <c r="B183" s="15" t="s">
        <v>158</v>
      </c>
      <c r="C183" s="20">
        <v>10100</v>
      </c>
      <c r="D183" s="20">
        <v>561</v>
      </c>
      <c r="E183" s="20" t="s">
        <v>18</v>
      </c>
      <c r="F183" s="20" t="s">
        <v>48</v>
      </c>
    </row>
    <row r="184">
      <c r="A184" s="7">
        <v>37518</v>
      </c>
      <c r="B184" s="15" t="s">
        <v>206</v>
      </c>
      <c r="C184" s="20">
        <v>-330</v>
      </c>
      <c r="D184" s="20">
        <v>665</v>
      </c>
      <c r="E184" s="20" t="s">
        <v>18</v>
      </c>
      <c r="F184" s="20" t="s">
        <v>78</v>
      </c>
    </row>
    <row r="185">
      <c r="A185" s="7">
        <v>37518</v>
      </c>
      <c r="B185" s="15" t="s">
        <v>207</v>
      </c>
      <c r="C185" s="20">
        <v>328.3</v>
      </c>
      <c r="D185" s="20">
        <v>561</v>
      </c>
      <c r="E185" s="20" t="s">
        <v>18</v>
      </c>
      <c r="F185" s="20" t="s">
        <v>48</v>
      </c>
    </row>
    <row r="186">
      <c r="A186" s="7">
        <v>37519</v>
      </c>
      <c r="B186" s="15" t="s">
        <v>208</v>
      </c>
      <c r="C186" s="20">
        <v>-11274.15</v>
      </c>
      <c r="D186" s="20">
        <v>661</v>
      </c>
      <c r="E186" s="20" t="s">
        <v>18</v>
      </c>
      <c r="F186" s="20" t="s">
        <v>74</v>
      </c>
    </row>
    <row r="187">
      <c r="A187" s="7">
        <v>37529</v>
      </c>
      <c r="B187" s="15" t="s">
        <v>106</v>
      </c>
      <c r="C187" s="20">
        <v>0.21</v>
      </c>
      <c r="D187" s="20">
        <v>502</v>
      </c>
      <c r="E187" s="20" t="s">
        <v>18</v>
      </c>
      <c r="F187" s="20" t="s">
        <v>40</v>
      </c>
    </row>
    <row r="188">
      <c r="A188" s="7">
        <v>37529</v>
      </c>
      <c r="B188" s="15" t="s">
        <v>111</v>
      </c>
      <c r="C188" s="20">
        <v>-4.7</v>
      </c>
      <c r="D188" s="20">
        <v>602</v>
      </c>
      <c r="E188" s="20" t="s">
        <v>18</v>
      </c>
      <c r="F188" s="20" t="s">
        <v>63</v>
      </c>
    </row>
    <row r="189">
      <c r="A189" s="7">
        <v>37537</v>
      </c>
      <c r="B189" s="15" t="s">
        <v>209</v>
      </c>
      <c r="C189" s="20">
        <v>-1070</v>
      </c>
      <c r="D189" s="20">
        <v>561</v>
      </c>
      <c r="E189" s="20" t="s">
        <v>18</v>
      </c>
      <c r="F189" s="20" t="s">
        <v>48</v>
      </c>
    </row>
    <row r="190" ht="15.0" customHeight="1">
      <c r="A190" s="7">
        <v>37560</v>
      </c>
      <c r="B190" s="15" t="s">
        <v>106</v>
      </c>
      <c r="C190" s="20">
        <v>0.07</v>
      </c>
      <c r="D190" s="20">
        <v>502</v>
      </c>
      <c r="E190" s="20" t="s">
        <v>18</v>
      </c>
      <c r="F190" s="20" t="s">
        <v>40</v>
      </c>
    </row>
    <row r="191">
      <c r="A191" s="7">
        <v>37560</v>
      </c>
      <c r="B191" s="15" t="s">
        <v>111</v>
      </c>
      <c r="C191" s="20">
        <v>-1.5</v>
      </c>
      <c r="D191" s="20">
        <v>602</v>
      </c>
      <c r="E191" s="20" t="s">
        <v>18</v>
      </c>
      <c r="F191" s="20" t="s">
        <v>63</v>
      </c>
    </row>
    <row r="192">
      <c r="A192" s="7">
        <v>37566</v>
      </c>
      <c r="B192" s="15" t="s">
        <v>210</v>
      </c>
      <c r="C192" s="20">
        <v>-500</v>
      </c>
      <c r="D192" s="20">
        <v>688</v>
      </c>
      <c r="E192" s="20" t="s">
        <v>18</v>
      </c>
      <c r="F192" s="20" t="s">
        <v>85</v>
      </c>
    </row>
    <row r="193" ht="15.0" customHeight="1">
      <c r="A193" s="7">
        <v>37567</v>
      </c>
      <c r="B193" s="15" t="s">
        <v>211</v>
      </c>
      <c r="C193" s="20">
        <v>120</v>
      </c>
      <c r="D193" s="20">
        <v>588</v>
      </c>
      <c r="E193" s="20" t="s">
        <v>18</v>
      </c>
      <c r="F193" s="20" t="s">
        <v>56</v>
      </c>
    </row>
    <row r="194" ht="15.0" customHeight="1">
      <c r="A194" s="7">
        <v>37586</v>
      </c>
      <c r="B194" s="15" t="s">
        <v>212</v>
      </c>
      <c r="C194" s="20">
        <v>-85</v>
      </c>
      <c r="D194" s="20">
        <v>608</v>
      </c>
      <c r="E194" s="20" t="s">
        <v>18</v>
      </c>
      <c r="F194" s="20" t="s">
        <v>69</v>
      </c>
    </row>
    <row r="195" ht="15.0" customHeight="1">
      <c r="A195" s="7">
        <v>37590</v>
      </c>
      <c r="B195" s="15" t="s">
        <v>106</v>
      </c>
      <c r="C195" s="20">
        <v>0.05</v>
      </c>
      <c r="D195" s="20">
        <v>502</v>
      </c>
      <c r="E195" s="20" t="s">
        <v>18</v>
      </c>
      <c r="F195" s="20" t="s">
        <v>40</v>
      </c>
    </row>
    <row r="196" ht="15.0" customHeight="1">
      <c r="A196" s="7">
        <v>37590</v>
      </c>
      <c r="B196" s="15" t="s">
        <v>111</v>
      </c>
      <c r="C196" s="20">
        <v>-1.8</v>
      </c>
      <c r="D196" s="20">
        <v>602</v>
      </c>
      <c r="E196" s="20" t="s">
        <v>18</v>
      </c>
      <c r="F196" s="20" t="s">
        <v>63</v>
      </c>
    </row>
    <row r="197" ht="15.0" customHeight="1">
      <c r="A197" s="7">
        <v>37621</v>
      </c>
      <c r="B197" s="15" t="s">
        <v>106</v>
      </c>
      <c r="C197" s="20">
        <v>0.04</v>
      </c>
      <c r="D197" s="20">
        <v>502</v>
      </c>
      <c r="E197" s="20" t="s">
        <v>18</v>
      </c>
      <c r="F197" s="20" t="s">
        <v>40</v>
      </c>
    </row>
    <row r="198" ht="15.0" customHeight="1">
      <c r="A198" s="7">
        <v>37652</v>
      </c>
      <c r="B198" s="15" t="s">
        <v>106</v>
      </c>
      <c r="C198" s="20">
        <v>0.04</v>
      </c>
      <c r="D198" s="20">
        <v>502</v>
      </c>
      <c r="E198" s="20" t="s">
        <v>18</v>
      </c>
      <c r="F198" s="20" t="s">
        <v>40</v>
      </c>
    </row>
    <row r="199" ht="15.0" customHeight="1">
      <c r="A199" s="7">
        <v>37680</v>
      </c>
      <c r="B199" s="15" t="s">
        <v>106</v>
      </c>
      <c r="C199" s="20">
        <v>0.04</v>
      </c>
      <c r="D199" s="20">
        <v>502</v>
      </c>
      <c r="E199" s="20" t="s">
        <v>18</v>
      </c>
      <c r="F199" s="20" t="s">
        <v>40</v>
      </c>
    </row>
    <row r="200" ht="15.0" customHeight="1">
      <c r="A200" s="7">
        <v>37711</v>
      </c>
      <c r="B200" s="15" t="s">
        <v>106</v>
      </c>
      <c r="C200" s="20">
        <v>0.04</v>
      </c>
      <c r="D200" s="20">
        <v>502</v>
      </c>
      <c r="E200" s="20" t="s">
        <v>18</v>
      </c>
      <c r="F200" s="20" t="s">
        <v>40</v>
      </c>
    </row>
    <row r="201" ht="15.0" customHeight="1">
      <c r="A201" s="7">
        <v>37711</v>
      </c>
      <c r="B201" s="15" t="s">
        <v>213</v>
      </c>
      <c r="C201" s="20">
        <v>-2</v>
      </c>
      <c r="D201" s="20">
        <v>602</v>
      </c>
      <c r="E201" s="20" t="s">
        <v>18</v>
      </c>
      <c r="F201" s="20" t="s">
        <v>63</v>
      </c>
    </row>
    <row r="202" ht="15.0" customHeight="1">
      <c r="A202" s="7">
        <v>37741</v>
      </c>
      <c r="B202" s="15" t="s">
        <v>106</v>
      </c>
      <c r="C202" s="20">
        <v>0.04</v>
      </c>
      <c r="D202" s="20">
        <v>502</v>
      </c>
      <c r="E202" s="20" t="s">
        <v>18</v>
      </c>
      <c r="F202" s="20" t="s">
        <v>40</v>
      </c>
    </row>
    <row r="203" ht="15.0" customHeight="1">
      <c r="A203" s="7">
        <v>37772</v>
      </c>
      <c r="B203" s="15" t="s">
        <v>106</v>
      </c>
      <c r="C203" s="20">
        <v>0.04</v>
      </c>
      <c r="D203" s="20">
        <v>502</v>
      </c>
      <c r="E203" s="20" t="s">
        <v>18</v>
      </c>
      <c r="F203" s="20" t="s">
        <v>40</v>
      </c>
    </row>
    <row r="204" ht="15.0" customHeight="1">
      <c r="A204" s="7">
        <v>37802</v>
      </c>
      <c r="B204" s="15" t="s">
        <v>103</v>
      </c>
      <c r="C204" s="20">
        <v>1713.5</v>
      </c>
      <c r="D204" s="20">
        <v>505</v>
      </c>
      <c r="E204" s="20" t="s">
        <v>18</v>
      </c>
      <c r="F204" s="20" t="s">
        <v>43</v>
      </c>
    </row>
    <row r="205">
      <c r="A205" s="7">
        <v>37802</v>
      </c>
      <c r="B205" s="15" t="s">
        <v>106</v>
      </c>
      <c r="C205" s="20">
        <v>0.04</v>
      </c>
      <c r="D205" s="20">
        <v>502</v>
      </c>
      <c r="E205" s="20" t="s">
        <v>18</v>
      </c>
      <c r="F205" s="20" t="s">
        <v>40</v>
      </c>
    </row>
    <row r="206">
      <c r="A206" s="7">
        <v>37805</v>
      </c>
      <c r="B206" s="15" t="s">
        <v>214</v>
      </c>
      <c r="C206" s="20">
        <v>-1200</v>
      </c>
      <c r="D206" s="20">
        <v>607</v>
      </c>
      <c r="E206" s="20" t="s">
        <v>18</v>
      </c>
      <c r="F206" s="20" t="s">
        <v>68</v>
      </c>
    </row>
    <row r="207">
      <c r="A207" s="7">
        <v>37833</v>
      </c>
      <c r="B207" s="15" t="s">
        <v>106</v>
      </c>
      <c r="C207" s="20">
        <v>0.07</v>
      </c>
      <c r="D207" s="20">
        <v>502</v>
      </c>
      <c r="E207" s="20" t="s">
        <v>18</v>
      </c>
      <c r="F207" s="20" t="s">
        <v>40</v>
      </c>
    </row>
    <row r="208">
      <c r="A208" s="7">
        <v>37833</v>
      </c>
      <c r="B208" s="15" t="s">
        <v>111</v>
      </c>
      <c r="C208" s="20">
        <v>-1.5</v>
      </c>
      <c r="D208" s="20">
        <v>602</v>
      </c>
      <c r="E208" s="20" t="s">
        <v>18</v>
      </c>
      <c r="F208" s="20" t="s">
        <v>63</v>
      </c>
    </row>
    <row r="209">
      <c r="A209" s="7">
        <v>37833</v>
      </c>
      <c r="B209" s="15" t="s">
        <v>215</v>
      </c>
      <c r="C209" s="20">
        <v>-4</v>
      </c>
      <c r="D209" s="20">
        <v>602</v>
      </c>
      <c r="E209" s="20" t="s">
        <v>18</v>
      </c>
      <c r="F209" s="20" t="s">
        <v>63</v>
      </c>
    </row>
    <row r="210" ht="15.0" customHeight="1">
      <c r="A210" s="7">
        <v>37845</v>
      </c>
      <c r="B210" s="15" t="s">
        <v>104</v>
      </c>
      <c r="C210" s="20">
        <v>-3.75</v>
      </c>
      <c r="D210" s="20">
        <v>602</v>
      </c>
      <c r="E210" s="20" t="s">
        <v>18</v>
      </c>
      <c r="F210" s="20" t="s">
        <v>63</v>
      </c>
    </row>
    <row r="211">
      <c r="A211" s="7">
        <v>37864</v>
      </c>
      <c r="B211" s="15" t="s">
        <v>106</v>
      </c>
      <c r="C211" s="20">
        <v>0.06</v>
      </c>
      <c r="D211" s="20">
        <v>502</v>
      </c>
      <c r="E211" s="20" t="s">
        <v>18</v>
      </c>
      <c r="F211" s="20" t="s">
        <v>40</v>
      </c>
    </row>
    <row r="212">
      <c r="A212" s="7">
        <v>37879</v>
      </c>
      <c r="B212" s="15" t="s">
        <v>216</v>
      </c>
      <c r="C212" s="20">
        <v>650</v>
      </c>
      <c r="D212" s="20">
        <v>103</v>
      </c>
      <c r="E212" s="20" t="s">
        <v>18</v>
      </c>
      <c r="F212" s="20" t="s">
        <v>19</v>
      </c>
    </row>
    <row r="213">
      <c r="A213" s="7">
        <v>37883</v>
      </c>
      <c r="B213" s="15" t="s">
        <v>217</v>
      </c>
      <c r="C213" s="20">
        <v>-550</v>
      </c>
      <c r="D213" s="20">
        <v>607</v>
      </c>
      <c r="E213" s="20" t="s">
        <v>18</v>
      </c>
      <c r="F213" s="20" t="s">
        <v>68</v>
      </c>
    </row>
    <row r="214">
      <c r="A214" s="7">
        <v>37886</v>
      </c>
      <c r="B214" s="15" t="s">
        <v>103</v>
      </c>
      <c r="C214" s="20">
        <v>2000</v>
      </c>
      <c r="D214" s="20">
        <v>505</v>
      </c>
      <c r="E214" s="20" t="s">
        <v>18</v>
      </c>
      <c r="F214" s="20" t="s">
        <v>43</v>
      </c>
    </row>
    <row r="215">
      <c r="A215" s="7">
        <v>37894</v>
      </c>
      <c r="B215" s="15" t="s">
        <v>106</v>
      </c>
      <c r="C215" s="20">
        <v>0.09</v>
      </c>
      <c r="D215" s="20">
        <v>502</v>
      </c>
      <c r="E215" s="20" t="s">
        <v>18</v>
      </c>
      <c r="F215" s="20" t="s">
        <v>40</v>
      </c>
    </row>
    <row r="216" ht="15.0" customHeight="1">
      <c r="A216" s="7">
        <v>37894</v>
      </c>
      <c r="B216" s="15" t="s">
        <v>111</v>
      </c>
      <c r="C216" s="20">
        <v>-1.5</v>
      </c>
      <c r="D216" s="20">
        <v>602</v>
      </c>
      <c r="E216" s="20" t="s">
        <v>18</v>
      </c>
      <c r="F216" s="20" t="s">
        <v>63</v>
      </c>
    </row>
    <row r="217" ht="15.0" customHeight="1">
      <c r="A217" s="7">
        <v>37895</v>
      </c>
      <c r="B217" s="15" t="s">
        <v>218</v>
      </c>
      <c r="C217" s="20">
        <v>-1270</v>
      </c>
      <c r="D217" s="20">
        <v>607</v>
      </c>
      <c r="E217" s="20" t="s">
        <v>18</v>
      </c>
      <c r="F217" s="20" t="s">
        <v>68</v>
      </c>
    </row>
    <row r="218" ht="15.0" customHeight="1">
      <c r="A218" s="7">
        <v>37900</v>
      </c>
      <c r="B218" s="15" t="s">
        <v>199</v>
      </c>
      <c r="C218" s="20">
        <v>-2000</v>
      </c>
      <c r="D218" s="20">
        <v>607</v>
      </c>
      <c r="E218" s="20" t="s">
        <v>18</v>
      </c>
      <c r="F218" s="20" t="s">
        <v>68</v>
      </c>
    </row>
    <row r="219" ht="15.0" customHeight="1">
      <c r="A219" s="7">
        <v>37925</v>
      </c>
      <c r="B219" s="15" t="s">
        <v>106</v>
      </c>
      <c r="C219" s="20">
        <v>0.03</v>
      </c>
      <c r="D219" s="20">
        <v>502</v>
      </c>
      <c r="E219" s="20" t="s">
        <v>18</v>
      </c>
      <c r="F219" s="20" t="s">
        <v>40</v>
      </c>
    </row>
    <row r="220" ht="15.0" customHeight="1">
      <c r="A220" s="7">
        <v>37925</v>
      </c>
      <c r="B220" s="15" t="s">
        <v>111</v>
      </c>
      <c r="C220" s="20">
        <v>-1.5</v>
      </c>
      <c r="D220" s="20">
        <v>602</v>
      </c>
      <c r="E220" s="20" t="s">
        <v>18</v>
      </c>
      <c r="F220" s="20" t="s">
        <v>63</v>
      </c>
    </row>
    <row r="221" ht="15.0" customHeight="1">
      <c r="A221" s="7">
        <v>37953</v>
      </c>
      <c r="B221" s="15" t="s">
        <v>103</v>
      </c>
      <c r="C221" s="20">
        <v>300</v>
      </c>
      <c r="D221" s="20">
        <v>501</v>
      </c>
      <c r="E221" s="20" t="s">
        <v>18</v>
      </c>
      <c r="F221" s="20" t="s">
        <v>38</v>
      </c>
    </row>
    <row r="222" ht="15.0" customHeight="1">
      <c r="A222" s="7">
        <v>37955</v>
      </c>
      <c r="B222" s="15" t="s">
        <v>106</v>
      </c>
      <c r="C222" s="20">
        <v>0.01</v>
      </c>
      <c r="D222" s="20">
        <v>502</v>
      </c>
      <c r="E222" s="20" t="s">
        <v>18</v>
      </c>
      <c r="F222" s="20" t="s">
        <v>40</v>
      </c>
    </row>
    <row r="223" ht="15.0" customHeight="1">
      <c r="A223" s="7">
        <v>37986</v>
      </c>
      <c r="B223" s="15" t="s">
        <v>106</v>
      </c>
      <c r="C223" s="20">
        <v>0.03</v>
      </c>
      <c r="D223" s="20">
        <v>502</v>
      </c>
      <c r="E223" s="20" t="s">
        <v>18</v>
      </c>
      <c r="F223" s="20" t="s">
        <v>40</v>
      </c>
    </row>
    <row r="224" ht="15.0" customHeight="1">
      <c r="A224" s="7">
        <v>38014</v>
      </c>
      <c r="B224" s="15" t="s">
        <v>219</v>
      </c>
      <c r="C224" s="20">
        <v>-30</v>
      </c>
      <c r="D224" s="20">
        <v>606</v>
      </c>
      <c r="E224" s="20" t="s">
        <v>18</v>
      </c>
      <c r="F224" s="20" t="s">
        <v>67</v>
      </c>
    </row>
    <row r="225" ht="15.0" customHeight="1">
      <c r="A225" s="7">
        <v>38017</v>
      </c>
      <c r="B225" s="15" t="s">
        <v>106</v>
      </c>
      <c r="C225" s="20">
        <v>0.03</v>
      </c>
      <c r="D225" s="20">
        <v>502</v>
      </c>
      <c r="E225" s="20" t="s">
        <v>18</v>
      </c>
      <c r="F225" s="20" t="s">
        <v>40</v>
      </c>
    </row>
    <row r="226">
      <c r="A226" s="7">
        <v>38017</v>
      </c>
      <c r="B226" s="15" t="s">
        <v>111</v>
      </c>
      <c r="C226" s="20">
        <v>-0.3</v>
      </c>
      <c r="D226" s="20">
        <v>602</v>
      </c>
      <c r="E226" s="20" t="s">
        <v>18</v>
      </c>
      <c r="F226" s="20" t="s">
        <v>63</v>
      </c>
    </row>
    <row r="227">
      <c r="A227" s="7">
        <v>38020</v>
      </c>
      <c r="B227" s="15" t="s">
        <v>220</v>
      </c>
      <c r="C227" s="20">
        <v>-40</v>
      </c>
      <c r="D227" s="20">
        <v>606</v>
      </c>
      <c r="E227" s="20" t="s">
        <v>18</v>
      </c>
      <c r="F227" s="20" t="s">
        <v>67</v>
      </c>
    </row>
    <row r="228">
      <c r="A228" s="7">
        <v>38033</v>
      </c>
      <c r="B228" s="15" t="s">
        <v>221</v>
      </c>
      <c r="C228" s="20">
        <v>-200</v>
      </c>
      <c r="D228" s="20">
        <v>608</v>
      </c>
      <c r="E228" s="20" t="s">
        <v>18</v>
      </c>
      <c r="F228" s="20" t="s">
        <v>69</v>
      </c>
    </row>
    <row r="229">
      <c r="A229" s="7">
        <v>38046</v>
      </c>
      <c r="B229" s="15" t="s">
        <v>106</v>
      </c>
      <c r="C229" s="20">
        <v>0.02</v>
      </c>
      <c r="D229" s="20">
        <v>502</v>
      </c>
      <c r="E229" s="20" t="s">
        <v>18</v>
      </c>
      <c r="F229" s="20" t="s">
        <v>40</v>
      </c>
    </row>
    <row r="230">
      <c r="A230" s="7">
        <v>38049</v>
      </c>
      <c r="B230" s="15" t="s">
        <v>105</v>
      </c>
      <c r="C230" s="20">
        <v>1375</v>
      </c>
      <c r="D230" s="20">
        <v>505</v>
      </c>
      <c r="E230" s="20" t="s">
        <v>18</v>
      </c>
      <c r="F230" s="20" t="s">
        <v>43</v>
      </c>
    </row>
    <row r="231">
      <c r="A231" s="7">
        <v>38050</v>
      </c>
      <c r="B231" s="15" t="s">
        <v>222</v>
      </c>
      <c r="C231" s="20">
        <v>-333.86</v>
      </c>
      <c r="D231" s="20">
        <v>685</v>
      </c>
      <c r="E231" s="20" t="s">
        <v>18</v>
      </c>
      <c r="F231" s="20" t="s">
        <v>83</v>
      </c>
    </row>
    <row r="232">
      <c r="A232" s="7">
        <v>38061</v>
      </c>
      <c r="B232" s="15" t="s">
        <v>223</v>
      </c>
      <c r="C232" s="20">
        <v>-385</v>
      </c>
      <c r="D232" s="20">
        <v>685</v>
      </c>
      <c r="E232" s="20" t="s">
        <v>18</v>
      </c>
      <c r="F232" s="20" t="s">
        <v>83</v>
      </c>
    </row>
    <row r="233">
      <c r="A233" s="7">
        <v>38063</v>
      </c>
      <c r="B233" s="15" t="s">
        <v>224</v>
      </c>
      <c r="C233" s="20">
        <v>1612.3</v>
      </c>
      <c r="D233" s="20">
        <v>585</v>
      </c>
      <c r="E233" s="20" t="s">
        <v>18</v>
      </c>
      <c r="F233" s="20" t="s">
        <v>54</v>
      </c>
    </row>
    <row r="234" ht="15.0" customHeight="1">
      <c r="A234" s="7">
        <v>38069</v>
      </c>
      <c r="B234" s="15" t="s">
        <v>225</v>
      </c>
      <c r="C234" s="20">
        <v>-140.6</v>
      </c>
      <c r="D234" s="20">
        <v>685</v>
      </c>
      <c r="E234" s="20" t="s">
        <v>18</v>
      </c>
      <c r="F234" s="20" t="s">
        <v>40</v>
      </c>
    </row>
    <row r="235">
      <c r="A235" s="7">
        <v>38077</v>
      </c>
      <c r="B235" s="15" t="s">
        <v>106</v>
      </c>
      <c r="C235" s="20">
        <v>0.08</v>
      </c>
      <c r="D235" s="20">
        <v>502</v>
      </c>
      <c r="E235" s="20" t="s">
        <v>18</v>
      </c>
      <c r="F235" s="20" t="s">
        <v>40</v>
      </c>
    </row>
    <row r="236">
      <c r="A236" s="7">
        <v>38077</v>
      </c>
      <c r="B236" s="15" t="s">
        <v>111</v>
      </c>
      <c r="C236" s="20">
        <v>-2.1</v>
      </c>
      <c r="D236" s="20">
        <v>602</v>
      </c>
      <c r="E236" s="20" t="s">
        <v>18</v>
      </c>
      <c r="F236" s="20" t="s">
        <v>63</v>
      </c>
    </row>
    <row r="237">
      <c r="A237" s="7">
        <v>38090</v>
      </c>
      <c r="B237" s="15" t="s">
        <v>114</v>
      </c>
      <c r="C237" s="20">
        <v>830</v>
      </c>
      <c r="D237" s="20">
        <v>561</v>
      </c>
      <c r="E237" s="20" t="s">
        <v>18</v>
      </c>
      <c r="F237" s="20" t="s">
        <v>48</v>
      </c>
    </row>
    <row r="238">
      <c r="A238" s="7">
        <v>38091</v>
      </c>
      <c r="B238" s="15" t="s">
        <v>226</v>
      </c>
      <c r="C238" s="20">
        <v>880</v>
      </c>
      <c r="D238" s="20">
        <v>561</v>
      </c>
      <c r="E238" s="20" t="s">
        <v>18</v>
      </c>
      <c r="F238" s="20" t="s">
        <v>48</v>
      </c>
    </row>
    <row r="239">
      <c r="A239" s="7">
        <v>38092</v>
      </c>
      <c r="B239" s="15" t="s">
        <v>227</v>
      </c>
      <c r="C239" s="20">
        <v>670</v>
      </c>
      <c r="D239" s="20">
        <v>561</v>
      </c>
      <c r="E239" s="20" t="s">
        <v>18</v>
      </c>
      <c r="F239" s="20" t="s">
        <v>48</v>
      </c>
    </row>
    <row r="240">
      <c r="A240" s="7">
        <v>38096</v>
      </c>
      <c r="B240" s="15" t="s">
        <v>228</v>
      </c>
      <c r="C240" s="20">
        <v>-96.35</v>
      </c>
      <c r="D240" s="20">
        <v>665</v>
      </c>
      <c r="E240" s="20" t="s">
        <v>18</v>
      </c>
      <c r="F240" s="20" t="s">
        <v>78</v>
      </c>
    </row>
    <row r="241">
      <c r="A241" s="7">
        <v>38107</v>
      </c>
      <c r="B241" s="15" t="s">
        <v>106</v>
      </c>
      <c r="C241" s="20">
        <v>0.15</v>
      </c>
      <c r="D241" s="20">
        <v>502</v>
      </c>
      <c r="E241" s="20" t="s">
        <v>18</v>
      </c>
      <c r="F241" s="20" t="s">
        <v>40</v>
      </c>
    </row>
    <row r="242">
      <c r="A242" s="7">
        <v>38107</v>
      </c>
      <c r="B242" s="15" t="s">
        <v>111</v>
      </c>
      <c r="C242" s="20">
        <v>-0.3</v>
      </c>
      <c r="D242" s="20">
        <v>602</v>
      </c>
      <c r="E242" s="20" t="s">
        <v>18</v>
      </c>
      <c r="F242" s="20" t="s">
        <v>63</v>
      </c>
    </row>
    <row r="243">
      <c r="A243" s="7">
        <v>38119</v>
      </c>
      <c r="B243" s="15" t="s">
        <v>103</v>
      </c>
      <c r="C243" s="20">
        <v>810</v>
      </c>
      <c r="D243" s="20">
        <v>561</v>
      </c>
      <c r="E243" s="20" t="s">
        <v>18</v>
      </c>
      <c r="F243" s="20" t="s">
        <v>48</v>
      </c>
    </row>
    <row r="244">
      <c r="A244" s="7">
        <v>38119</v>
      </c>
      <c r="B244" s="15" t="s">
        <v>205</v>
      </c>
      <c r="C244" s="20">
        <v>-810</v>
      </c>
      <c r="D244" s="20">
        <v>561</v>
      </c>
      <c r="E244" s="20" t="s">
        <v>18</v>
      </c>
      <c r="F244" s="20" t="s">
        <v>48</v>
      </c>
    </row>
    <row r="245">
      <c r="A245" s="7">
        <v>38119</v>
      </c>
      <c r="B245" s="15" t="s">
        <v>227</v>
      </c>
      <c r="C245" s="20">
        <v>810</v>
      </c>
      <c r="D245" s="20">
        <v>561</v>
      </c>
      <c r="E245" s="20" t="s">
        <v>18</v>
      </c>
      <c r="F245" s="20" t="s">
        <v>48</v>
      </c>
    </row>
    <row r="246">
      <c r="A246" s="7">
        <v>38125</v>
      </c>
      <c r="B246" s="15" t="s">
        <v>229</v>
      </c>
      <c r="C246" s="20">
        <v>-1925</v>
      </c>
      <c r="D246" s="20">
        <v>661</v>
      </c>
      <c r="E246" s="20" t="s">
        <v>18</v>
      </c>
      <c r="F246" s="20" t="s">
        <v>74</v>
      </c>
    </row>
    <row r="247">
      <c r="A247" s="7">
        <v>38126</v>
      </c>
      <c r="B247" s="15" t="s">
        <v>104</v>
      </c>
      <c r="C247" s="20">
        <v>-15</v>
      </c>
      <c r="D247" s="20">
        <v>602</v>
      </c>
      <c r="E247" s="20" t="s">
        <v>18</v>
      </c>
      <c r="F247" s="20" t="s">
        <v>63</v>
      </c>
    </row>
    <row r="248">
      <c r="A248" s="7">
        <v>38134</v>
      </c>
      <c r="B248" s="15" t="s">
        <v>230</v>
      </c>
      <c r="C248" s="20">
        <v>-127.27</v>
      </c>
      <c r="D248" s="20">
        <v>665</v>
      </c>
      <c r="E248" s="20" t="s">
        <v>18</v>
      </c>
      <c r="F248" s="20" t="s">
        <v>78</v>
      </c>
    </row>
    <row r="249">
      <c r="A249" s="7">
        <v>38138</v>
      </c>
      <c r="B249" s="15" t="s">
        <v>106</v>
      </c>
      <c r="C249" s="20">
        <v>0.19</v>
      </c>
      <c r="D249" s="20">
        <v>502</v>
      </c>
      <c r="E249" s="20" t="s">
        <v>18</v>
      </c>
      <c r="F249" s="20" t="s">
        <v>40</v>
      </c>
    </row>
    <row r="250">
      <c r="A250" s="7">
        <v>38138</v>
      </c>
      <c r="B250" s="15" t="s">
        <v>111</v>
      </c>
      <c r="C250" s="20">
        <v>-2.2</v>
      </c>
      <c r="D250" s="20">
        <v>602</v>
      </c>
      <c r="E250" s="20" t="s">
        <v>18</v>
      </c>
      <c r="F250" s="20" t="s">
        <v>63</v>
      </c>
    </row>
    <row r="251">
      <c r="A251" s="7">
        <v>38168</v>
      </c>
      <c r="B251" s="15" t="s">
        <v>106</v>
      </c>
      <c r="C251" s="20">
        <v>0.14</v>
      </c>
      <c r="D251" s="20">
        <v>502</v>
      </c>
      <c r="E251" s="20" t="s">
        <v>18</v>
      </c>
      <c r="F251" s="20" t="s">
        <v>40</v>
      </c>
    </row>
    <row r="252">
      <c r="A252" s="7">
        <v>38199</v>
      </c>
      <c r="B252" s="15" t="s">
        <v>106</v>
      </c>
      <c r="C252" s="20">
        <v>0.15</v>
      </c>
      <c r="D252" s="20">
        <v>502</v>
      </c>
      <c r="E252" s="20" t="s">
        <v>18</v>
      </c>
      <c r="F252" s="20" t="s">
        <v>40</v>
      </c>
    </row>
    <row r="253">
      <c r="A253" s="7">
        <v>38230</v>
      </c>
      <c r="B253" s="15" t="s">
        <v>106</v>
      </c>
      <c r="C253" s="20">
        <v>0.15</v>
      </c>
      <c r="D253" s="20">
        <v>502</v>
      </c>
      <c r="E253" s="20" t="s">
        <v>18</v>
      </c>
      <c r="F253" s="20" t="s">
        <v>40</v>
      </c>
    </row>
    <row r="254">
      <c r="A254" s="7">
        <v>38244</v>
      </c>
      <c r="B254" s="15" t="s">
        <v>151</v>
      </c>
      <c r="C254" s="20">
        <v>1130</v>
      </c>
      <c r="D254" s="20">
        <v>662</v>
      </c>
      <c r="E254" s="20" t="s">
        <v>18</v>
      </c>
      <c r="F254" s="20" t="s">
        <v>75</v>
      </c>
    </row>
    <row r="255">
      <c r="A255" s="7">
        <v>38244</v>
      </c>
      <c r="B255" s="15" t="s">
        <v>231</v>
      </c>
      <c r="C255" s="20">
        <v>47</v>
      </c>
      <c r="D255" s="20">
        <v>561</v>
      </c>
      <c r="E255" s="20" t="s">
        <v>18</v>
      </c>
      <c r="F255" s="20" t="s">
        <v>48</v>
      </c>
    </row>
    <row r="256">
      <c r="A256" s="7">
        <v>38244</v>
      </c>
      <c r="B256" s="15" t="s">
        <v>232</v>
      </c>
      <c r="C256" s="20">
        <v>296.85</v>
      </c>
      <c r="D256" s="20">
        <v>585</v>
      </c>
      <c r="E256" s="20" t="s">
        <v>18</v>
      </c>
      <c r="F256" s="20" t="s">
        <v>54</v>
      </c>
    </row>
    <row r="257">
      <c r="A257" s="7">
        <v>38244</v>
      </c>
      <c r="B257" s="15" t="s">
        <v>233</v>
      </c>
      <c r="C257" s="20">
        <v>29.6</v>
      </c>
      <c r="D257" s="20">
        <v>561</v>
      </c>
      <c r="E257" s="20" t="s">
        <v>18</v>
      </c>
      <c r="F257" s="20" t="s">
        <v>48</v>
      </c>
    </row>
    <row r="258">
      <c r="A258" s="7">
        <v>38251</v>
      </c>
      <c r="B258" s="15" t="s">
        <v>234</v>
      </c>
      <c r="C258" s="20">
        <v>360</v>
      </c>
      <c r="D258" s="20">
        <v>561</v>
      </c>
      <c r="E258" s="20" t="s">
        <v>18</v>
      </c>
      <c r="F258" s="20" t="s">
        <v>48</v>
      </c>
    </row>
    <row r="259">
      <c r="A259" s="7">
        <v>38251</v>
      </c>
      <c r="B259" s="15" t="s">
        <v>235</v>
      </c>
      <c r="C259" s="20">
        <v>-360</v>
      </c>
      <c r="D259" s="20">
        <v>561</v>
      </c>
      <c r="E259" s="20" t="s">
        <v>18</v>
      </c>
      <c r="F259" s="20" t="s">
        <v>48</v>
      </c>
    </row>
    <row r="260">
      <c r="A260" s="7">
        <v>38251</v>
      </c>
      <c r="B260" s="15" t="s">
        <v>236</v>
      </c>
      <c r="C260" s="20">
        <v>360</v>
      </c>
      <c r="D260" s="20">
        <v>561</v>
      </c>
      <c r="E260" s="20" t="s">
        <v>18</v>
      </c>
      <c r="F260" s="20" t="s">
        <v>48</v>
      </c>
    </row>
    <row r="261">
      <c r="A261" s="7">
        <v>38251</v>
      </c>
      <c r="B261" s="15" t="s">
        <v>237</v>
      </c>
      <c r="C261" s="20">
        <v>3800</v>
      </c>
      <c r="D261" s="20">
        <v>561</v>
      </c>
      <c r="E261" s="20" t="s">
        <v>18</v>
      </c>
      <c r="F261" s="20" t="s">
        <v>48</v>
      </c>
    </row>
    <row r="262">
      <c r="A262" s="7">
        <v>38252</v>
      </c>
      <c r="B262" s="15" t="s">
        <v>238</v>
      </c>
      <c r="C262" s="20">
        <v>-70.3</v>
      </c>
      <c r="D262" s="20">
        <v>665</v>
      </c>
      <c r="E262" s="20" t="s">
        <v>18</v>
      </c>
      <c r="F262" s="20" t="s">
        <v>78</v>
      </c>
    </row>
    <row r="263">
      <c r="A263" s="7">
        <v>38254</v>
      </c>
      <c r="B263" s="15" t="s">
        <v>237</v>
      </c>
      <c r="C263" s="20">
        <v>2245</v>
      </c>
      <c r="D263" s="20">
        <v>561</v>
      </c>
      <c r="E263" s="20" t="s">
        <v>18</v>
      </c>
      <c r="F263" s="20" t="s">
        <v>48</v>
      </c>
    </row>
    <row r="264">
      <c r="A264" s="7">
        <v>38260</v>
      </c>
      <c r="B264" s="15" t="s">
        <v>106</v>
      </c>
      <c r="C264" s="20">
        <v>0.25</v>
      </c>
      <c r="D264" s="20">
        <v>502</v>
      </c>
      <c r="E264" s="20" t="s">
        <v>18</v>
      </c>
      <c r="F264" s="20" t="s">
        <v>40</v>
      </c>
    </row>
    <row r="265">
      <c r="A265" s="7">
        <v>38260</v>
      </c>
      <c r="B265" s="15" t="s">
        <v>111</v>
      </c>
      <c r="C265" s="20">
        <v>-0.3</v>
      </c>
      <c r="D265" s="20">
        <v>602</v>
      </c>
      <c r="E265" s="20" t="s">
        <v>18</v>
      </c>
      <c r="F265" s="20" t="s">
        <v>63</v>
      </c>
    </row>
    <row r="266">
      <c r="A266" s="7">
        <v>38274</v>
      </c>
      <c r="B266" s="15" t="s">
        <v>239</v>
      </c>
      <c r="C266" s="20">
        <v>-500</v>
      </c>
      <c r="D266" s="20">
        <v>662</v>
      </c>
      <c r="E266" s="20" t="s">
        <v>18</v>
      </c>
      <c r="F266" s="20" t="s">
        <v>75</v>
      </c>
    </row>
    <row r="267">
      <c r="A267" s="7">
        <v>38274</v>
      </c>
      <c r="B267" s="15" t="s">
        <v>240</v>
      </c>
      <c r="C267" s="20">
        <v>-100</v>
      </c>
      <c r="D267" s="20">
        <v>665</v>
      </c>
      <c r="E267" s="20" t="s">
        <v>18</v>
      </c>
      <c r="F267" s="20" t="s">
        <v>78</v>
      </c>
    </row>
    <row r="268">
      <c r="A268" s="7">
        <v>38274</v>
      </c>
      <c r="B268" s="15" t="s">
        <v>241</v>
      </c>
      <c r="C268" s="20">
        <v>-8610</v>
      </c>
      <c r="D268" s="20">
        <v>661</v>
      </c>
      <c r="E268" s="20" t="s">
        <v>18</v>
      </c>
      <c r="F268" s="20" t="s">
        <v>74</v>
      </c>
    </row>
    <row r="269">
      <c r="A269" s="7">
        <v>38291</v>
      </c>
      <c r="B269" s="15" t="s">
        <v>106</v>
      </c>
      <c r="C269" s="20">
        <v>0.27</v>
      </c>
      <c r="D269" s="20">
        <v>502</v>
      </c>
      <c r="E269" s="20" t="s">
        <v>18</v>
      </c>
      <c r="F269" s="20" t="s">
        <v>40</v>
      </c>
    </row>
    <row r="270">
      <c r="A270" s="7">
        <v>38291</v>
      </c>
      <c r="B270" s="15" t="s">
        <v>111</v>
      </c>
      <c r="C270" s="20">
        <v>-5.2</v>
      </c>
      <c r="D270" s="20">
        <v>602</v>
      </c>
      <c r="E270" s="20" t="s">
        <v>18</v>
      </c>
      <c r="F270" s="20" t="s">
        <v>63</v>
      </c>
    </row>
    <row r="271">
      <c r="A271" s="7">
        <v>38302</v>
      </c>
      <c r="B271" s="15" t="s">
        <v>242</v>
      </c>
      <c r="C271" s="20">
        <v>-201.85</v>
      </c>
      <c r="D271" s="20">
        <v>665</v>
      </c>
      <c r="E271" s="20" t="s">
        <v>18</v>
      </c>
      <c r="F271" s="20" t="s">
        <v>78</v>
      </c>
    </row>
    <row r="272">
      <c r="A272" s="7">
        <v>38302</v>
      </c>
      <c r="B272" s="15" t="s">
        <v>234</v>
      </c>
      <c r="C272" s="20">
        <v>300</v>
      </c>
      <c r="D272" s="20">
        <v>561</v>
      </c>
      <c r="E272" s="20" t="s">
        <v>18</v>
      </c>
      <c r="F272" s="20" t="s">
        <v>48</v>
      </c>
    </row>
    <row r="273">
      <c r="A273" s="7">
        <v>38302</v>
      </c>
      <c r="B273" s="15" t="s">
        <v>114</v>
      </c>
      <c r="C273" s="20">
        <v>163.5</v>
      </c>
      <c r="D273" s="20">
        <v>503</v>
      </c>
      <c r="E273" s="20" t="s">
        <v>18</v>
      </c>
      <c r="F273" s="20" t="s">
        <v>41</v>
      </c>
    </row>
    <row r="274">
      <c r="A274" s="7">
        <v>38309</v>
      </c>
      <c r="B274" s="15" t="s">
        <v>243</v>
      </c>
      <c r="C274" s="20">
        <v>-200</v>
      </c>
      <c r="D274" s="20">
        <v>608</v>
      </c>
      <c r="E274" s="20" t="s">
        <v>18</v>
      </c>
      <c r="F274" s="20" t="s">
        <v>69</v>
      </c>
    </row>
    <row r="275">
      <c r="A275" s="7">
        <v>38309</v>
      </c>
      <c r="B275" s="15" t="s">
        <v>244</v>
      </c>
      <c r="C275" s="20">
        <v>-164.02</v>
      </c>
      <c r="D275" s="20">
        <v>608</v>
      </c>
      <c r="E275" s="20" t="s">
        <v>18</v>
      </c>
      <c r="F275" s="20" t="s">
        <v>69</v>
      </c>
    </row>
    <row r="276">
      <c r="A276" s="7">
        <v>38316</v>
      </c>
      <c r="B276" s="15" t="s">
        <v>245</v>
      </c>
      <c r="C276" s="20">
        <v>500</v>
      </c>
      <c r="D276" s="20">
        <v>505</v>
      </c>
      <c r="E276" s="20" t="s">
        <v>18</v>
      </c>
      <c r="F276" s="20" t="s">
        <v>43</v>
      </c>
    </row>
    <row r="277">
      <c r="A277" s="7">
        <v>38321</v>
      </c>
      <c r="B277" s="15" t="s">
        <v>246</v>
      </c>
      <c r="C277" s="20">
        <v>-100</v>
      </c>
      <c r="D277" s="20">
        <v>608</v>
      </c>
      <c r="E277" s="20" t="s">
        <v>18</v>
      </c>
      <c r="F277" s="20" t="s">
        <v>69</v>
      </c>
    </row>
    <row r="278">
      <c r="A278" s="7">
        <v>38321</v>
      </c>
      <c r="B278" s="15" t="s">
        <v>106</v>
      </c>
      <c r="C278" s="20">
        <v>0.09</v>
      </c>
      <c r="D278" s="20">
        <v>502</v>
      </c>
      <c r="E278" s="20" t="s">
        <v>18</v>
      </c>
      <c r="F278" s="20" t="s">
        <v>40</v>
      </c>
    </row>
    <row r="279">
      <c r="A279" s="7">
        <v>38321</v>
      </c>
      <c r="B279" s="15" t="s">
        <v>130</v>
      </c>
      <c r="C279" s="20">
        <v>-2.8</v>
      </c>
      <c r="D279" s="20">
        <v>602</v>
      </c>
      <c r="E279" s="20" t="s">
        <v>18</v>
      </c>
      <c r="F279" s="20" t="s">
        <v>63</v>
      </c>
    </row>
    <row r="280">
      <c r="A280" s="7">
        <v>38321</v>
      </c>
      <c r="B280" s="15" t="s">
        <v>247</v>
      </c>
      <c r="C280" s="20">
        <v>-0.65</v>
      </c>
      <c r="D280" s="20">
        <v>602</v>
      </c>
      <c r="E280" s="20" t="s">
        <v>18</v>
      </c>
      <c r="F280" s="20" t="s">
        <v>63</v>
      </c>
    </row>
    <row r="281">
      <c r="A281" s="7">
        <v>38352</v>
      </c>
      <c r="B281" s="15" t="s">
        <v>106</v>
      </c>
      <c r="C281" s="20">
        <v>0.1</v>
      </c>
      <c r="D281" s="20">
        <v>502</v>
      </c>
      <c r="E281" s="20" t="s">
        <v>18</v>
      </c>
      <c r="F281" s="20" t="s">
        <v>40</v>
      </c>
    </row>
    <row r="282">
      <c r="A282" s="7">
        <v>38383</v>
      </c>
      <c r="B282" s="15" t="s">
        <v>106</v>
      </c>
      <c r="C282" s="20">
        <v>0.1</v>
      </c>
      <c r="D282" s="20">
        <v>502</v>
      </c>
      <c r="E282" s="20" t="s">
        <v>18</v>
      </c>
      <c r="F282" s="20" t="s">
        <v>40</v>
      </c>
    </row>
    <row r="283">
      <c r="A283" s="7">
        <v>38397</v>
      </c>
      <c r="B283" s="15" t="s">
        <v>248</v>
      </c>
      <c r="C283" s="20">
        <v>-1628</v>
      </c>
      <c r="D283" s="20">
        <v>686</v>
      </c>
      <c r="E283" s="20" t="s">
        <v>18</v>
      </c>
      <c r="F283" s="20" t="s">
        <v>84</v>
      </c>
    </row>
    <row r="284">
      <c r="A284" s="7">
        <v>38411</v>
      </c>
      <c r="B284" s="15" t="s">
        <v>106</v>
      </c>
      <c r="C284" s="20">
        <v>0.06</v>
      </c>
      <c r="D284" s="20">
        <v>502</v>
      </c>
      <c r="E284" s="20" t="s">
        <v>18</v>
      </c>
      <c r="F284" s="20" t="s">
        <v>40</v>
      </c>
    </row>
    <row r="285">
      <c r="A285" s="7">
        <v>38411</v>
      </c>
      <c r="B285" s="15" t="s">
        <v>111</v>
      </c>
      <c r="C285" s="20">
        <v>-1.5</v>
      </c>
      <c r="D285" s="20">
        <v>602</v>
      </c>
      <c r="E285" s="20" t="s">
        <v>18</v>
      </c>
      <c r="F285" s="20" t="s">
        <v>63</v>
      </c>
    </row>
    <row r="286">
      <c r="A286" s="7">
        <v>38432</v>
      </c>
      <c r="B286" s="15" t="s">
        <v>249</v>
      </c>
      <c r="C286" s="20">
        <v>75</v>
      </c>
      <c r="D286" s="20">
        <v>585</v>
      </c>
      <c r="E286" s="20" t="s">
        <v>18</v>
      </c>
      <c r="F286" s="20" t="s">
        <v>54</v>
      </c>
    </row>
    <row r="287">
      <c r="A287" s="7">
        <v>38432</v>
      </c>
      <c r="B287" s="15" t="s">
        <v>135</v>
      </c>
      <c r="C287" s="20">
        <v>830</v>
      </c>
      <c r="D287" s="20">
        <v>586</v>
      </c>
      <c r="E287" s="20" t="s">
        <v>18</v>
      </c>
      <c r="F287" s="20" t="s">
        <v>55</v>
      </c>
    </row>
    <row r="288">
      <c r="A288" s="7">
        <v>38442</v>
      </c>
      <c r="B288" s="15" t="s">
        <v>106</v>
      </c>
      <c r="C288" s="20">
        <v>0.05</v>
      </c>
      <c r="D288" s="20">
        <v>502</v>
      </c>
      <c r="E288" s="20" t="s">
        <v>18</v>
      </c>
      <c r="F288" s="20" t="s">
        <v>40</v>
      </c>
    </row>
    <row r="289">
      <c r="A289" s="7">
        <v>38472</v>
      </c>
      <c r="B289" s="15" t="s">
        <v>106</v>
      </c>
      <c r="C289" s="20">
        <v>0.07</v>
      </c>
      <c r="D289" s="20">
        <v>502</v>
      </c>
      <c r="E289" s="20" t="s">
        <v>18</v>
      </c>
      <c r="F289" s="20" t="s">
        <v>40</v>
      </c>
    </row>
    <row r="290">
      <c r="A290" s="7">
        <v>38503</v>
      </c>
      <c r="B290" s="15" t="s">
        <v>106</v>
      </c>
      <c r="C290" s="20">
        <v>0.07</v>
      </c>
      <c r="D290" s="20">
        <v>502</v>
      </c>
      <c r="E290" s="20" t="s">
        <v>18</v>
      </c>
      <c r="F290" s="20" t="s">
        <v>40</v>
      </c>
    </row>
    <row r="291">
      <c r="A291" s="7">
        <v>38533</v>
      </c>
      <c r="B291" s="15" t="s">
        <v>106</v>
      </c>
      <c r="C291" s="20">
        <v>0.07</v>
      </c>
      <c r="D291" s="20">
        <v>502</v>
      </c>
      <c r="E291" s="20" t="s">
        <v>18</v>
      </c>
      <c r="F291" s="20" t="s">
        <v>40</v>
      </c>
    </row>
    <row r="292">
      <c r="A292" s="7">
        <v>38564</v>
      </c>
      <c r="B292" s="15" t="s">
        <v>106</v>
      </c>
      <c r="C292" s="20">
        <v>0.07</v>
      </c>
      <c r="D292" s="20">
        <v>502</v>
      </c>
      <c r="E292" s="20" t="s">
        <v>18</v>
      </c>
      <c r="F292" s="20" t="s">
        <v>40</v>
      </c>
    </row>
    <row r="293">
      <c r="A293" s="7">
        <v>38595</v>
      </c>
      <c r="B293" s="15" t="s">
        <v>106</v>
      </c>
      <c r="C293" s="20">
        <v>0.07</v>
      </c>
      <c r="D293" s="20">
        <v>502</v>
      </c>
      <c r="E293" s="20" t="s">
        <v>18</v>
      </c>
      <c r="F293" s="20" t="s">
        <v>40</v>
      </c>
    </row>
    <row r="294">
      <c r="A294" s="7">
        <v>38625</v>
      </c>
      <c r="B294" s="15" t="s">
        <v>106</v>
      </c>
      <c r="C294" s="20">
        <v>0.07</v>
      </c>
      <c r="D294" s="20">
        <v>502</v>
      </c>
      <c r="E294" s="20" t="s">
        <v>18</v>
      </c>
      <c r="F294" s="20" t="s">
        <v>40</v>
      </c>
    </row>
    <row r="295">
      <c r="A295" s="7">
        <v>38656</v>
      </c>
      <c r="B295" s="15" t="s">
        <v>106</v>
      </c>
      <c r="C295" s="20">
        <v>0.07</v>
      </c>
      <c r="D295" s="20">
        <v>502</v>
      </c>
      <c r="E295" s="20" t="s">
        <v>18</v>
      </c>
      <c r="F295" s="20" t="s">
        <v>40</v>
      </c>
    </row>
    <row r="296">
      <c r="A296" s="7">
        <v>38686</v>
      </c>
      <c r="B296" s="15" t="s">
        <v>106</v>
      </c>
      <c r="C296" s="20">
        <v>0.07</v>
      </c>
      <c r="D296" s="20">
        <v>502</v>
      </c>
      <c r="E296" s="20" t="s">
        <v>18</v>
      </c>
      <c r="F296" s="20" t="s">
        <v>40</v>
      </c>
    </row>
    <row r="297">
      <c r="A297" s="7">
        <v>38717</v>
      </c>
      <c r="B297" s="15" t="s">
        <v>106</v>
      </c>
      <c r="C297" s="20">
        <v>0.07</v>
      </c>
      <c r="D297" s="20">
        <v>502</v>
      </c>
      <c r="E297" s="20" t="s">
        <v>18</v>
      </c>
      <c r="F297" s="20" t="s">
        <v>40</v>
      </c>
    </row>
    <row r="298">
      <c r="A298" s="7">
        <v>38748</v>
      </c>
      <c r="B298" s="15" t="s">
        <v>106</v>
      </c>
      <c r="C298" s="20">
        <v>0.07</v>
      </c>
      <c r="D298" s="20">
        <v>502</v>
      </c>
      <c r="E298" s="20" t="s">
        <v>18</v>
      </c>
      <c r="F298" s="20" t="s">
        <v>40</v>
      </c>
    </row>
    <row r="299">
      <c r="A299" s="7">
        <v>38776</v>
      </c>
      <c r="B299" s="15" t="s">
        <v>106</v>
      </c>
      <c r="C299" s="20">
        <v>0.07</v>
      </c>
      <c r="D299" s="20">
        <v>502</v>
      </c>
      <c r="E299" s="20" t="s">
        <v>18</v>
      </c>
      <c r="F299" s="20" t="s">
        <v>40</v>
      </c>
    </row>
    <row r="300">
      <c r="A300" s="7">
        <v>38786</v>
      </c>
      <c r="B300" s="15" t="s">
        <v>103</v>
      </c>
      <c r="C300" s="20">
        <v>496.55</v>
      </c>
      <c r="D300" s="20">
        <v>503</v>
      </c>
      <c r="E300" s="20" t="s">
        <v>18</v>
      </c>
      <c r="F300" s="20" t="s">
        <v>41</v>
      </c>
    </row>
    <row r="301">
      <c r="A301" s="7">
        <v>38807</v>
      </c>
      <c r="B301" s="15" t="s">
        <v>106</v>
      </c>
      <c r="C301" s="20">
        <v>0.09</v>
      </c>
      <c r="D301" s="20">
        <v>502</v>
      </c>
      <c r="E301" s="20" t="s">
        <v>18</v>
      </c>
      <c r="F301" s="20" t="s">
        <v>40</v>
      </c>
    </row>
    <row r="302">
      <c r="A302" s="7">
        <v>38812</v>
      </c>
      <c r="B302" s="15" t="s">
        <v>250</v>
      </c>
      <c r="C302" s="20">
        <v>-100</v>
      </c>
      <c r="D302" s="20">
        <v>608</v>
      </c>
      <c r="E302" s="20" t="s">
        <v>18</v>
      </c>
      <c r="F302" s="20" t="s">
        <v>69</v>
      </c>
    </row>
    <row r="303">
      <c r="A303" s="7">
        <v>38837</v>
      </c>
      <c r="B303" s="15" t="s">
        <v>106</v>
      </c>
      <c r="C303" s="20">
        <v>0.09</v>
      </c>
      <c r="D303" s="20">
        <v>502</v>
      </c>
      <c r="E303" s="20" t="s">
        <v>18</v>
      </c>
      <c r="F303" s="20" t="s">
        <v>40</v>
      </c>
    </row>
    <row r="304">
      <c r="A304" s="7">
        <v>38868</v>
      </c>
      <c r="B304" s="15" t="s">
        <v>106</v>
      </c>
      <c r="C304" s="20">
        <v>0.09</v>
      </c>
      <c r="D304" s="20">
        <v>502</v>
      </c>
      <c r="E304" s="20" t="s">
        <v>18</v>
      </c>
      <c r="F304" s="20" t="s">
        <v>40</v>
      </c>
    </row>
    <row r="305">
      <c r="A305" s="7">
        <v>38895</v>
      </c>
      <c r="B305" s="15" t="s">
        <v>199</v>
      </c>
      <c r="C305" s="20">
        <v>-385</v>
      </c>
      <c r="D305" s="20">
        <v>607</v>
      </c>
      <c r="E305" s="20" t="s">
        <v>18</v>
      </c>
      <c r="F305" s="20" t="s">
        <v>68</v>
      </c>
    </row>
    <row r="306">
      <c r="A306" s="7">
        <v>38898</v>
      </c>
      <c r="B306" s="15" t="s">
        <v>106</v>
      </c>
      <c r="C306" s="20">
        <v>0.08</v>
      </c>
      <c r="D306" s="20">
        <v>502</v>
      </c>
      <c r="E306" s="20" t="s">
        <v>18</v>
      </c>
      <c r="F306" s="20" t="s">
        <v>40</v>
      </c>
    </row>
    <row r="307">
      <c r="A307" s="7">
        <v>38929</v>
      </c>
      <c r="B307" s="15" t="s">
        <v>251</v>
      </c>
      <c r="C307" s="20">
        <v>0.07</v>
      </c>
      <c r="D307" s="20">
        <v>502</v>
      </c>
      <c r="E307" s="20" t="s">
        <v>18</v>
      </c>
      <c r="F307" s="20" t="s">
        <v>40</v>
      </c>
    </row>
    <row r="308">
      <c r="A308" s="7">
        <v>38954</v>
      </c>
      <c r="B308" s="15" t="s">
        <v>252</v>
      </c>
      <c r="C308" s="20">
        <v>-660</v>
      </c>
      <c r="D308" s="20">
        <v>662</v>
      </c>
      <c r="E308" s="20" t="s">
        <v>18</v>
      </c>
      <c r="F308" s="20" t="s">
        <v>75</v>
      </c>
    </row>
    <row r="309">
      <c r="A309" s="7">
        <v>38960</v>
      </c>
      <c r="B309" s="15" t="s">
        <v>251</v>
      </c>
      <c r="C309" s="20">
        <v>0.07</v>
      </c>
      <c r="D309" s="20">
        <v>502</v>
      </c>
      <c r="E309" s="20" t="s">
        <v>18</v>
      </c>
      <c r="F309" s="20" t="s">
        <v>40</v>
      </c>
    </row>
    <row r="310">
      <c r="A310" s="7">
        <v>38964</v>
      </c>
      <c r="B310" s="15" t="s">
        <v>253</v>
      </c>
      <c r="C310" s="20">
        <v>-50</v>
      </c>
      <c r="D310" s="20">
        <v>665</v>
      </c>
      <c r="E310" s="20" t="s">
        <v>18</v>
      </c>
      <c r="F310" s="20" t="s">
        <v>78</v>
      </c>
    </row>
    <row r="311">
      <c r="A311" s="7">
        <v>38968</v>
      </c>
      <c r="B311" s="15" t="s">
        <v>253</v>
      </c>
      <c r="C311" s="20">
        <v>-200</v>
      </c>
      <c r="D311" s="20">
        <v>665</v>
      </c>
      <c r="E311" s="20" t="s">
        <v>18</v>
      </c>
      <c r="F311" s="20" t="s">
        <v>78</v>
      </c>
    </row>
    <row r="312">
      <c r="A312" s="7">
        <v>38985</v>
      </c>
      <c r="B312" s="15" t="s">
        <v>254</v>
      </c>
      <c r="C312" s="20">
        <v>1000</v>
      </c>
      <c r="D312" s="20">
        <v>561</v>
      </c>
      <c r="E312" s="20" t="s">
        <v>18</v>
      </c>
      <c r="F312" s="20" t="s">
        <v>48</v>
      </c>
    </row>
    <row r="313">
      <c r="A313" s="7">
        <v>38990</v>
      </c>
      <c r="B313" s="15" t="s">
        <v>251</v>
      </c>
      <c r="C313" s="20">
        <v>0.04</v>
      </c>
      <c r="D313" s="20">
        <v>502</v>
      </c>
      <c r="E313" s="20" t="s">
        <v>18</v>
      </c>
      <c r="F313" s="20" t="s">
        <v>40</v>
      </c>
    </row>
    <row r="314">
      <c r="A314" s="7">
        <v>38994</v>
      </c>
      <c r="B314" s="15" t="s">
        <v>255</v>
      </c>
      <c r="C314" s="20">
        <v>1500</v>
      </c>
      <c r="D314" s="20">
        <v>561</v>
      </c>
      <c r="E314" s="20" t="s">
        <v>18</v>
      </c>
      <c r="F314" s="20" t="s">
        <v>48</v>
      </c>
    </row>
    <row r="315">
      <c r="A315" s="7">
        <v>39001</v>
      </c>
      <c r="B315" s="15" t="s">
        <v>256</v>
      </c>
      <c r="C315" s="20">
        <v>3775</v>
      </c>
      <c r="D315" s="20">
        <v>561</v>
      </c>
      <c r="E315" s="20" t="s">
        <v>18</v>
      </c>
      <c r="F315" s="20" t="s">
        <v>48</v>
      </c>
    </row>
    <row r="316">
      <c r="A316" s="7">
        <v>39002</v>
      </c>
      <c r="B316" s="15" t="s">
        <v>257</v>
      </c>
      <c r="C316" s="20">
        <v>2065</v>
      </c>
      <c r="D316" s="20">
        <v>561</v>
      </c>
      <c r="E316" s="20" t="s">
        <v>18</v>
      </c>
      <c r="F316" s="20" t="s">
        <v>48</v>
      </c>
    </row>
    <row r="317">
      <c r="A317" s="7">
        <v>39002</v>
      </c>
      <c r="B317" s="15" t="s">
        <v>258</v>
      </c>
      <c r="C317" s="20">
        <v>-8540</v>
      </c>
      <c r="D317" s="20">
        <v>661</v>
      </c>
      <c r="E317" s="20" t="s">
        <v>18</v>
      </c>
      <c r="F317" s="20" t="s">
        <v>74</v>
      </c>
    </row>
    <row r="318">
      <c r="A318" s="7">
        <v>39003</v>
      </c>
      <c r="B318" s="15" t="s">
        <v>259</v>
      </c>
      <c r="C318" s="20">
        <v>-15</v>
      </c>
      <c r="D318" s="20">
        <v>602</v>
      </c>
      <c r="E318" s="20" t="s">
        <v>18</v>
      </c>
      <c r="F318" s="20" t="s">
        <v>63</v>
      </c>
    </row>
    <row r="319">
      <c r="A319" s="7">
        <v>39003</v>
      </c>
      <c r="B319" s="15" t="s">
        <v>254</v>
      </c>
      <c r="C319" s="20">
        <v>170</v>
      </c>
      <c r="D319" s="20">
        <v>561</v>
      </c>
      <c r="E319" s="20" t="s">
        <v>18</v>
      </c>
      <c r="F319" s="20" t="s">
        <v>48</v>
      </c>
    </row>
    <row r="320">
      <c r="A320" s="7">
        <v>39003</v>
      </c>
      <c r="B320" s="15" t="s">
        <v>260</v>
      </c>
      <c r="C320" s="20">
        <v>11</v>
      </c>
      <c r="D320" s="20">
        <v>103</v>
      </c>
      <c r="E320" s="20" t="s">
        <v>18</v>
      </c>
      <c r="F320" s="20" t="s">
        <v>19</v>
      </c>
    </row>
    <row r="321">
      <c r="A321" s="7">
        <v>39003</v>
      </c>
      <c r="B321" s="15" t="s">
        <v>261</v>
      </c>
      <c r="C321" s="20">
        <v>-750</v>
      </c>
      <c r="D321" s="20">
        <v>663</v>
      </c>
      <c r="E321" s="20" t="s">
        <v>18</v>
      </c>
      <c r="F321" s="20" t="s">
        <v>262</v>
      </c>
    </row>
    <row r="322">
      <c r="A322" s="7">
        <v>39021</v>
      </c>
      <c r="B322" s="15" t="s">
        <v>251</v>
      </c>
      <c r="C322" s="20">
        <v>0.05</v>
      </c>
      <c r="D322" s="20">
        <v>502</v>
      </c>
      <c r="E322" s="20" t="s">
        <v>18</v>
      </c>
      <c r="F322" s="20" t="s">
        <v>40</v>
      </c>
    </row>
    <row r="323">
      <c r="A323" s="7">
        <v>39021</v>
      </c>
      <c r="B323" s="15" t="s">
        <v>263</v>
      </c>
      <c r="C323" s="20">
        <v>-12</v>
      </c>
      <c r="D323" s="20">
        <v>602</v>
      </c>
      <c r="E323" s="20" t="s">
        <v>18</v>
      </c>
      <c r="F323" s="20" t="s">
        <v>63</v>
      </c>
    </row>
    <row r="324">
      <c r="A324" s="7">
        <v>39048</v>
      </c>
      <c r="B324" s="15" t="s">
        <v>264</v>
      </c>
      <c r="C324" s="20">
        <v>750</v>
      </c>
      <c r="D324" s="20">
        <v>663</v>
      </c>
      <c r="E324" s="20" t="s">
        <v>18</v>
      </c>
      <c r="F324" s="20" t="s">
        <v>262</v>
      </c>
    </row>
    <row r="325">
      <c r="A325" s="7">
        <v>39049</v>
      </c>
      <c r="B325" s="15" t="s">
        <v>265</v>
      </c>
      <c r="C325" s="20">
        <v>-7.5</v>
      </c>
      <c r="D325" s="20">
        <v>602</v>
      </c>
      <c r="E325" s="20" t="s">
        <v>18</v>
      </c>
      <c r="F325" s="20" t="s">
        <v>63</v>
      </c>
    </row>
    <row r="326">
      <c r="A326" s="7">
        <v>39051</v>
      </c>
      <c r="B326" s="15" t="s">
        <v>266</v>
      </c>
      <c r="C326" s="20">
        <v>-0.14</v>
      </c>
      <c r="D326" s="20">
        <v>502</v>
      </c>
      <c r="E326" s="20" t="s">
        <v>18</v>
      </c>
      <c r="F326" s="20" t="s">
        <v>40</v>
      </c>
    </row>
    <row r="327">
      <c r="A327" s="7">
        <v>39069</v>
      </c>
      <c r="B327" s="15" t="s">
        <v>267</v>
      </c>
      <c r="C327" s="20">
        <v>-715</v>
      </c>
      <c r="D327" s="20">
        <v>663</v>
      </c>
      <c r="E327" s="20" t="s">
        <v>18</v>
      </c>
      <c r="F327" s="20" t="s">
        <v>262</v>
      </c>
    </row>
    <row r="328">
      <c r="A328" s="7">
        <v>39082</v>
      </c>
      <c r="B328" s="15" t="s">
        <v>268</v>
      </c>
      <c r="C328" s="20">
        <v>0.01</v>
      </c>
      <c r="D328" s="20">
        <v>502</v>
      </c>
      <c r="E328" s="20" t="s">
        <v>18</v>
      </c>
      <c r="F328" s="20" t="s">
        <v>40</v>
      </c>
    </row>
    <row r="329">
      <c r="A329" s="7">
        <v>39141</v>
      </c>
      <c r="B329" s="15" t="s">
        <v>268</v>
      </c>
      <c r="C329" s="20">
        <v>0.01</v>
      </c>
      <c r="D329" s="20">
        <v>502</v>
      </c>
      <c r="E329" s="20" t="s">
        <v>18</v>
      </c>
      <c r="F329" s="20" t="s">
        <v>40</v>
      </c>
    </row>
    <row r="330">
      <c r="A330" s="7">
        <v>39163</v>
      </c>
      <c r="B330" s="15" t="s">
        <v>269</v>
      </c>
      <c r="C330" s="20">
        <v>1000</v>
      </c>
      <c r="D330" s="20">
        <v>505</v>
      </c>
      <c r="E330" s="20" t="s">
        <v>18</v>
      </c>
      <c r="F330" s="20" t="s">
        <v>43</v>
      </c>
    </row>
    <row r="331">
      <c r="A331" s="7">
        <v>39169</v>
      </c>
      <c r="B331" s="15" t="s">
        <v>270</v>
      </c>
      <c r="C331" s="20">
        <v>94.9</v>
      </c>
      <c r="D331" s="20">
        <v>503</v>
      </c>
      <c r="E331" s="20" t="s">
        <v>18</v>
      </c>
      <c r="F331" s="20" t="s">
        <v>41</v>
      </c>
    </row>
    <row r="332">
      <c r="A332" s="7">
        <v>39172</v>
      </c>
      <c r="B332" s="15" t="s">
        <v>271</v>
      </c>
      <c r="C332" s="20">
        <v>0.01</v>
      </c>
      <c r="D332" s="20">
        <v>502</v>
      </c>
      <c r="E332" s="20" t="s">
        <v>18</v>
      </c>
      <c r="F332" s="20" t="s">
        <v>40</v>
      </c>
    </row>
    <row r="333">
      <c r="A333" s="7">
        <v>39175</v>
      </c>
      <c r="B333" s="15" t="s">
        <v>270</v>
      </c>
      <c r="C333" s="20">
        <v>40</v>
      </c>
      <c r="D333" s="20">
        <v>584</v>
      </c>
      <c r="E333" s="20" t="s">
        <v>18</v>
      </c>
      <c r="F333" s="20" t="s">
        <v>53</v>
      </c>
    </row>
    <row r="334">
      <c r="A334" s="7">
        <v>39177</v>
      </c>
      <c r="B334" s="15" t="s">
        <v>272</v>
      </c>
      <c r="C334" s="20">
        <v>2.02</v>
      </c>
      <c r="D334" s="20">
        <v>103</v>
      </c>
      <c r="E334" s="20" t="s">
        <v>18</v>
      </c>
      <c r="F334" s="20" t="s">
        <v>19</v>
      </c>
    </row>
    <row r="335">
      <c r="A335" s="7">
        <v>39202</v>
      </c>
      <c r="B335" s="15" t="s">
        <v>268</v>
      </c>
      <c r="C335" s="20">
        <v>0.05</v>
      </c>
      <c r="D335" s="20">
        <v>502</v>
      </c>
      <c r="E335" s="20" t="s">
        <v>18</v>
      </c>
      <c r="F335" s="20" t="s">
        <v>40</v>
      </c>
    </row>
    <row r="336">
      <c r="A336" s="7">
        <v>39204</v>
      </c>
      <c r="B336" s="15" t="s">
        <v>270</v>
      </c>
      <c r="C336" s="20">
        <v>80</v>
      </c>
      <c r="D336" s="20">
        <v>584</v>
      </c>
      <c r="E336" s="20" t="s">
        <v>18</v>
      </c>
      <c r="F336" s="20" t="s">
        <v>53</v>
      </c>
    </row>
    <row r="337">
      <c r="A337" s="7">
        <v>39206</v>
      </c>
      <c r="B337" s="15" t="s">
        <v>273</v>
      </c>
      <c r="C337" s="20">
        <v>-300</v>
      </c>
      <c r="D337" s="20">
        <v>684</v>
      </c>
      <c r="E337" s="20" t="s">
        <v>18</v>
      </c>
      <c r="F337" s="20" t="s">
        <v>82</v>
      </c>
    </row>
    <row r="338">
      <c r="A338" s="7">
        <v>39213</v>
      </c>
      <c r="B338" s="15" t="s">
        <v>274</v>
      </c>
      <c r="C338" s="20">
        <v>-200</v>
      </c>
      <c r="D338" s="20">
        <v>684</v>
      </c>
      <c r="E338" s="20" t="s">
        <v>18</v>
      </c>
      <c r="F338" s="20" t="s">
        <v>82</v>
      </c>
    </row>
    <row r="339">
      <c r="A339" s="7">
        <v>39213</v>
      </c>
      <c r="B339" s="15" t="s">
        <v>275</v>
      </c>
      <c r="C339" s="20">
        <v>-20</v>
      </c>
      <c r="D339" s="20">
        <v>684</v>
      </c>
      <c r="E339" s="20" t="s">
        <v>18</v>
      </c>
      <c r="F339" s="20" t="s">
        <v>82</v>
      </c>
    </row>
    <row r="340">
      <c r="A340" s="7">
        <v>39218</v>
      </c>
      <c r="B340" s="15" t="s">
        <v>273</v>
      </c>
      <c r="C340" s="20">
        <v>103.95</v>
      </c>
      <c r="D340" s="20">
        <v>584</v>
      </c>
      <c r="E340" s="20" t="s">
        <v>18</v>
      </c>
      <c r="F340" s="20" t="s">
        <v>53</v>
      </c>
    </row>
    <row r="341">
      <c r="A341" s="7">
        <v>39233</v>
      </c>
      <c r="B341" s="15" t="s">
        <v>271</v>
      </c>
      <c r="C341" s="20">
        <v>0.04</v>
      </c>
      <c r="D341" s="20">
        <v>502</v>
      </c>
      <c r="E341" s="20" t="s">
        <v>18</v>
      </c>
      <c r="F341" s="20" t="s">
        <v>40</v>
      </c>
    </row>
    <row r="342">
      <c r="A342" s="7">
        <v>39263</v>
      </c>
      <c r="B342" s="15" t="s">
        <v>271</v>
      </c>
      <c r="C342" s="20">
        <v>0.03</v>
      </c>
      <c r="D342" s="20">
        <v>502</v>
      </c>
      <c r="E342" s="20" t="s">
        <v>18</v>
      </c>
      <c r="F342" s="20" t="s">
        <v>40</v>
      </c>
    </row>
    <row r="343">
      <c r="A343" s="7">
        <v>39294</v>
      </c>
      <c r="B343" s="15" t="s">
        <v>268</v>
      </c>
      <c r="C343" s="20">
        <v>0.03</v>
      </c>
      <c r="D343" s="20">
        <v>502</v>
      </c>
      <c r="E343" s="20" t="s">
        <v>18</v>
      </c>
      <c r="F343" s="20" t="s">
        <v>40</v>
      </c>
    </row>
    <row r="344">
      <c r="A344" s="7">
        <v>39310</v>
      </c>
      <c r="B344" s="15" t="s">
        <v>276</v>
      </c>
      <c r="C344" s="20">
        <v>660</v>
      </c>
      <c r="D344" s="20">
        <v>588</v>
      </c>
      <c r="E344" s="20" t="s">
        <v>18</v>
      </c>
      <c r="F344" s="20" t="s">
        <v>56</v>
      </c>
    </row>
    <row r="345">
      <c r="A345" s="7">
        <v>39311</v>
      </c>
      <c r="B345" s="15" t="s">
        <v>276</v>
      </c>
      <c r="C345" s="20">
        <v>100</v>
      </c>
      <c r="D345" s="20">
        <v>588</v>
      </c>
      <c r="E345" s="20" t="s">
        <v>18</v>
      </c>
      <c r="F345" s="20" t="s">
        <v>56</v>
      </c>
    </row>
    <row r="346">
      <c r="A346" s="7">
        <v>39314</v>
      </c>
      <c r="B346" s="15" t="s">
        <v>276</v>
      </c>
      <c r="C346" s="20">
        <v>160</v>
      </c>
      <c r="D346" s="20">
        <v>588</v>
      </c>
      <c r="E346" s="20" t="s">
        <v>18</v>
      </c>
      <c r="F346" s="20" t="s">
        <v>56</v>
      </c>
    </row>
    <row r="347">
      <c r="A347" s="7">
        <v>39318</v>
      </c>
      <c r="B347" s="15" t="s">
        <v>270</v>
      </c>
      <c r="C347" s="20">
        <v>329</v>
      </c>
      <c r="D347" s="20">
        <v>588</v>
      </c>
      <c r="E347" s="20" t="s">
        <v>18</v>
      </c>
      <c r="F347" s="20" t="s">
        <v>56</v>
      </c>
    </row>
    <row r="348">
      <c r="A348" s="7">
        <v>39321</v>
      </c>
      <c r="B348" s="15" t="s">
        <v>277</v>
      </c>
      <c r="C348" s="20">
        <v>-1050</v>
      </c>
      <c r="D348" s="20">
        <v>688</v>
      </c>
      <c r="E348" s="20" t="s">
        <v>18</v>
      </c>
      <c r="F348" s="20" t="s">
        <v>85</v>
      </c>
    </row>
    <row r="349">
      <c r="A349" s="7">
        <v>39325</v>
      </c>
      <c r="B349" s="15" t="s">
        <v>268</v>
      </c>
      <c r="C349" s="20">
        <v>0.05</v>
      </c>
      <c r="D349" s="20">
        <v>502</v>
      </c>
      <c r="E349" s="20" t="s">
        <v>18</v>
      </c>
      <c r="F349" s="20" t="s">
        <v>40</v>
      </c>
    </row>
    <row r="350">
      <c r="A350" s="7">
        <v>39355</v>
      </c>
      <c r="B350" s="15" t="s">
        <v>268</v>
      </c>
      <c r="C350" s="20">
        <v>0.05</v>
      </c>
      <c r="D350" s="20">
        <v>502</v>
      </c>
      <c r="E350" s="20" t="s">
        <v>18</v>
      </c>
      <c r="F350" s="20" t="s">
        <v>40</v>
      </c>
    </row>
    <row r="351">
      <c r="A351" s="7">
        <v>39358</v>
      </c>
      <c r="B351" s="15" t="s">
        <v>278</v>
      </c>
      <c r="C351" s="20">
        <v>20</v>
      </c>
      <c r="D351" s="20">
        <v>584</v>
      </c>
      <c r="E351" s="20" t="s">
        <v>18</v>
      </c>
      <c r="F351" s="20" t="s">
        <v>53</v>
      </c>
    </row>
    <row r="352">
      <c r="A352" s="7">
        <v>39358</v>
      </c>
      <c r="B352" s="15" t="s">
        <v>279</v>
      </c>
      <c r="C352" s="20">
        <v>20</v>
      </c>
      <c r="D352" s="20">
        <v>584</v>
      </c>
      <c r="E352" s="20" t="s">
        <v>18</v>
      </c>
      <c r="F352" s="20" t="s">
        <v>53</v>
      </c>
    </row>
    <row r="353">
      <c r="A353" s="7">
        <v>39360</v>
      </c>
      <c r="B353" s="15" t="s">
        <v>280</v>
      </c>
      <c r="C353" s="20">
        <v>-250</v>
      </c>
      <c r="D353" s="20">
        <v>665</v>
      </c>
      <c r="E353" s="20" t="s">
        <v>18</v>
      </c>
      <c r="F353" s="20" t="s">
        <v>78</v>
      </c>
    </row>
    <row r="354">
      <c r="A354" s="7">
        <v>39363</v>
      </c>
      <c r="B354" s="15" t="s">
        <v>281</v>
      </c>
      <c r="C354" s="20">
        <v>-133.55</v>
      </c>
      <c r="D354" s="20">
        <v>665</v>
      </c>
      <c r="E354" s="20" t="s">
        <v>18</v>
      </c>
      <c r="F354" s="20" t="s">
        <v>78</v>
      </c>
    </row>
    <row r="355">
      <c r="A355" s="7">
        <v>39366</v>
      </c>
      <c r="B355" s="15" t="s">
        <v>270</v>
      </c>
      <c r="C355" s="20">
        <v>250</v>
      </c>
      <c r="D355" s="20">
        <v>561</v>
      </c>
      <c r="E355" s="20" t="s">
        <v>18</v>
      </c>
      <c r="F355" s="20" t="s">
        <v>48</v>
      </c>
    </row>
    <row r="356">
      <c r="A356" s="7">
        <v>39367</v>
      </c>
      <c r="B356" s="15" t="s">
        <v>280</v>
      </c>
      <c r="C356" s="20">
        <v>-130</v>
      </c>
      <c r="D356" s="20">
        <v>665</v>
      </c>
      <c r="E356" s="20" t="s">
        <v>18</v>
      </c>
      <c r="F356" s="20" t="s">
        <v>78</v>
      </c>
    </row>
    <row r="357">
      <c r="A357" s="7">
        <v>39373</v>
      </c>
      <c r="B357" s="15" t="s">
        <v>282</v>
      </c>
      <c r="C357" s="20">
        <v>90</v>
      </c>
      <c r="D357" s="20">
        <v>561</v>
      </c>
      <c r="E357" s="20" t="s">
        <v>18</v>
      </c>
      <c r="F357" s="20" t="s">
        <v>48</v>
      </c>
    </row>
    <row r="358">
      <c r="A358" s="7">
        <v>39373</v>
      </c>
      <c r="B358" s="15" t="s">
        <v>283</v>
      </c>
      <c r="C358" s="20">
        <v>85</v>
      </c>
      <c r="D358" s="20">
        <v>561</v>
      </c>
      <c r="E358" s="20" t="s">
        <v>18</v>
      </c>
      <c r="F358" s="20" t="s">
        <v>48</v>
      </c>
    </row>
    <row r="359">
      <c r="A359" s="7">
        <v>39373</v>
      </c>
      <c r="B359" s="15" t="s">
        <v>284</v>
      </c>
      <c r="C359" s="20">
        <v>90</v>
      </c>
      <c r="D359" s="20">
        <v>561</v>
      </c>
      <c r="E359" s="20" t="s">
        <v>18</v>
      </c>
      <c r="F359" s="20" t="s">
        <v>48</v>
      </c>
    </row>
    <row r="360">
      <c r="A360" s="7">
        <v>39373</v>
      </c>
      <c r="B360" s="15" t="s">
        <v>285</v>
      </c>
      <c r="C360" s="20">
        <v>90</v>
      </c>
      <c r="D360" s="20">
        <v>561</v>
      </c>
      <c r="E360" s="20" t="s">
        <v>18</v>
      </c>
      <c r="F360" s="20" t="s">
        <v>48</v>
      </c>
    </row>
    <row r="361">
      <c r="A361" s="7">
        <v>39373</v>
      </c>
      <c r="B361" s="15" t="s">
        <v>286</v>
      </c>
      <c r="C361" s="20">
        <v>90</v>
      </c>
      <c r="D361" s="20">
        <v>561</v>
      </c>
      <c r="E361" s="20" t="s">
        <v>18</v>
      </c>
      <c r="F361" s="20" t="s">
        <v>48</v>
      </c>
    </row>
    <row r="362">
      <c r="A362" s="7">
        <v>39374</v>
      </c>
      <c r="B362" s="15" t="s">
        <v>287</v>
      </c>
      <c r="C362" s="20">
        <v>85</v>
      </c>
      <c r="D362" s="20">
        <v>561</v>
      </c>
      <c r="E362" s="20" t="s">
        <v>18</v>
      </c>
      <c r="F362" s="20" t="s">
        <v>48</v>
      </c>
    </row>
    <row r="363">
      <c r="A363" s="7">
        <v>39374</v>
      </c>
      <c r="B363" s="15" t="s">
        <v>288</v>
      </c>
      <c r="C363" s="20">
        <v>85</v>
      </c>
      <c r="D363" s="20">
        <v>561</v>
      </c>
      <c r="E363" s="20" t="s">
        <v>18</v>
      </c>
      <c r="F363" s="20" t="s">
        <v>48</v>
      </c>
    </row>
    <row r="364">
      <c r="A364" s="7">
        <v>39377</v>
      </c>
      <c r="B364" s="15" t="s">
        <v>289</v>
      </c>
      <c r="C364" s="20">
        <v>180</v>
      </c>
      <c r="D364" s="20">
        <v>561</v>
      </c>
      <c r="E364" s="20" t="s">
        <v>18</v>
      </c>
      <c r="F364" s="20" t="s">
        <v>48</v>
      </c>
    </row>
    <row r="365">
      <c r="A365" s="7">
        <v>39378</v>
      </c>
      <c r="B365" s="15" t="s">
        <v>290</v>
      </c>
      <c r="C365" s="20">
        <v>90</v>
      </c>
      <c r="D365" s="20">
        <v>561</v>
      </c>
      <c r="E365" s="20" t="s">
        <v>18</v>
      </c>
      <c r="F365" s="20" t="s">
        <v>48</v>
      </c>
    </row>
    <row r="366">
      <c r="A366" s="7">
        <v>39378</v>
      </c>
      <c r="B366" s="15" t="s">
        <v>291</v>
      </c>
      <c r="C366" s="20">
        <v>85</v>
      </c>
      <c r="D366" s="20">
        <v>561</v>
      </c>
      <c r="E366" s="20" t="s">
        <v>18</v>
      </c>
      <c r="F366" s="20" t="s">
        <v>48</v>
      </c>
    </row>
    <row r="367">
      <c r="A367" s="7">
        <v>39378</v>
      </c>
      <c r="B367" s="15" t="s">
        <v>292</v>
      </c>
      <c r="C367" s="20">
        <v>90</v>
      </c>
      <c r="D367" s="20">
        <v>561</v>
      </c>
      <c r="E367" s="20" t="s">
        <v>18</v>
      </c>
      <c r="F367" s="20" t="s">
        <v>48</v>
      </c>
    </row>
    <row r="368">
      <c r="A368" s="7">
        <v>39378</v>
      </c>
      <c r="B368" s="15" t="s">
        <v>293</v>
      </c>
      <c r="C368" s="20">
        <v>90</v>
      </c>
      <c r="D368" s="20">
        <v>561</v>
      </c>
      <c r="E368" s="20" t="s">
        <v>18</v>
      </c>
      <c r="F368" s="20" t="s">
        <v>48</v>
      </c>
    </row>
    <row r="369">
      <c r="A369" s="7">
        <v>39379</v>
      </c>
      <c r="B369" s="15" t="s">
        <v>294</v>
      </c>
      <c r="C369" s="20">
        <v>170</v>
      </c>
      <c r="D369" s="20">
        <v>561</v>
      </c>
      <c r="E369" s="20" t="s">
        <v>18</v>
      </c>
      <c r="F369" s="20" t="s">
        <v>48</v>
      </c>
    </row>
    <row r="370">
      <c r="A370" s="7">
        <v>39380</v>
      </c>
      <c r="B370" s="15" t="s">
        <v>295</v>
      </c>
      <c r="C370" s="20">
        <v>180</v>
      </c>
      <c r="D370" s="20">
        <v>561</v>
      </c>
      <c r="E370" s="20" t="s">
        <v>18</v>
      </c>
      <c r="F370" s="20" t="s">
        <v>48</v>
      </c>
    </row>
    <row r="371">
      <c r="A371" s="7">
        <v>39380</v>
      </c>
      <c r="B371" s="15" t="s">
        <v>296</v>
      </c>
      <c r="C371" s="20">
        <v>90</v>
      </c>
      <c r="D371" s="20">
        <v>561</v>
      </c>
      <c r="E371" s="20" t="s">
        <v>18</v>
      </c>
      <c r="F371" s="20" t="s">
        <v>48</v>
      </c>
    </row>
    <row r="372">
      <c r="A372" s="7">
        <v>39380</v>
      </c>
      <c r="B372" s="15" t="s">
        <v>297</v>
      </c>
      <c r="C372" s="20">
        <v>90</v>
      </c>
      <c r="D372" s="20">
        <v>561</v>
      </c>
      <c r="E372" s="20" t="s">
        <v>18</v>
      </c>
      <c r="F372" s="20" t="s">
        <v>48</v>
      </c>
    </row>
    <row r="373">
      <c r="A373" s="7">
        <v>39380</v>
      </c>
      <c r="B373" s="15" t="s">
        <v>298</v>
      </c>
      <c r="C373" s="20">
        <v>90</v>
      </c>
      <c r="D373" s="20">
        <v>561</v>
      </c>
      <c r="E373" s="20" t="s">
        <v>18</v>
      </c>
      <c r="F373" s="20" t="s">
        <v>48</v>
      </c>
    </row>
    <row r="374">
      <c r="A374" s="7">
        <v>39380</v>
      </c>
      <c r="B374" s="15" t="s">
        <v>299</v>
      </c>
      <c r="C374" s="20">
        <v>90</v>
      </c>
      <c r="D374" s="20">
        <v>561</v>
      </c>
      <c r="E374" s="20" t="s">
        <v>18</v>
      </c>
      <c r="F374" s="20" t="s">
        <v>48</v>
      </c>
    </row>
    <row r="375">
      <c r="A375" s="7">
        <v>39381</v>
      </c>
      <c r="B375" s="15" t="s">
        <v>300</v>
      </c>
      <c r="C375" s="20">
        <v>85</v>
      </c>
      <c r="D375" s="20">
        <v>561</v>
      </c>
      <c r="E375" s="20" t="s">
        <v>18</v>
      </c>
      <c r="F375" s="20" t="s">
        <v>48</v>
      </c>
    </row>
    <row r="376">
      <c r="A376" s="7">
        <v>39381</v>
      </c>
      <c r="B376" s="15" t="s">
        <v>301</v>
      </c>
      <c r="C376" s="20">
        <v>180</v>
      </c>
      <c r="D376" s="20">
        <v>561</v>
      </c>
      <c r="E376" s="20" t="s">
        <v>18</v>
      </c>
      <c r="F376" s="20" t="s">
        <v>48</v>
      </c>
    </row>
    <row r="377">
      <c r="A377" s="7">
        <v>39384</v>
      </c>
      <c r="B377" s="15" t="s">
        <v>302</v>
      </c>
      <c r="C377" s="20">
        <v>90</v>
      </c>
      <c r="D377" s="20">
        <v>561</v>
      </c>
      <c r="E377" s="20" t="s">
        <v>18</v>
      </c>
      <c r="F377" s="20" t="s">
        <v>48</v>
      </c>
    </row>
    <row r="378">
      <c r="A378" s="7">
        <v>39384</v>
      </c>
      <c r="B378" s="15" t="s">
        <v>303</v>
      </c>
      <c r="C378" s="20">
        <v>180</v>
      </c>
      <c r="D378" s="20">
        <v>561</v>
      </c>
      <c r="E378" s="20" t="s">
        <v>18</v>
      </c>
      <c r="F378" s="20" t="s">
        <v>48</v>
      </c>
    </row>
    <row r="379">
      <c r="A379" s="7">
        <v>39384</v>
      </c>
      <c r="B379" s="15" t="s">
        <v>304</v>
      </c>
      <c r="C379" s="20">
        <v>180</v>
      </c>
      <c r="D379" s="20">
        <v>561</v>
      </c>
      <c r="E379" s="20" t="s">
        <v>18</v>
      </c>
      <c r="F379" s="20" t="s">
        <v>48</v>
      </c>
    </row>
    <row r="380">
      <c r="A380" s="7">
        <v>39384</v>
      </c>
      <c r="B380" s="15" t="s">
        <v>305</v>
      </c>
      <c r="C380" s="20">
        <v>180</v>
      </c>
      <c r="D380" s="20">
        <v>561</v>
      </c>
      <c r="E380" s="20" t="s">
        <v>18</v>
      </c>
      <c r="F380" s="20" t="s">
        <v>48</v>
      </c>
    </row>
    <row r="381">
      <c r="A381" s="7">
        <v>39384</v>
      </c>
      <c r="B381" s="15" t="s">
        <v>306</v>
      </c>
      <c r="C381" s="20">
        <v>90</v>
      </c>
      <c r="D381" s="20">
        <v>561</v>
      </c>
      <c r="E381" s="20" t="s">
        <v>18</v>
      </c>
      <c r="F381" s="20" t="s">
        <v>48</v>
      </c>
    </row>
    <row r="382">
      <c r="A382" s="7">
        <v>39385</v>
      </c>
      <c r="B382" s="15" t="s">
        <v>307</v>
      </c>
      <c r="C382" s="20">
        <v>85</v>
      </c>
      <c r="D382" s="20">
        <v>561</v>
      </c>
      <c r="E382" s="20" t="s">
        <v>18</v>
      </c>
      <c r="F382" s="20" t="s">
        <v>48</v>
      </c>
    </row>
    <row r="383">
      <c r="A383" s="7">
        <v>39385</v>
      </c>
      <c r="B383" s="15" t="s">
        <v>308</v>
      </c>
      <c r="C383" s="20">
        <v>90</v>
      </c>
      <c r="D383" s="20">
        <v>561</v>
      </c>
      <c r="E383" s="20" t="s">
        <v>18</v>
      </c>
      <c r="F383" s="20" t="s">
        <v>48</v>
      </c>
    </row>
    <row r="384">
      <c r="A384" s="7">
        <v>39386</v>
      </c>
      <c r="B384" s="15" t="s">
        <v>309</v>
      </c>
      <c r="C384" s="20">
        <v>265</v>
      </c>
      <c r="D384" s="20">
        <v>561</v>
      </c>
      <c r="E384" s="20" t="s">
        <v>18</v>
      </c>
      <c r="F384" s="20" t="s">
        <v>48</v>
      </c>
    </row>
    <row r="385">
      <c r="A385" s="7">
        <v>39386</v>
      </c>
      <c r="B385" s="15" t="s">
        <v>310</v>
      </c>
      <c r="C385" s="20">
        <v>90</v>
      </c>
      <c r="D385" s="20">
        <v>561</v>
      </c>
      <c r="E385" s="20" t="s">
        <v>18</v>
      </c>
      <c r="F385" s="20" t="s">
        <v>48</v>
      </c>
    </row>
    <row r="386">
      <c r="A386" s="7">
        <v>39386</v>
      </c>
      <c r="B386" s="15" t="s">
        <v>311</v>
      </c>
      <c r="C386" s="20">
        <v>175</v>
      </c>
      <c r="D386" s="20">
        <v>561</v>
      </c>
      <c r="E386" s="20" t="s">
        <v>18</v>
      </c>
      <c r="F386" s="20" t="s">
        <v>48</v>
      </c>
    </row>
    <row r="387">
      <c r="A387" s="7">
        <v>39386</v>
      </c>
      <c r="B387" s="15" t="s">
        <v>312</v>
      </c>
      <c r="C387" s="20">
        <v>1170</v>
      </c>
      <c r="D387" s="20">
        <v>561</v>
      </c>
      <c r="E387" s="20" t="s">
        <v>18</v>
      </c>
      <c r="F387" s="20" t="s">
        <v>48</v>
      </c>
    </row>
    <row r="388">
      <c r="A388" s="7">
        <v>39386</v>
      </c>
      <c r="B388" s="15" t="s">
        <v>313</v>
      </c>
      <c r="C388" s="20">
        <v>360</v>
      </c>
      <c r="D388" s="20">
        <v>561</v>
      </c>
      <c r="E388" s="20" t="s">
        <v>18</v>
      </c>
      <c r="F388" s="20" t="s">
        <v>48</v>
      </c>
    </row>
    <row r="389">
      <c r="A389" s="7">
        <v>39386</v>
      </c>
      <c r="B389" s="15" t="s">
        <v>314</v>
      </c>
      <c r="C389" s="20">
        <v>90</v>
      </c>
      <c r="D389" s="20">
        <v>561</v>
      </c>
      <c r="E389" s="20" t="s">
        <v>18</v>
      </c>
      <c r="F389" s="20" t="s">
        <v>48</v>
      </c>
    </row>
    <row r="390">
      <c r="A390" s="7">
        <v>39386</v>
      </c>
      <c r="B390" s="15" t="s">
        <v>315</v>
      </c>
      <c r="C390" s="20">
        <v>85</v>
      </c>
      <c r="D390" s="20">
        <v>561</v>
      </c>
      <c r="E390" s="20" t="s">
        <v>18</v>
      </c>
      <c r="F390" s="20" t="s">
        <v>48</v>
      </c>
    </row>
    <row r="391">
      <c r="A391" s="7">
        <v>39386</v>
      </c>
      <c r="B391" s="15" t="s">
        <v>316</v>
      </c>
      <c r="C391" s="20">
        <v>85</v>
      </c>
      <c r="D391" s="20">
        <v>561</v>
      </c>
      <c r="E391" s="20" t="s">
        <v>18</v>
      </c>
      <c r="F391" s="20" t="s">
        <v>48</v>
      </c>
    </row>
    <row r="392">
      <c r="A392" s="7">
        <v>39386</v>
      </c>
      <c r="B392" s="15" t="s">
        <v>317</v>
      </c>
      <c r="C392" s="20">
        <v>0.07</v>
      </c>
      <c r="D392" s="20">
        <v>502</v>
      </c>
      <c r="E392" s="20" t="s">
        <v>18</v>
      </c>
      <c r="F392" s="20" t="s">
        <v>40</v>
      </c>
    </row>
    <row r="393">
      <c r="A393" s="7">
        <v>39387</v>
      </c>
      <c r="B393" s="15" t="s">
        <v>318</v>
      </c>
      <c r="C393" s="20">
        <v>85</v>
      </c>
      <c r="D393" s="20">
        <v>561</v>
      </c>
      <c r="E393" s="20" t="s">
        <v>18</v>
      </c>
      <c r="F393" s="20" t="s">
        <v>48</v>
      </c>
    </row>
    <row r="394">
      <c r="A394" s="7">
        <v>39388</v>
      </c>
      <c r="B394" s="15" t="s">
        <v>319</v>
      </c>
      <c r="C394" s="20">
        <v>90</v>
      </c>
      <c r="D394" s="20">
        <v>561</v>
      </c>
      <c r="E394" s="20" t="s">
        <v>18</v>
      </c>
      <c r="F394" s="20" t="s">
        <v>48</v>
      </c>
    </row>
    <row r="395">
      <c r="A395" s="7">
        <v>39388</v>
      </c>
      <c r="B395" s="15" t="s">
        <v>320</v>
      </c>
      <c r="C395" s="20">
        <v>90</v>
      </c>
      <c r="D395" s="20">
        <v>561</v>
      </c>
      <c r="E395" s="20" t="s">
        <v>18</v>
      </c>
      <c r="F395" s="20" t="s">
        <v>48</v>
      </c>
    </row>
    <row r="396">
      <c r="A396" s="7">
        <v>39388</v>
      </c>
      <c r="B396" s="15" t="s">
        <v>321</v>
      </c>
      <c r="C396" s="20">
        <v>90</v>
      </c>
      <c r="D396" s="20">
        <v>561</v>
      </c>
      <c r="E396" s="20" t="s">
        <v>18</v>
      </c>
      <c r="F396" s="20" t="s">
        <v>48</v>
      </c>
    </row>
    <row r="397">
      <c r="A397" s="7">
        <v>39388</v>
      </c>
      <c r="B397" s="15" t="s">
        <v>322</v>
      </c>
      <c r="C397" s="20">
        <v>90</v>
      </c>
      <c r="D397" s="20">
        <v>561</v>
      </c>
      <c r="E397" s="20" t="s">
        <v>18</v>
      </c>
      <c r="F397" s="20" t="s">
        <v>48</v>
      </c>
    </row>
    <row r="398">
      <c r="A398" s="7">
        <v>39388</v>
      </c>
      <c r="B398" s="15" t="s">
        <v>323</v>
      </c>
      <c r="C398" s="20">
        <v>85</v>
      </c>
      <c r="D398" s="20">
        <v>561</v>
      </c>
      <c r="E398" s="20" t="s">
        <v>18</v>
      </c>
      <c r="F398" s="20" t="s">
        <v>48</v>
      </c>
    </row>
    <row r="399">
      <c r="A399" s="7">
        <v>39391</v>
      </c>
      <c r="B399" s="15" t="s">
        <v>324</v>
      </c>
      <c r="C399" s="20">
        <v>-3000</v>
      </c>
      <c r="D399" s="20">
        <v>662</v>
      </c>
      <c r="E399" s="20" t="s">
        <v>18</v>
      </c>
      <c r="F399" s="20" t="s">
        <v>75</v>
      </c>
    </row>
    <row r="400">
      <c r="A400" s="7">
        <v>39391</v>
      </c>
      <c r="B400" s="15" t="s">
        <v>325</v>
      </c>
      <c r="C400" s="20">
        <v>430</v>
      </c>
      <c r="D400" s="20">
        <v>561</v>
      </c>
      <c r="E400" s="20" t="s">
        <v>18</v>
      </c>
      <c r="F400" s="20" t="s">
        <v>48</v>
      </c>
    </row>
    <row r="401">
      <c r="A401" s="7">
        <v>39392</v>
      </c>
      <c r="B401" s="15" t="s">
        <v>326</v>
      </c>
      <c r="C401" s="20">
        <v>-3516</v>
      </c>
      <c r="D401" s="20">
        <v>661</v>
      </c>
      <c r="E401" s="20" t="s">
        <v>18</v>
      </c>
      <c r="F401" s="20" t="s">
        <v>74</v>
      </c>
    </row>
    <row r="402">
      <c r="A402" s="7">
        <v>39393</v>
      </c>
      <c r="B402" s="15" t="s">
        <v>327</v>
      </c>
      <c r="C402" s="20">
        <v>-312</v>
      </c>
      <c r="D402" s="20">
        <v>665</v>
      </c>
      <c r="E402" s="20" t="s">
        <v>18</v>
      </c>
      <c r="F402" s="20" t="s">
        <v>78</v>
      </c>
    </row>
    <row r="403">
      <c r="A403" s="7">
        <v>39416</v>
      </c>
      <c r="B403" s="15" t="s">
        <v>328</v>
      </c>
      <c r="C403" s="20">
        <v>0.05</v>
      </c>
      <c r="D403" s="20">
        <v>502</v>
      </c>
      <c r="E403" s="20" t="s">
        <v>18</v>
      </c>
      <c r="F403" s="20" t="s">
        <v>40</v>
      </c>
    </row>
    <row r="404">
      <c r="A404" s="7">
        <v>39443</v>
      </c>
      <c r="B404" s="15" t="s">
        <v>329</v>
      </c>
      <c r="C404" s="20">
        <v>-90</v>
      </c>
      <c r="D404" s="20">
        <v>608</v>
      </c>
      <c r="E404" s="20" t="s">
        <v>18</v>
      </c>
      <c r="F404" s="20" t="s">
        <v>69</v>
      </c>
    </row>
    <row r="405">
      <c r="A405" s="7">
        <v>39447</v>
      </c>
      <c r="B405" s="15" t="s">
        <v>330</v>
      </c>
      <c r="C405" s="20">
        <v>0.01</v>
      </c>
      <c r="D405" s="20">
        <v>502</v>
      </c>
      <c r="E405" s="20" t="s">
        <v>18</v>
      </c>
      <c r="F405" s="20" t="s">
        <v>40</v>
      </c>
    </row>
    <row r="406">
      <c r="A406" s="7">
        <v>39507</v>
      </c>
      <c r="B406" s="15" t="s">
        <v>268</v>
      </c>
      <c r="C406" s="20">
        <v>0.01</v>
      </c>
      <c r="D406" s="20">
        <v>502</v>
      </c>
      <c r="E406" s="20" t="s">
        <v>18</v>
      </c>
      <c r="F406" s="20" t="s">
        <v>40</v>
      </c>
    </row>
    <row r="407">
      <c r="A407" s="7">
        <v>39519</v>
      </c>
      <c r="B407" s="15" t="s">
        <v>331</v>
      </c>
      <c r="C407" s="20">
        <v>1000</v>
      </c>
      <c r="D407" s="20">
        <v>505</v>
      </c>
      <c r="E407" s="20" t="s">
        <v>18</v>
      </c>
      <c r="F407" s="20" t="s">
        <v>43</v>
      </c>
    </row>
    <row r="408">
      <c r="A408" s="7">
        <v>39520</v>
      </c>
      <c r="B408" s="15" t="s">
        <v>332</v>
      </c>
      <c r="C408" s="20">
        <v>20</v>
      </c>
      <c r="D408" s="20">
        <v>584</v>
      </c>
      <c r="E408" s="20" t="s">
        <v>18</v>
      </c>
      <c r="F408" s="20" t="s">
        <v>53</v>
      </c>
    </row>
    <row r="409">
      <c r="A409" s="7">
        <v>39520</v>
      </c>
      <c r="B409" s="15" t="s">
        <v>333</v>
      </c>
      <c r="C409" s="20">
        <v>300</v>
      </c>
      <c r="D409" s="20">
        <v>503</v>
      </c>
      <c r="E409" s="20" t="s">
        <v>18</v>
      </c>
      <c r="F409" s="20" t="s">
        <v>41</v>
      </c>
    </row>
    <row r="410">
      <c r="A410" s="7">
        <v>39520</v>
      </c>
      <c r="B410" s="15" t="s">
        <v>334</v>
      </c>
      <c r="C410" s="20">
        <v>0</v>
      </c>
      <c r="D410" s="20"/>
      <c r="E410" s="20" t="s">
        <v>18</v>
      </c>
      <c r="F410" s="20" t="e">
        <v>#N/A</v>
      </c>
    </row>
    <row r="411">
      <c r="A411" s="7">
        <v>39532</v>
      </c>
      <c r="B411" s="15" t="s">
        <v>335</v>
      </c>
      <c r="C411" s="20">
        <v>20</v>
      </c>
      <c r="D411" s="20">
        <v>584</v>
      </c>
      <c r="E411" s="20" t="s">
        <v>18</v>
      </c>
      <c r="F411" s="20" t="s">
        <v>53</v>
      </c>
    </row>
    <row r="412">
      <c r="A412" s="7">
        <v>39533</v>
      </c>
      <c r="B412" s="15" t="s">
        <v>333</v>
      </c>
      <c r="C412" s="20">
        <v>72.55</v>
      </c>
      <c r="D412" s="20">
        <v>503</v>
      </c>
      <c r="E412" s="20" t="s">
        <v>18</v>
      </c>
      <c r="F412" s="20" t="s">
        <v>41</v>
      </c>
    </row>
    <row r="413">
      <c r="A413" s="7">
        <v>39535</v>
      </c>
      <c r="B413" s="15" t="s">
        <v>336</v>
      </c>
      <c r="C413" s="20">
        <v>5</v>
      </c>
      <c r="D413" s="20">
        <v>503</v>
      </c>
      <c r="E413" s="20" t="s">
        <v>18</v>
      </c>
      <c r="F413" s="20" t="s">
        <v>41</v>
      </c>
    </row>
    <row r="414">
      <c r="A414" s="7">
        <v>39535</v>
      </c>
      <c r="B414" s="15" t="s">
        <v>337</v>
      </c>
      <c r="C414" s="20">
        <v>20</v>
      </c>
      <c r="D414" s="20">
        <v>584</v>
      </c>
      <c r="E414" s="20" t="s">
        <v>18</v>
      </c>
      <c r="F414" s="20" t="s">
        <v>53</v>
      </c>
    </row>
    <row r="415">
      <c r="A415" s="7">
        <v>39535</v>
      </c>
      <c r="B415" s="15" t="s">
        <v>338</v>
      </c>
      <c r="C415" s="20">
        <v>22</v>
      </c>
      <c r="D415" s="20">
        <v>584</v>
      </c>
      <c r="E415" s="20" t="s">
        <v>18</v>
      </c>
      <c r="F415" s="20" t="s">
        <v>53</v>
      </c>
    </row>
    <row r="416">
      <c r="A416" s="7">
        <v>39535</v>
      </c>
      <c r="B416" s="15" t="s">
        <v>339</v>
      </c>
      <c r="C416" s="20">
        <v>40</v>
      </c>
      <c r="D416" s="20">
        <v>584</v>
      </c>
      <c r="E416" s="20" t="s">
        <v>18</v>
      </c>
      <c r="F416" s="20" t="s">
        <v>53</v>
      </c>
    </row>
    <row r="417">
      <c r="A417" s="7">
        <v>39535</v>
      </c>
      <c r="B417" s="15" t="s">
        <v>273</v>
      </c>
      <c r="C417" s="20">
        <v>-475</v>
      </c>
      <c r="D417" s="20">
        <v>684</v>
      </c>
      <c r="E417" s="20" t="s">
        <v>18</v>
      </c>
      <c r="F417" s="20" t="s">
        <v>82</v>
      </c>
    </row>
    <row r="418">
      <c r="A418" s="7">
        <v>39538</v>
      </c>
      <c r="B418" s="15" t="s">
        <v>268</v>
      </c>
      <c r="C418" s="20">
        <v>0.04</v>
      </c>
      <c r="D418" s="20">
        <v>502</v>
      </c>
      <c r="E418" s="20" t="s">
        <v>18</v>
      </c>
      <c r="F418" s="20" t="s">
        <v>40</v>
      </c>
    </row>
    <row r="419">
      <c r="A419" s="7">
        <v>39542</v>
      </c>
      <c r="B419" s="15" t="s">
        <v>340</v>
      </c>
      <c r="C419" s="20">
        <v>300</v>
      </c>
      <c r="D419" s="20">
        <v>584</v>
      </c>
      <c r="E419" s="20" t="s">
        <v>18</v>
      </c>
      <c r="F419" s="20" t="s">
        <v>53</v>
      </c>
    </row>
    <row r="420">
      <c r="A420" s="7">
        <v>39568</v>
      </c>
      <c r="B420" s="15" t="s">
        <v>268</v>
      </c>
      <c r="C420" s="20">
        <v>0.06</v>
      </c>
      <c r="D420" s="20">
        <v>502</v>
      </c>
      <c r="E420" s="20" t="s">
        <v>18</v>
      </c>
      <c r="F420" s="20" t="s">
        <v>40</v>
      </c>
    </row>
    <row r="421">
      <c r="A421" s="7">
        <v>39576</v>
      </c>
      <c r="B421" s="15" t="s">
        <v>341</v>
      </c>
      <c r="C421" s="20">
        <v>15</v>
      </c>
      <c r="D421" s="20">
        <v>504</v>
      </c>
      <c r="E421" s="20" t="s">
        <v>18</v>
      </c>
      <c r="F421" s="20" t="s">
        <v>42</v>
      </c>
    </row>
    <row r="422">
      <c r="A422" s="7">
        <v>39576</v>
      </c>
      <c r="B422" s="15" t="s">
        <v>342</v>
      </c>
      <c r="C422" s="20">
        <v>-220</v>
      </c>
      <c r="D422" s="20">
        <v>605</v>
      </c>
      <c r="E422" s="20" t="s">
        <v>18</v>
      </c>
      <c r="F422" s="20" t="s">
        <v>66</v>
      </c>
    </row>
    <row r="423">
      <c r="A423" s="7">
        <v>39577</v>
      </c>
      <c r="B423" s="15" t="s">
        <v>343</v>
      </c>
      <c r="C423" s="20">
        <v>-7.5</v>
      </c>
      <c r="D423" s="20">
        <v>602</v>
      </c>
      <c r="E423" s="20" t="s">
        <v>18</v>
      </c>
      <c r="F423" s="20" t="s">
        <v>63</v>
      </c>
    </row>
    <row r="424">
      <c r="A424" s="7">
        <v>39599</v>
      </c>
      <c r="B424" s="15" t="s">
        <v>268</v>
      </c>
      <c r="C424" s="20">
        <v>0.06</v>
      </c>
      <c r="D424" s="20">
        <v>502</v>
      </c>
      <c r="E424" s="20" t="s">
        <v>18</v>
      </c>
      <c r="F424" s="20" t="s">
        <v>40</v>
      </c>
    </row>
    <row r="425">
      <c r="A425" s="7">
        <v>39599</v>
      </c>
      <c r="B425" s="15" t="s">
        <v>344</v>
      </c>
      <c r="C425" s="20">
        <v>-7.5</v>
      </c>
      <c r="D425" s="20">
        <v>602</v>
      </c>
      <c r="E425" s="20" t="s">
        <v>18</v>
      </c>
      <c r="F425" s="20" t="s">
        <v>63</v>
      </c>
    </row>
    <row r="426">
      <c r="A426" s="7">
        <v>39611</v>
      </c>
      <c r="B426" s="15" t="s">
        <v>345</v>
      </c>
      <c r="C426" s="20">
        <v>80</v>
      </c>
      <c r="D426" s="20">
        <v>503</v>
      </c>
      <c r="E426" s="20" t="s">
        <v>18</v>
      </c>
      <c r="F426" s="20" t="s">
        <v>41</v>
      </c>
    </row>
    <row r="427">
      <c r="A427" s="7">
        <v>39629</v>
      </c>
      <c r="B427" s="15" t="s">
        <v>268</v>
      </c>
      <c r="C427" s="20">
        <v>0.05</v>
      </c>
      <c r="D427" s="20">
        <v>502</v>
      </c>
      <c r="E427" s="20" t="s">
        <v>18</v>
      </c>
      <c r="F427" s="20" t="s">
        <v>40</v>
      </c>
    </row>
    <row r="428">
      <c r="A428" s="7">
        <v>39660</v>
      </c>
      <c r="B428" s="15" t="s">
        <v>268</v>
      </c>
      <c r="C428" s="20">
        <v>0.06</v>
      </c>
      <c r="D428" s="20">
        <v>502</v>
      </c>
      <c r="E428" s="20" t="s">
        <v>18</v>
      </c>
      <c r="F428" s="20" t="s">
        <v>40</v>
      </c>
    </row>
    <row r="429">
      <c r="A429" s="7">
        <v>39661</v>
      </c>
      <c r="B429" s="15" t="s">
        <v>346</v>
      </c>
      <c r="C429" s="20">
        <v>5</v>
      </c>
      <c r="D429" s="20">
        <v>503</v>
      </c>
      <c r="E429" s="20" t="s">
        <v>18</v>
      </c>
      <c r="F429" s="20" t="s">
        <v>41</v>
      </c>
    </row>
    <row r="430">
      <c r="A430" s="7">
        <v>39671</v>
      </c>
      <c r="B430" s="15" t="s">
        <v>347</v>
      </c>
      <c r="C430" s="20">
        <v>-200</v>
      </c>
      <c r="D430" s="20">
        <v>686</v>
      </c>
      <c r="E430" s="20" t="s">
        <v>18</v>
      </c>
      <c r="F430" s="20" t="s">
        <v>84</v>
      </c>
    </row>
    <row r="431">
      <c r="A431" s="7">
        <v>39672</v>
      </c>
      <c r="B431" s="15" t="s">
        <v>348</v>
      </c>
      <c r="C431" s="20">
        <v>5</v>
      </c>
      <c r="D431" s="20">
        <v>503</v>
      </c>
      <c r="E431" s="20" t="s">
        <v>18</v>
      </c>
      <c r="F431" s="20" t="s">
        <v>41</v>
      </c>
    </row>
    <row r="432">
      <c r="A432" s="7">
        <v>39675</v>
      </c>
      <c r="B432" s="15" t="s">
        <v>349</v>
      </c>
      <c r="C432" s="20">
        <v>20</v>
      </c>
      <c r="D432" s="20">
        <v>586</v>
      </c>
      <c r="E432" s="20" t="s">
        <v>18</v>
      </c>
      <c r="F432" s="20" t="s">
        <v>55</v>
      </c>
    </row>
    <row r="433">
      <c r="A433" s="7">
        <v>39675</v>
      </c>
      <c r="B433" s="15" t="s">
        <v>350</v>
      </c>
      <c r="C433" s="20">
        <v>5</v>
      </c>
      <c r="D433" s="20">
        <v>503</v>
      </c>
      <c r="E433" s="20" t="s">
        <v>18</v>
      </c>
      <c r="F433" s="20" t="s">
        <v>41</v>
      </c>
    </row>
    <row r="434">
      <c r="A434" s="7">
        <v>39675</v>
      </c>
      <c r="B434" s="15" t="s">
        <v>351</v>
      </c>
      <c r="C434" s="20">
        <v>5</v>
      </c>
      <c r="D434" s="20">
        <v>503</v>
      </c>
      <c r="E434" s="20" t="s">
        <v>18</v>
      </c>
      <c r="F434" s="20" t="s">
        <v>41</v>
      </c>
    </row>
    <row r="435">
      <c r="A435" s="7">
        <v>39675</v>
      </c>
      <c r="B435" s="15" t="s">
        <v>352</v>
      </c>
      <c r="C435" s="20">
        <v>5</v>
      </c>
      <c r="D435" s="20">
        <v>503</v>
      </c>
      <c r="E435" s="20" t="s">
        <v>18</v>
      </c>
      <c r="F435" s="20" t="s">
        <v>41</v>
      </c>
    </row>
    <row r="436">
      <c r="A436" s="7">
        <v>39675</v>
      </c>
      <c r="B436" s="15" t="s">
        <v>353</v>
      </c>
      <c r="C436" s="20">
        <v>20</v>
      </c>
      <c r="D436" s="20">
        <v>586</v>
      </c>
      <c r="E436" s="20" t="s">
        <v>18</v>
      </c>
      <c r="F436" s="20" t="s">
        <v>55</v>
      </c>
    </row>
    <row r="437">
      <c r="A437" s="7">
        <v>39675</v>
      </c>
      <c r="B437" s="15" t="s">
        <v>354</v>
      </c>
      <c r="C437" s="20">
        <v>20</v>
      </c>
      <c r="D437" s="20">
        <v>586</v>
      </c>
      <c r="E437" s="20" t="s">
        <v>18</v>
      </c>
      <c r="F437" s="20" t="s">
        <v>55</v>
      </c>
    </row>
    <row r="438">
      <c r="A438" s="7">
        <v>39675</v>
      </c>
      <c r="B438" s="15" t="s">
        <v>355</v>
      </c>
      <c r="C438" s="20">
        <v>20</v>
      </c>
      <c r="D438" s="20">
        <v>586</v>
      </c>
      <c r="E438" s="20" t="s">
        <v>18</v>
      </c>
      <c r="F438" s="20" t="s">
        <v>55</v>
      </c>
    </row>
    <row r="439">
      <c r="A439" s="7">
        <v>39678</v>
      </c>
      <c r="B439" s="15" t="s">
        <v>356</v>
      </c>
      <c r="C439" s="20">
        <v>20</v>
      </c>
      <c r="D439" s="20">
        <v>586</v>
      </c>
      <c r="E439" s="20" t="s">
        <v>18</v>
      </c>
      <c r="F439" s="20" t="s">
        <v>55</v>
      </c>
    </row>
    <row r="440">
      <c r="A440" s="7">
        <v>39678</v>
      </c>
      <c r="B440" s="15" t="s">
        <v>357</v>
      </c>
      <c r="C440" s="20">
        <v>20</v>
      </c>
      <c r="D440" s="20">
        <v>586</v>
      </c>
      <c r="E440" s="20" t="s">
        <v>18</v>
      </c>
      <c r="F440" s="20" t="s">
        <v>55</v>
      </c>
    </row>
    <row r="441">
      <c r="A441" s="7">
        <v>39679</v>
      </c>
      <c r="B441" s="15" t="s">
        <v>358</v>
      </c>
      <c r="C441" s="20">
        <v>45</v>
      </c>
      <c r="D441" s="20">
        <v>586</v>
      </c>
      <c r="E441" s="20" t="s">
        <v>18</v>
      </c>
      <c r="F441" s="20" t="s">
        <v>55</v>
      </c>
    </row>
    <row r="442">
      <c r="A442" s="7">
        <v>39679</v>
      </c>
      <c r="B442" s="15" t="s">
        <v>359</v>
      </c>
      <c r="C442" s="20">
        <v>20</v>
      </c>
      <c r="D442" s="20">
        <v>586</v>
      </c>
      <c r="E442" s="20" t="s">
        <v>18</v>
      </c>
      <c r="F442" s="20" t="s">
        <v>55</v>
      </c>
    </row>
    <row r="443">
      <c r="A443" s="7">
        <v>39680</v>
      </c>
      <c r="B443" s="15" t="s">
        <v>360</v>
      </c>
      <c r="C443" s="20">
        <v>25</v>
      </c>
      <c r="D443" s="20">
        <v>586</v>
      </c>
      <c r="E443" s="20" t="s">
        <v>18</v>
      </c>
      <c r="F443" s="20" t="s">
        <v>55</v>
      </c>
    </row>
    <row r="444">
      <c r="A444" s="7">
        <v>39680</v>
      </c>
      <c r="B444" s="15" t="s">
        <v>361</v>
      </c>
      <c r="C444" s="20">
        <v>25</v>
      </c>
      <c r="D444" s="20">
        <v>586</v>
      </c>
      <c r="E444" s="20" t="s">
        <v>18</v>
      </c>
      <c r="F444" s="20" t="s">
        <v>55</v>
      </c>
    </row>
    <row r="445">
      <c r="A445" s="7">
        <v>39680</v>
      </c>
      <c r="B445" s="15" t="s">
        <v>362</v>
      </c>
      <c r="C445" s="20">
        <v>25</v>
      </c>
      <c r="D445" s="20">
        <v>586</v>
      </c>
      <c r="E445" s="20" t="s">
        <v>18</v>
      </c>
      <c r="F445" s="20" t="s">
        <v>55</v>
      </c>
    </row>
    <row r="446">
      <c r="A446" s="7">
        <v>39680</v>
      </c>
      <c r="B446" s="15" t="s">
        <v>363</v>
      </c>
      <c r="C446" s="20">
        <v>25</v>
      </c>
      <c r="D446" s="20">
        <v>586</v>
      </c>
      <c r="E446" s="20" t="s">
        <v>18</v>
      </c>
      <c r="F446" s="20" t="s">
        <v>55</v>
      </c>
    </row>
    <row r="447">
      <c r="A447" s="7">
        <v>39680</v>
      </c>
      <c r="B447" s="15" t="s">
        <v>364</v>
      </c>
      <c r="C447" s="20">
        <v>20</v>
      </c>
      <c r="D447" s="20">
        <v>586</v>
      </c>
      <c r="E447" s="20" t="s">
        <v>18</v>
      </c>
      <c r="F447" s="20" t="s">
        <v>55</v>
      </c>
    </row>
    <row r="448">
      <c r="A448" s="7">
        <v>39682</v>
      </c>
      <c r="B448" s="15" t="s">
        <v>365</v>
      </c>
      <c r="C448" s="20">
        <v>50</v>
      </c>
      <c r="D448" s="20">
        <v>586</v>
      </c>
      <c r="E448" s="20" t="s">
        <v>18</v>
      </c>
      <c r="F448" s="20" t="s">
        <v>55</v>
      </c>
    </row>
    <row r="449">
      <c r="A449" s="7">
        <v>39682</v>
      </c>
      <c r="B449" s="15" t="s">
        <v>366</v>
      </c>
      <c r="C449" s="20">
        <v>25</v>
      </c>
      <c r="D449" s="20">
        <v>586</v>
      </c>
      <c r="E449" s="20" t="s">
        <v>18</v>
      </c>
      <c r="F449" s="20" t="s">
        <v>55</v>
      </c>
    </row>
    <row r="450">
      <c r="A450" s="7">
        <v>39682</v>
      </c>
      <c r="B450" s="15" t="s">
        <v>367</v>
      </c>
      <c r="C450" s="20">
        <v>5</v>
      </c>
      <c r="D450" s="20">
        <v>503</v>
      </c>
      <c r="E450" s="20" t="s">
        <v>18</v>
      </c>
      <c r="F450" s="20" t="s">
        <v>41</v>
      </c>
    </row>
    <row r="451">
      <c r="A451" s="7">
        <v>39682</v>
      </c>
      <c r="B451" s="15" t="s">
        <v>368</v>
      </c>
      <c r="C451" s="20">
        <v>25</v>
      </c>
      <c r="D451" s="20">
        <v>586</v>
      </c>
      <c r="E451" s="20" t="s">
        <v>18</v>
      </c>
      <c r="F451" s="20" t="s">
        <v>55</v>
      </c>
    </row>
    <row r="452">
      <c r="A452" s="7">
        <v>39682</v>
      </c>
      <c r="B452" s="15" t="s">
        <v>369</v>
      </c>
      <c r="C452" s="20">
        <v>-240</v>
      </c>
      <c r="D452" s="20">
        <v>686</v>
      </c>
      <c r="E452" s="20" t="s">
        <v>18</v>
      </c>
      <c r="F452" s="20" t="s">
        <v>84</v>
      </c>
    </row>
    <row r="453">
      <c r="A453" s="7">
        <v>39685</v>
      </c>
      <c r="B453" s="15" t="s">
        <v>370</v>
      </c>
      <c r="C453" s="20">
        <v>240</v>
      </c>
      <c r="D453" s="20">
        <v>561</v>
      </c>
      <c r="E453" s="20" t="s">
        <v>18</v>
      </c>
      <c r="F453" s="20" t="s">
        <v>48</v>
      </c>
    </row>
    <row r="454">
      <c r="A454" s="7">
        <v>39685</v>
      </c>
      <c r="B454" s="15" t="s">
        <v>371</v>
      </c>
      <c r="C454" s="20">
        <v>210</v>
      </c>
      <c r="D454" s="20">
        <v>561</v>
      </c>
      <c r="E454" s="20" t="s">
        <v>18</v>
      </c>
      <c r="F454" s="20" t="s">
        <v>48</v>
      </c>
    </row>
    <row r="455">
      <c r="A455" s="7">
        <v>39689</v>
      </c>
      <c r="B455" s="15" t="s">
        <v>372</v>
      </c>
      <c r="C455" s="20">
        <v>195</v>
      </c>
      <c r="D455" s="20">
        <v>561</v>
      </c>
      <c r="E455" s="20" t="s">
        <v>18</v>
      </c>
      <c r="F455" s="20" t="s">
        <v>48</v>
      </c>
    </row>
    <row r="456">
      <c r="A456" s="7">
        <v>39696</v>
      </c>
      <c r="B456" s="15" t="s">
        <v>270</v>
      </c>
      <c r="C456" s="20">
        <v>413.3</v>
      </c>
      <c r="D456" s="20">
        <v>586</v>
      </c>
      <c r="E456" s="20" t="s">
        <v>18</v>
      </c>
      <c r="F456" s="20" t="s">
        <v>55</v>
      </c>
    </row>
    <row r="457">
      <c r="A457" s="7">
        <v>39696</v>
      </c>
      <c r="B457" s="15" t="s">
        <v>373</v>
      </c>
      <c r="C457" s="20">
        <v>170</v>
      </c>
      <c r="D457" s="20">
        <v>561</v>
      </c>
      <c r="E457" s="20" t="s">
        <v>18</v>
      </c>
      <c r="F457" s="20" t="s">
        <v>48</v>
      </c>
    </row>
    <row r="458">
      <c r="A458" s="7">
        <v>39700</v>
      </c>
      <c r="B458" s="15" t="s">
        <v>374</v>
      </c>
      <c r="C458" s="20">
        <v>5</v>
      </c>
      <c r="D458" s="20">
        <v>503</v>
      </c>
      <c r="E458" s="20" t="s">
        <v>18</v>
      </c>
      <c r="F458" s="20" t="s">
        <v>41</v>
      </c>
    </row>
    <row r="459">
      <c r="A459" s="7">
        <v>39700</v>
      </c>
      <c r="B459" s="15" t="s">
        <v>375</v>
      </c>
      <c r="C459" s="20">
        <v>5</v>
      </c>
      <c r="D459" s="20">
        <v>503</v>
      </c>
      <c r="E459" s="20" t="s">
        <v>18</v>
      </c>
      <c r="F459" s="20" t="s">
        <v>41</v>
      </c>
    </row>
    <row r="460">
      <c r="A460" s="7">
        <v>39700</v>
      </c>
      <c r="B460" s="15" t="s">
        <v>376</v>
      </c>
      <c r="C460" s="20">
        <v>5</v>
      </c>
      <c r="D460" s="20">
        <v>503</v>
      </c>
      <c r="E460" s="20" t="s">
        <v>18</v>
      </c>
      <c r="F460" s="20" t="s">
        <v>41</v>
      </c>
    </row>
    <row r="461">
      <c r="A461" s="7">
        <v>39700</v>
      </c>
      <c r="B461" s="15" t="s">
        <v>377</v>
      </c>
      <c r="C461" s="20">
        <v>85</v>
      </c>
      <c r="D461" s="20">
        <v>561</v>
      </c>
      <c r="E461" s="20" t="s">
        <v>18</v>
      </c>
      <c r="F461" s="20" t="s">
        <v>48</v>
      </c>
    </row>
    <row r="462">
      <c r="A462" s="7">
        <v>39700</v>
      </c>
      <c r="B462" s="15" t="s">
        <v>378</v>
      </c>
      <c r="C462" s="20">
        <v>85</v>
      </c>
      <c r="D462" s="20">
        <v>561</v>
      </c>
      <c r="E462" s="20" t="s">
        <v>18</v>
      </c>
      <c r="F462" s="20" t="s">
        <v>48</v>
      </c>
    </row>
    <row r="463">
      <c r="A463" s="7">
        <v>39700</v>
      </c>
      <c r="B463" s="15" t="s">
        <v>379</v>
      </c>
      <c r="C463" s="20">
        <v>85</v>
      </c>
      <c r="D463" s="20">
        <v>561</v>
      </c>
      <c r="E463" s="20" t="s">
        <v>18</v>
      </c>
      <c r="F463" s="20" t="s">
        <v>48</v>
      </c>
    </row>
    <row r="464">
      <c r="A464" s="7">
        <v>39700</v>
      </c>
      <c r="B464" s="15" t="s">
        <v>380</v>
      </c>
      <c r="C464" s="20">
        <v>750</v>
      </c>
      <c r="D464" s="20">
        <v>505</v>
      </c>
      <c r="E464" s="20" t="s">
        <v>18</v>
      </c>
      <c r="F464" s="20" t="s">
        <v>43</v>
      </c>
    </row>
    <row r="465">
      <c r="A465" s="7">
        <v>39701</v>
      </c>
      <c r="B465" s="15" t="s">
        <v>381</v>
      </c>
      <c r="C465" s="20">
        <v>105</v>
      </c>
      <c r="D465" s="20">
        <v>561</v>
      </c>
      <c r="E465" s="20" t="s">
        <v>18</v>
      </c>
      <c r="F465" s="20" t="s">
        <v>48</v>
      </c>
    </row>
    <row r="466">
      <c r="A466" s="7">
        <v>39701</v>
      </c>
      <c r="B466" s="15" t="s">
        <v>382</v>
      </c>
      <c r="C466" s="20">
        <v>85</v>
      </c>
      <c r="D466" s="20">
        <v>561</v>
      </c>
      <c r="E466" s="20" t="s">
        <v>18</v>
      </c>
      <c r="F466" s="20" t="s">
        <v>48</v>
      </c>
    </row>
    <row r="467">
      <c r="A467" s="7">
        <v>39701</v>
      </c>
      <c r="B467" s="15" t="s">
        <v>383</v>
      </c>
      <c r="C467" s="20">
        <v>85</v>
      </c>
      <c r="D467" s="20">
        <v>561</v>
      </c>
      <c r="E467" s="20" t="s">
        <v>18</v>
      </c>
      <c r="F467" s="20" t="s">
        <v>48</v>
      </c>
    </row>
    <row r="468">
      <c r="A468" s="7">
        <v>39701</v>
      </c>
      <c r="B468" s="15" t="s">
        <v>384</v>
      </c>
      <c r="C468" s="20">
        <v>5</v>
      </c>
      <c r="D468" s="20">
        <v>503</v>
      </c>
      <c r="E468" s="20" t="s">
        <v>18</v>
      </c>
      <c r="F468" s="20" t="s">
        <v>41</v>
      </c>
    </row>
    <row r="469">
      <c r="A469" s="7">
        <v>39701</v>
      </c>
      <c r="B469" s="15" t="s">
        <v>385</v>
      </c>
      <c r="C469" s="20">
        <v>5</v>
      </c>
      <c r="D469" s="20">
        <v>503</v>
      </c>
      <c r="E469" s="20" t="s">
        <v>18</v>
      </c>
      <c r="F469" s="20" t="s">
        <v>41</v>
      </c>
    </row>
    <row r="470">
      <c r="A470" s="7">
        <v>39701</v>
      </c>
      <c r="B470" s="15" t="s">
        <v>386</v>
      </c>
      <c r="C470" s="20">
        <v>5</v>
      </c>
      <c r="D470" s="20">
        <v>503</v>
      </c>
      <c r="E470" s="20" t="s">
        <v>18</v>
      </c>
      <c r="F470" s="20" t="s">
        <v>41</v>
      </c>
    </row>
    <row r="471">
      <c r="A471" s="7">
        <v>39701</v>
      </c>
      <c r="B471" s="15" t="s">
        <v>387</v>
      </c>
      <c r="C471" s="20">
        <v>5</v>
      </c>
      <c r="D471" s="20">
        <v>503</v>
      </c>
      <c r="E471" s="20" t="s">
        <v>18</v>
      </c>
      <c r="F471" s="20" t="s">
        <v>41</v>
      </c>
    </row>
    <row r="472">
      <c r="A472" s="7">
        <v>39701</v>
      </c>
      <c r="B472" s="15" t="s">
        <v>388</v>
      </c>
      <c r="C472" s="20">
        <v>85</v>
      </c>
      <c r="D472" s="20">
        <v>561</v>
      </c>
      <c r="E472" s="20" t="s">
        <v>18</v>
      </c>
      <c r="F472" s="20" t="s">
        <v>48</v>
      </c>
    </row>
    <row r="473">
      <c r="A473" s="7">
        <v>39701</v>
      </c>
      <c r="B473" s="15" t="s">
        <v>389</v>
      </c>
      <c r="C473" s="20">
        <v>85</v>
      </c>
      <c r="D473" s="20">
        <v>561</v>
      </c>
      <c r="E473" s="20" t="s">
        <v>18</v>
      </c>
      <c r="F473" s="20" t="s">
        <v>48</v>
      </c>
    </row>
    <row r="474">
      <c r="A474" s="7">
        <v>39701</v>
      </c>
      <c r="B474" s="15" t="s">
        <v>390</v>
      </c>
      <c r="C474" s="20">
        <v>85</v>
      </c>
      <c r="D474" s="20">
        <v>561</v>
      </c>
      <c r="E474" s="20" t="s">
        <v>18</v>
      </c>
      <c r="F474" s="20" t="s">
        <v>48</v>
      </c>
    </row>
    <row r="475">
      <c r="A475" s="7">
        <v>39701</v>
      </c>
      <c r="B475" s="15" t="s">
        <v>391</v>
      </c>
      <c r="C475" s="20">
        <v>85</v>
      </c>
      <c r="D475" s="20">
        <v>561</v>
      </c>
      <c r="E475" s="20" t="s">
        <v>18</v>
      </c>
      <c r="F475" s="20" t="s">
        <v>48</v>
      </c>
    </row>
    <row r="476">
      <c r="A476" s="7">
        <v>39701</v>
      </c>
      <c r="B476" s="15" t="s">
        <v>392</v>
      </c>
      <c r="C476" s="20">
        <v>85</v>
      </c>
      <c r="D476" s="20">
        <v>561</v>
      </c>
      <c r="E476" s="20" t="s">
        <v>18</v>
      </c>
      <c r="F476" s="20" t="s">
        <v>48</v>
      </c>
    </row>
    <row r="477">
      <c r="A477" s="7">
        <v>39701</v>
      </c>
      <c r="B477" s="15" t="s">
        <v>393</v>
      </c>
      <c r="C477" s="20">
        <v>5</v>
      </c>
      <c r="D477" s="20">
        <v>503</v>
      </c>
      <c r="E477" s="20" t="s">
        <v>18</v>
      </c>
      <c r="F477" s="20" t="s">
        <v>41</v>
      </c>
    </row>
    <row r="478">
      <c r="A478" s="7">
        <v>39701</v>
      </c>
      <c r="B478" s="15" t="s">
        <v>394</v>
      </c>
      <c r="C478" s="20">
        <v>85</v>
      </c>
      <c r="D478" s="20">
        <v>561</v>
      </c>
      <c r="E478" s="20" t="s">
        <v>18</v>
      </c>
      <c r="F478" s="20" t="s">
        <v>48</v>
      </c>
    </row>
    <row r="479">
      <c r="A479" s="7">
        <v>39701</v>
      </c>
      <c r="B479" s="15" t="s">
        <v>395</v>
      </c>
      <c r="C479" s="20">
        <v>85</v>
      </c>
      <c r="D479" s="20">
        <v>561</v>
      </c>
      <c r="E479" s="20" t="s">
        <v>18</v>
      </c>
      <c r="F479" s="20" t="s">
        <v>48</v>
      </c>
    </row>
    <row r="480">
      <c r="A480" s="7">
        <v>39701</v>
      </c>
      <c r="B480" s="15" t="s">
        <v>396</v>
      </c>
      <c r="C480" s="20">
        <v>5</v>
      </c>
      <c r="D480" s="20">
        <v>503</v>
      </c>
      <c r="E480" s="20" t="s">
        <v>18</v>
      </c>
      <c r="F480" s="20" t="s">
        <v>41</v>
      </c>
    </row>
    <row r="481">
      <c r="A481" s="7">
        <v>39701</v>
      </c>
      <c r="B481" s="15" t="s">
        <v>397</v>
      </c>
      <c r="C481" s="20">
        <v>85</v>
      </c>
      <c r="D481" s="20">
        <v>561</v>
      </c>
      <c r="E481" s="20" t="s">
        <v>18</v>
      </c>
      <c r="F481" s="20" t="s">
        <v>48</v>
      </c>
    </row>
    <row r="482">
      <c r="A482" s="7">
        <v>39702</v>
      </c>
      <c r="B482" s="15" t="s">
        <v>398</v>
      </c>
      <c r="C482" s="20">
        <v>5</v>
      </c>
      <c r="D482" s="20">
        <v>503</v>
      </c>
      <c r="E482" s="20" t="s">
        <v>18</v>
      </c>
      <c r="F482" s="20" t="s">
        <v>41</v>
      </c>
    </row>
    <row r="483">
      <c r="A483" s="7">
        <v>39702</v>
      </c>
      <c r="B483" s="15" t="s">
        <v>399</v>
      </c>
      <c r="C483" s="20">
        <v>85</v>
      </c>
      <c r="D483" s="20">
        <v>561</v>
      </c>
      <c r="E483" s="20" t="s">
        <v>18</v>
      </c>
      <c r="F483" s="20" t="s">
        <v>48</v>
      </c>
    </row>
    <row r="484">
      <c r="A484" s="7">
        <v>39702</v>
      </c>
      <c r="B484" s="15" t="s">
        <v>400</v>
      </c>
      <c r="C484" s="20">
        <v>5</v>
      </c>
      <c r="D484" s="20">
        <v>503</v>
      </c>
      <c r="E484" s="20" t="s">
        <v>18</v>
      </c>
      <c r="F484" s="20" t="s">
        <v>41</v>
      </c>
    </row>
    <row r="485">
      <c r="A485" s="7">
        <v>39702</v>
      </c>
      <c r="B485" s="15" t="s">
        <v>401</v>
      </c>
      <c r="C485" s="20">
        <v>85</v>
      </c>
      <c r="D485" s="20">
        <v>561</v>
      </c>
      <c r="E485" s="20" t="s">
        <v>18</v>
      </c>
      <c r="F485" s="20" t="s">
        <v>48</v>
      </c>
    </row>
    <row r="486">
      <c r="A486" s="7">
        <v>39702</v>
      </c>
      <c r="B486" s="15" t="s">
        <v>402</v>
      </c>
      <c r="C486" s="20">
        <v>85</v>
      </c>
      <c r="D486" s="20">
        <v>561</v>
      </c>
      <c r="E486" s="20" t="s">
        <v>18</v>
      </c>
      <c r="F486" s="20" t="s">
        <v>48</v>
      </c>
    </row>
    <row r="487">
      <c r="A487" s="7">
        <v>39702</v>
      </c>
      <c r="B487" s="15" t="s">
        <v>403</v>
      </c>
      <c r="C487" s="20">
        <v>85</v>
      </c>
      <c r="D487" s="20">
        <v>561</v>
      </c>
      <c r="E487" s="20" t="s">
        <v>18</v>
      </c>
      <c r="F487" s="20" t="s">
        <v>48</v>
      </c>
    </row>
    <row r="488">
      <c r="A488" s="7">
        <v>39702</v>
      </c>
      <c r="B488" s="15" t="s">
        <v>404</v>
      </c>
      <c r="C488" s="20">
        <v>170</v>
      </c>
      <c r="D488" s="20">
        <v>561</v>
      </c>
      <c r="E488" s="20" t="s">
        <v>18</v>
      </c>
      <c r="F488" s="20" t="s">
        <v>48</v>
      </c>
    </row>
    <row r="489">
      <c r="A489" s="7">
        <v>39702</v>
      </c>
      <c r="B489" s="15" t="s">
        <v>405</v>
      </c>
      <c r="C489" s="20">
        <v>85</v>
      </c>
      <c r="D489" s="20">
        <v>561</v>
      </c>
      <c r="E489" s="20" t="s">
        <v>18</v>
      </c>
      <c r="F489" s="20" t="s">
        <v>48</v>
      </c>
    </row>
    <row r="490">
      <c r="A490" s="7">
        <v>39702</v>
      </c>
      <c r="B490" s="15" t="s">
        <v>406</v>
      </c>
      <c r="C490" s="20">
        <v>5</v>
      </c>
      <c r="D490" s="20">
        <v>503</v>
      </c>
      <c r="E490" s="20" t="s">
        <v>18</v>
      </c>
      <c r="F490" s="20" t="s">
        <v>41</v>
      </c>
    </row>
    <row r="491">
      <c r="A491" s="7">
        <v>39702</v>
      </c>
      <c r="B491" s="15" t="s">
        <v>407</v>
      </c>
      <c r="C491" s="20">
        <v>85</v>
      </c>
      <c r="D491" s="20">
        <v>561</v>
      </c>
      <c r="E491" s="20" t="s">
        <v>18</v>
      </c>
      <c r="F491" s="20" t="s">
        <v>48</v>
      </c>
    </row>
    <row r="492">
      <c r="A492" s="7">
        <v>39702</v>
      </c>
      <c r="B492" s="15" t="s">
        <v>408</v>
      </c>
      <c r="C492" s="20">
        <v>85</v>
      </c>
      <c r="D492" s="20">
        <v>561</v>
      </c>
      <c r="E492" s="20" t="s">
        <v>18</v>
      </c>
      <c r="F492" s="20" t="s">
        <v>48</v>
      </c>
    </row>
    <row r="493">
      <c r="A493" s="7">
        <v>39702</v>
      </c>
      <c r="B493" s="15" t="s">
        <v>409</v>
      </c>
      <c r="C493" s="20">
        <v>85</v>
      </c>
      <c r="D493" s="20">
        <v>561</v>
      </c>
      <c r="E493" s="20" t="s">
        <v>18</v>
      </c>
      <c r="F493" s="20" t="s">
        <v>48</v>
      </c>
    </row>
    <row r="494">
      <c r="A494" s="7">
        <v>39702</v>
      </c>
      <c r="B494" s="15" t="s">
        <v>410</v>
      </c>
      <c r="C494" s="20">
        <v>105</v>
      </c>
      <c r="D494" s="20">
        <v>561</v>
      </c>
      <c r="E494" s="20" t="s">
        <v>18</v>
      </c>
      <c r="F494" s="20" t="s">
        <v>48</v>
      </c>
    </row>
    <row r="495">
      <c r="A495" s="7">
        <v>39702</v>
      </c>
      <c r="B495" s="15" t="s">
        <v>411</v>
      </c>
      <c r="C495" s="20">
        <v>105</v>
      </c>
      <c r="D495" s="20">
        <v>561</v>
      </c>
      <c r="E495" s="20" t="s">
        <v>18</v>
      </c>
      <c r="F495" s="20" t="s">
        <v>48</v>
      </c>
    </row>
    <row r="496">
      <c r="A496" s="7">
        <v>39702</v>
      </c>
      <c r="B496" s="15" t="s">
        <v>412</v>
      </c>
      <c r="C496" s="20">
        <v>105</v>
      </c>
      <c r="D496" s="20">
        <v>561</v>
      </c>
      <c r="E496" s="20" t="s">
        <v>18</v>
      </c>
      <c r="F496" s="20" t="s">
        <v>48</v>
      </c>
    </row>
    <row r="497">
      <c r="A497" s="7">
        <v>39702</v>
      </c>
      <c r="B497" s="15" t="s">
        <v>413</v>
      </c>
      <c r="C497" s="20">
        <v>105</v>
      </c>
      <c r="D497" s="20">
        <v>561</v>
      </c>
      <c r="E497" s="20" t="s">
        <v>18</v>
      </c>
      <c r="F497" s="20" t="s">
        <v>48</v>
      </c>
    </row>
    <row r="498">
      <c r="A498" s="7">
        <v>39702</v>
      </c>
      <c r="B498" s="15" t="s">
        <v>414</v>
      </c>
      <c r="C498" s="20">
        <v>105</v>
      </c>
      <c r="D498" s="20">
        <v>561</v>
      </c>
      <c r="E498" s="20" t="s">
        <v>18</v>
      </c>
      <c r="F498" s="20" t="s">
        <v>48</v>
      </c>
    </row>
    <row r="499">
      <c r="A499" s="7">
        <v>39702</v>
      </c>
      <c r="B499" s="15" t="s">
        <v>415</v>
      </c>
      <c r="C499" s="20">
        <v>105</v>
      </c>
      <c r="D499" s="20">
        <v>561</v>
      </c>
      <c r="E499" s="20" t="s">
        <v>18</v>
      </c>
      <c r="F499" s="20" t="s">
        <v>48</v>
      </c>
    </row>
    <row r="500">
      <c r="A500" s="7">
        <v>39702</v>
      </c>
      <c r="B500" s="15" t="s">
        <v>416</v>
      </c>
      <c r="C500" s="20">
        <v>5</v>
      </c>
      <c r="D500" s="20">
        <v>503</v>
      </c>
      <c r="E500" s="20" t="s">
        <v>18</v>
      </c>
      <c r="F500" s="20" t="s">
        <v>41</v>
      </c>
    </row>
    <row r="501">
      <c r="A501" s="7">
        <v>39702</v>
      </c>
      <c r="B501" s="15" t="s">
        <v>417</v>
      </c>
      <c r="C501" s="20">
        <v>190</v>
      </c>
      <c r="D501" s="20">
        <v>561</v>
      </c>
      <c r="E501" s="20" t="s">
        <v>18</v>
      </c>
      <c r="F501" s="20" t="s">
        <v>48</v>
      </c>
    </row>
    <row r="502">
      <c r="A502" s="7">
        <v>39702</v>
      </c>
      <c r="B502" s="15" t="s">
        <v>418</v>
      </c>
      <c r="C502" s="20">
        <v>5</v>
      </c>
      <c r="D502" s="20">
        <v>503</v>
      </c>
      <c r="E502" s="20" t="s">
        <v>18</v>
      </c>
      <c r="F502" s="20" t="s">
        <v>41</v>
      </c>
    </row>
    <row r="503">
      <c r="A503" s="7">
        <v>39702</v>
      </c>
      <c r="B503" s="15" t="s">
        <v>419</v>
      </c>
      <c r="C503" s="20">
        <v>85</v>
      </c>
      <c r="D503" s="20">
        <v>561</v>
      </c>
      <c r="E503" s="20" t="s">
        <v>18</v>
      </c>
      <c r="F503" s="20" t="s">
        <v>48</v>
      </c>
    </row>
    <row r="504">
      <c r="A504" s="7">
        <v>39702</v>
      </c>
      <c r="B504" s="15" t="s">
        <v>420</v>
      </c>
      <c r="C504" s="20">
        <v>85</v>
      </c>
      <c r="D504" s="20">
        <v>561</v>
      </c>
      <c r="E504" s="20" t="s">
        <v>18</v>
      </c>
      <c r="F504" s="20" t="s">
        <v>48</v>
      </c>
    </row>
    <row r="505">
      <c r="A505" s="7">
        <v>39702</v>
      </c>
      <c r="B505" s="15" t="s">
        <v>421</v>
      </c>
      <c r="C505" s="20">
        <v>340</v>
      </c>
      <c r="D505" s="20">
        <v>561</v>
      </c>
      <c r="E505" s="20" t="s">
        <v>18</v>
      </c>
      <c r="F505" s="20" t="s">
        <v>48</v>
      </c>
    </row>
    <row r="506">
      <c r="A506" s="7">
        <v>39702</v>
      </c>
      <c r="B506" s="15" t="s">
        <v>422</v>
      </c>
      <c r="C506" s="20">
        <v>105</v>
      </c>
      <c r="D506" s="20">
        <v>561</v>
      </c>
      <c r="E506" s="20" t="s">
        <v>18</v>
      </c>
      <c r="F506" s="20" t="s">
        <v>48</v>
      </c>
    </row>
    <row r="507">
      <c r="A507" s="7">
        <v>39703</v>
      </c>
      <c r="B507" s="15" t="s">
        <v>423</v>
      </c>
      <c r="C507" s="20">
        <v>195</v>
      </c>
      <c r="D507" s="20">
        <v>561</v>
      </c>
      <c r="E507" s="20" t="s">
        <v>18</v>
      </c>
      <c r="F507" s="20" t="s">
        <v>48</v>
      </c>
    </row>
    <row r="508">
      <c r="A508" s="7">
        <v>39703</v>
      </c>
      <c r="B508" s="15" t="s">
        <v>424</v>
      </c>
      <c r="C508" s="20">
        <v>85</v>
      </c>
      <c r="D508" s="20">
        <v>561</v>
      </c>
      <c r="E508" s="20" t="s">
        <v>18</v>
      </c>
      <c r="F508" s="20" t="s">
        <v>48</v>
      </c>
    </row>
    <row r="509">
      <c r="A509" s="7">
        <v>39703</v>
      </c>
      <c r="B509" s="15" t="s">
        <v>425</v>
      </c>
      <c r="C509" s="20">
        <v>85</v>
      </c>
      <c r="D509" s="20">
        <v>561</v>
      </c>
      <c r="E509" s="20" t="s">
        <v>18</v>
      </c>
      <c r="F509" s="20" t="s">
        <v>48</v>
      </c>
    </row>
    <row r="510">
      <c r="A510" s="7">
        <v>39703</v>
      </c>
      <c r="B510" s="15" t="s">
        <v>426</v>
      </c>
      <c r="C510" s="20">
        <v>170</v>
      </c>
      <c r="D510" s="20">
        <v>561</v>
      </c>
      <c r="E510" s="20" t="s">
        <v>18</v>
      </c>
      <c r="F510" s="20" t="s">
        <v>48</v>
      </c>
    </row>
    <row r="511">
      <c r="A511" s="7">
        <v>39703</v>
      </c>
      <c r="B511" s="15" t="s">
        <v>427</v>
      </c>
      <c r="C511" s="20">
        <v>20</v>
      </c>
      <c r="D511" s="20">
        <v>503</v>
      </c>
      <c r="E511" s="20" t="s">
        <v>18</v>
      </c>
      <c r="F511" s="20" t="s">
        <v>41</v>
      </c>
    </row>
    <row r="512">
      <c r="A512" s="7">
        <v>39703</v>
      </c>
      <c r="B512" s="15" t="s">
        <v>428</v>
      </c>
      <c r="C512" s="20">
        <v>430</v>
      </c>
      <c r="D512" s="20">
        <v>561</v>
      </c>
      <c r="E512" s="20" t="s">
        <v>18</v>
      </c>
      <c r="F512" s="20" t="s">
        <v>48</v>
      </c>
    </row>
    <row r="513">
      <c r="A513" s="7">
        <v>39703</v>
      </c>
      <c r="B513" s="15" t="s">
        <v>429</v>
      </c>
      <c r="C513" s="20">
        <v>5</v>
      </c>
      <c r="D513" s="20">
        <v>503</v>
      </c>
      <c r="E513" s="20" t="s">
        <v>18</v>
      </c>
      <c r="F513" s="20" t="s">
        <v>41</v>
      </c>
    </row>
    <row r="514">
      <c r="A514" s="7">
        <v>39703</v>
      </c>
      <c r="B514" s="15" t="s">
        <v>430</v>
      </c>
      <c r="C514" s="20">
        <v>85</v>
      </c>
      <c r="D514" s="20">
        <v>561</v>
      </c>
      <c r="E514" s="20" t="s">
        <v>18</v>
      </c>
      <c r="F514" s="20" t="s">
        <v>48</v>
      </c>
    </row>
    <row r="515">
      <c r="A515" s="7">
        <v>39703</v>
      </c>
      <c r="B515" s="15" t="s">
        <v>431</v>
      </c>
      <c r="C515" s="20">
        <v>5</v>
      </c>
      <c r="D515" s="20">
        <v>503</v>
      </c>
      <c r="E515" s="20" t="s">
        <v>18</v>
      </c>
      <c r="F515" s="20" t="s">
        <v>41</v>
      </c>
    </row>
    <row r="516">
      <c r="A516" s="7">
        <v>39703</v>
      </c>
      <c r="B516" s="15" t="s">
        <v>432</v>
      </c>
      <c r="C516" s="20">
        <v>85</v>
      </c>
      <c r="D516" s="20">
        <v>561</v>
      </c>
      <c r="E516" s="20" t="s">
        <v>18</v>
      </c>
      <c r="F516" s="20" t="s">
        <v>48</v>
      </c>
    </row>
    <row r="517">
      <c r="A517" s="7">
        <v>39703</v>
      </c>
      <c r="B517" s="15" t="s">
        <v>433</v>
      </c>
      <c r="C517" s="20">
        <v>170</v>
      </c>
      <c r="D517" s="20">
        <v>561</v>
      </c>
      <c r="E517" s="20" t="s">
        <v>18</v>
      </c>
      <c r="F517" s="20" t="s">
        <v>48</v>
      </c>
    </row>
    <row r="518">
      <c r="A518" s="7">
        <v>39703</v>
      </c>
      <c r="B518" s="15" t="s">
        <v>434</v>
      </c>
      <c r="C518" s="20">
        <v>240</v>
      </c>
      <c r="D518" s="20">
        <v>561</v>
      </c>
      <c r="E518" s="20" t="s">
        <v>18</v>
      </c>
      <c r="F518" s="20" t="s">
        <v>48</v>
      </c>
    </row>
    <row r="519">
      <c r="A519" s="7">
        <v>39703</v>
      </c>
      <c r="B519" s="15" t="s">
        <v>435</v>
      </c>
      <c r="C519" s="20">
        <v>105</v>
      </c>
      <c r="D519" s="20">
        <v>561</v>
      </c>
      <c r="E519" s="20" t="s">
        <v>18</v>
      </c>
      <c r="F519" s="20" t="s">
        <v>48</v>
      </c>
    </row>
    <row r="520">
      <c r="A520" s="7">
        <v>39703</v>
      </c>
      <c r="B520" s="15" t="s">
        <v>436</v>
      </c>
      <c r="C520" s="20">
        <v>85</v>
      </c>
      <c r="D520" s="20">
        <v>561</v>
      </c>
      <c r="E520" s="20" t="s">
        <v>18</v>
      </c>
      <c r="F520" s="20" t="s">
        <v>48</v>
      </c>
    </row>
    <row r="521">
      <c r="A521" s="7">
        <v>39703</v>
      </c>
      <c r="B521" s="15" t="s">
        <v>437</v>
      </c>
      <c r="C521" s="20">
        <v>5</v>
      </c>
      <c r="D521" s="20">
        <v>503</v>
      </c>
      <c r="E521" s="20" t="s">
        <v>18</v>
      </c>
      <c r="F521" s="20" t="s">
        <v>41</v>
      </c>
    </row>
    <row r="522">
      <c r="A522" s="7">
        <v>39703</v>
      </c>
      <c r="B522" s="15" t="s">
        <v>438</v>
      </c>
      <c r="C522" s="20">
        <v>85</v>
      </c>
      <c r="D522" s="20">
        <v>561</v>
      </c>
      <c r="E522" s="20" t="s">
        <v>18</v>
      </c>
      <c r="F522" s="20" t="s">
        <v>48</v>
      </c>
    </row>
    <row r="523">
      <c r="A523" s="7">
        <v>39703</v>
      </c>
      <c r="B523" s="15" t="s">
        <v>439</v>
      </c>
      <c r="C523" s="20">
        <v>85</v>
      </c>
      <c r="D523" s="20">
        <v>561</v>
      </c>
      <c r="E523" s="20" t="s">
        <v>18</v>
      </c>
      <c r="F523" s="20" t="s">
        <v>48</v>
      </c>
    </row>
    <row r="524">
      <c r="A524" s="7">
        <v>39703</v>
      </c>
      <c r="B524" s="15" t="s">
        <v>440</v>
      </c>
      <c r="C524" s="20">
        <v>65</v>
      </c>
      <c r="D524" s="20">
        <v>561</v>
      </c>
      <c r="E524" s="20" t="s">
        <v>18</v>
      </c>
      <c r="F524" s="20" t="s">
        <v>48</v>
      </c>
    </row>
    <row r="525">
      <c r="A525" s="7">
        <v>39703</v>
      </c>
      <c r="B525" s="15" t="s">
        <v>441</v>
      </c>
      <c r="C525" s="20">
        <v>105</v>
      </c>
      <c r="D525" s="20">
        <v>561</v>
      </c>
      <c r="E525" s="20" t="s">
        <v>18</v>
      </c>
      <c r="F525" s="20" t="s">
        <v>48</v>
      </c>
    </row>
    <row r="526">
      <c r="A526" s="7">
        <v>39707</v>
      </c>
      <c r="B526" s="15" t="s">
        <v>442</v>
      </c>
      <c r="C526" s="20">
        <v>85</v>
      </c>
      <c r="D526" s="20">
        <v>561</v>
      </c>
      <c r="E526" s="20" t="s">
        <v>18</v>
      </c>
      <c r="F526" s="20" t="s">
        <v>48</v>
      </c>
    </row>
    <row r="527">
      <c r="A527" s="7">
        <v>39707</v>
      </c>
      <c r="B527" s="15" t="s">
        <v>443</v>
      </c>
      <c r="C527" s="20">
        <v>840</v>
      </c>
      <c r="D527" s="20">
        <v>561</v>
      </c>
      <c r="E527" s="20" t="s">
        <v>18</v>
      </c>
      <c r="F527" s="20" t="s">
        <v>48</v>
      </c>
    </row>
    <row r="528">
      <c r="A528" s="7">
        <v>39707</v>
      </c>
      <c r="B528" s="15" t="s">
        <v>444</v>
      </c>
      <c r="C528" s="20">
        <v>170</v>
      </c>
      <c r="D528" s="20">
        <v>561</v>
      </c>
      <c r="E528" s="20" t="s">
        <v>18</v>
      </c>
      <c r="F528" s="20" t="s">
        <v>48</v>
      </c>
    </row>
    <row r="529">
      <c r="A529" s="7">
        <v>39709</v>
      </c>
      <c r="B529" s="15" t="s">
        <v>445</v>
      </c>
      <c r="C529" s="20">
        <v>105</v>
      </c>
      <c r="D529" s="20">
        <v>561</v>
      </c>
      <c r="E529" s="20" t="s">
        <v>18</v>
      </c>
      <c r="F529" s="20" t="s">
        <v>48</v>
      </c>
    </row>
    <row r="530">
      <c r="A530" s="7">
        <v>39709</v>
      </c>
      <c r="B530" s="15" t="s">
        <v>446</v>
      </c>
      <c r="C530" s="20">
        <v>-750</v>
      </c>
      <c r="D530" s="20">
        <v>664</v>
      </c>
      <c r="E530" s="20" t="s">
        <v>18</v>
      </c>
      <c r="F530" s="20" t="s">
        <v>77</v>
      </c>
    </row>
    <row r="531">
      <c r="A531" s="7">
        <v>39714</v>
      </c>
      <c r="B531" s="15" t="s">
        <v>447</v>
      </c>
      <c r="C531" s="20">
        <v>240</v>
      </c>
      <c r="D531" s="20">
        <v>561</v>
      </c>
      <c r="E531" s="20" t="s">
        <v>18</v>
      </c>
      <c r="F531" s="20" t="s">
        <v>48</v>
      </c>
    </row>
    <row r="532">
      <c r="A532" s="7">
        <v>39714</v>
      </c>
      <c r="B532" s="15" t="s">
        <v>448</v>
      </c>
      <c r="C532" s="20">
        <v>240</v>
      </c>
      <c r="D532" s="20">
        <v>561</v>
      </c>
      <c r="E532" s="20" t="s">
        <v>18</v>
      </c>
      <c r="F532" s="20" t="s">
        <v>48</v>
      </c>
    </row>
    <row r="533">
      <c r="A533" s="7">
        <v>39714</v>
      </c>
      <c r="B533" s="15" t="s">
        <v>449</v>
      </c>
      <c r="C533" s="20">
        <v>85</v>
      </c>
      <c r="D533" s="20">
        <v>561</v>
      </c>
      <c r="E533" s="20" t="s">
        <v>18</v>
      </c>
      <c r="F533" s="20" t="s">
        <v>48</v>
      </c>
    </row>
    <row r="534">
      <c r="A534" s="7">
        <v>39714</v>
      </c>
      <c r="B534" s="15" t="s">
        <v>450</v>
      </c>
      <c r="C534" s="20">
        <v>-9064</v>
      </c>
      <c r="D534" s="20">
        <v>665</v>
      </c>
      <c r="E534" s="20" t="s">
        <v>18</v>
      </c>
      <c r="F534" s="20" t="s">
        <v>78</v>
      </c>
    </row>
    <row r="535">
      <c r="A535" s="7">
        <v>39714</v>
      </c>
      <c r="B535" s="15" t="s">
        <v>451</v>
      </c>
      <c r="C535" s="20">
        <v>-3.4</v>
      </c>
      <c r="D535" s="20">
        <v>602</v>
      </c>
      <c r="E535" s="20" t="s">
        <v>18</v>
      </c>
      <c r="F535" s="20" t="s">
        <v>63</v>
      </c>
    </row>
    <row r="536">
      <c r="A536" s="7">
        <v>39715</v>
      </c>
      <c r="B536" s="15" t="s">
        <v>452</v>
      </c>
      <c r="C536" s="20">
        <v>240</v>
      </c>
      <c r="D536" s="20">
        <v>561</v>
      </c>
      <c r="E536" s="20" t="s">
        <v>18</v>
      </c>
      <c r="F536" s="20" t="s">
        <v>48</v>
      </c>
    </row>
    <row r="537">
      <c r="A537" s="7">
        <v>39717</v>
      </c>
      <c r="B537" s="15" t="s">
        <v>453</v>
      </c>
      <c r="C537" s="20">
        <v>240</v>
      </c>
      <c r="D537" s="20">
        <v>561</v>
      </c>
      <c r="E537" s="20" t="s">
        <v>18</v>
      </c>
      <c r="F537" s="20" t="s">
        <v>48</v>
      </c>
    </row>
    <row r="538">
      <c r="A538" s="7">
        <v>39717</v>
      </c>
      <c r="B538" s="15" t="s">
        <v>454</v>
      </c>
      <c r="C538" s="20">
        <v>220</v>
      </c>
      <c r="D538" s="20">
        <v>561</v>
      </c>
      <c r="E538" s="20" t="s">
        <v>18</v>
      </c>
      <c r="F538" s="20" t="s">
        <v>48</v>
      </c>
    </row>
    <row r="539">
      <c r="A539" s="7">
        <v>39717</v>
      </c>
      <c r="B539" s="15" t="s">
        <v>455</v>
      </c>
      <c r="C539" s="20">
        <v>170</v>
      </c>
      <c r="D539" s="20">
        <v>561</v>
      </c>
      <c r="E539" s="20" t="s">
        <v>18</v>
      </c>
      <c r="F539" s="20" t="s">
        <v>48</v>
      </c>
    </row>
    <row r="540">
      <c r="A540" s="7">
        <v>39717</v>
      </c>
      <c r="B540" s="15" t="s">
        <v>456</v>
      </c>
      <c r="C540" s="20">
        <v>-200</v>
      </c>
      <c r="D540" s="20">
        <v>665</v>
      </c>
      <c r="E540" s="20" t="s">
        <v>18</v>
      </c>
      <c r="F540" s="20" t="s">
        <v>78</v>
      </c>
    </row>
    <row r="541">
      <c r="A541" s="7">
        <v>39721</v>
      </c>
      <c r="B541" s="15" t="s">
        <v>268</v>
      </c>
      <c r="C541" s="20">
        <v>4.75</v>
      </c>
      <c r="D541" s="20">
        <v>502</v>
      </c>
      <c r="E541" s="20" t="s">
        <v>18</v>
      </c>
      <c r="F541" s="20" t="s">
        <v>40</v>
      </c>
    </row>
    <row r="542">
      <c r="A542" s="7">
        <v>39721</v>
      </c>
      <c r="B542" s="15" t="s">
        <v>457</v>
      </c>
      <c r="C542" s="20">
        <v>-2</v>
      </c>
      <c r="D542" s="20">
        <v>602</v>
      </c>
      <c r="E542" s="20" t="s">
        <v>18</v>
      </c>
      <c r="F542" s="20" t="s">
        <v>63</v>
      </c>
    </row>
    <row r="543">
      <c r="A543" s="7">
        <v>39728</v>
      </c>
      <c r="B543" s="15" t="s">
        <v>458</v>
      </c>
      <c r="C543" s="20">
        <v>5</v>
      </c>
      <c r="D543" s="20">
        <v>503</v>
      </c>
      <c r="E543" s="20" t="s">
        <v>18</v>
      </c>
      <c r="F543" s="20" t="s">
        <v>41</v>
      </c>
    </row>
    <row r="544">
      <c r="A544" s="7">
        <v>39738</v>
      </c>
      <c r="B544" s="15" t="s">
        <v>459</v>
      </c>
      <c r="C544" s="20">
        <v>-194</v>
      </c>
      <c r="D544" s="20">
        <v>665</v>
      </c>
      <c r="E544" s="20" t="s">
        <v>18</v>
      </c>
      <c r="F544" s="20" t="s">
        <v>78</v>
      </c>
    </row>
    <row r="545">
      <c r="A545" s="7">
        <v>39752</v>
      </c>
      <c r="B545" s="15" t="s">
        <v>460</v>
      </c>
      <c r="C545" s="20">
        <v>0</v>
      </c>
      <c r="D545" s="20">
        <v>502</v>
      </c>
      <c r="E545" s="20" t="s">
        <v>18</v>
      </c>
      <c r="F545" s="20" t="s">
        <v>40</v>
      </c>
    </row>
    <row r="546">
      <c r="A546" s="7">
        <v>39782</v>
      </c>
      <c r="B546" s="15" t="s">
        <v>461</v>
      </c>
      <c r="C546" s="20">
        <v>-82</v>
      </c>
      <c r="D546" s="20">
        <v>665</v>
      </c>
      <c r="E546" s="20" t="s">
        <v>18</v>
      </c>
      <c r="F546" s="20" t="s">
        <v>78</v>
      </c>
    </row>
    <row r="547">
      <c r="A547" s="7">
        <v>39813</v>
      </c>
      <c r="B547" s="15" t="s">
        <v>460</v>
      </c>
      <c r="C547" s="20">
        <v>0.54</v>
      </c>
      <c r="D547" s="20">
        <v>502</v>
      </c>
      <c r="E547" s="20" t="s">
        <v>18</v>
      </c>
      <c r="F547" s="20" t="s">
        <v>40</v>
      </c>
    </row>
    <row r="548">
      <c r="A548" s="7">
        <v>39868</v>
      </c>
      <c r="B548" s="15" t="s">
        <v>462</v>
      </c>
      <c r="C548" s="20">
        <v>5</v>
      </c>
      <c r="D548" s="20">
        <v>503</v>
      </c>
      <c r="E548" s="20" t="s">
        <v>18</v>
      </c>
      <c r="F548" s="20" t="s">
        <v>41</v>
      </c>
    </row>
    <row r="549">
      <c r="A549" s="7">
        <v>39877</v>
      </c>
      <c r="B549" s="15" t="s">
        <v>463</v>
      </c>
      <c r="C549" s="20">
        <v>5</v>
      </c>
      <c r="D549" s="20">
        <v>503</v>
      </c>
      <c r="E549" s="20" t="s">
        <v>18</v>
      </c>
      <c r="F549" s="20" t="s">
        <v>41</v>
      </c>
    </row>
    <row r="550">
      <c r="A550" s="7">
        <v>39877</v>
      </c>
      <c r="B550" s="15" t="s">
        <v>464</v>
      </c>
      <c r="C550" s="20">
        <v>5</v>
      </c>
      <c r="D550" s="20">
        <v>503</v>
      </c>
      <c r="E550" s="20" t="s">
        <v>18</v>
      </c>
      <c r="F550" s="20" t="s">
        <v>41</v>
      </c>
    </row>
    <row r="551">
      <c r="A551" s="7">
        <v>39903</v>
      </c>
      <c r="B551" s="15" t="s">
        <v>268</v>
      </c>
      <c r="C551" s="20">
        <v>0.08</v>
      </c>
      <c r="D551" s="20">
        <v>502</v>
      </c>
      <c r="E551" s="20" t="s">
        <v>18</v>
      </c>
      <c r="F551" s="20" t="s">
        <v>40</v>
      </c>
    </row>
    <row r="552">
      <c r="A552" s="7">
        <v>39906</v>
      </c>
      <c r="B552" s="15" t="s">
        <v>465</v>
      </c>
      <c r="C552" s="20">
        <v>-200</v>
      </c>
      <c r="D552" s="20">
        <v>603</v>
      </c>
      <c r="E552" s="20" t="s">
        <v>18</v>
      </c>
      <c r="F552" s="20" t="s">
        <v>64</v>
      </c>
    </row>
    <row r="553">
      <c r="A553" s="7">
        <v>39911</v>
      </c>
      <c r="B553" s="15" t="s">
        <v>380</v>
      </c>
      <c r="C553" s="20">
        <v>700</v>
      </c>
      <c r="D553" s="20">
        <v>505</v>
      </c>
      <c r="E553" s="20" t="s">
        <v>18</v>
      </c>
      <c r="F553" s="20" t="s">
        <v>43</v>
      </c>
    </row>
    <row r="554">
      <c r="A554" s="7">
        <v>39912</v>
      </c>
      <c r="B554" s="15" t="s">
        <v>465</v>
      </c>
      <c r="C554" s="20">
        <v>-220</v>
      </c>
      <c r="D554" s="20">
        <v>603</v>
      </c>
      <c r="E554" s="20" t="s">
        <v>18</v>
      </c>
      <c r="F554" s="20" t="s">
        <v>64</v>
      </c>
    </row>
    <row r="555">
      <c r="A555" s="7">
        <v>39912</v>
      </c>
      <c r="B555" s="15" t="s">
        <v>466</v>
      </c>
      <c r="C555" s="20">
        <v>-3.4</v>
      </c>
      <c r="D555" s="20">
        <v>602</v>
      </c>
      <c r="E555" s="20" t="s">
        <v>18</v>
      </c>
      <c r="F555" s="20" t="s">
        <v>63</v>
      </c>
    </row>
    <row r="556">
      <c r="A556" s="7">
        <v>39959</v>
      </c>
      <c r="B556" s="15" t="s">
        <v>465</v>
      </c>
      <c r="C556" s="20">
        <v>-690</v>
      </c>
      <c r="D556" s="20">
        <v>603</v>
      </c>
      <c r="E556" s="20" t="s">
        <v>18</v>
      </c>
      <c r="F556" s="20" t="s">
        <v>64</v>
      </c>
    </row>
    <row r="557">
      <c r="A557" s="7">
        <v>39962</v>
      </c>
      <c r="B557" s="15" t="s">
        <v>465</v>
      </c>
      <c r="C557" s="20">
        <v>-700</v>
      </c>
      <c r="D557" s="20">
        <v>603</v>
      </c>
      <c r="E557" s="20" t="s">
        <v>18</v>
      </c>
      <c r="F557" s="20" t="s">
        <v>64</v>
      </c>
    </row>
    <row r="558">
      <c r="A558" s="7">
        <v>39964</v>
      </c>
      <c r="B558" s="15" t="s">
        <v>467</v>
      </c>
      <c r="C558" s="20">
        <v>-2</v>
      </c>
      <c r="D558" s="20">
        <v>602</v>
      </c>
      <c r="E558" s="20" t="s">
        <v>18</v>
      </c>
      <c r="F558" s="20" t="s">
        <v>63</v>
      </c>
    </row>
    <row r="559">
      <c r="A559" s="7">
        <v>39989</v>
      </c>
      <c r="B559" s="15" t="s">
        <v>41</v>
      </c>
      <c r="C559" s="20">
        <v>346.15</v>
      </c>
      <c r="D559" s="20">
        <v>503</v>
      </c>
      <c r="E559" s="20" t="s">
        <v>18</v>
      </c>
      <c r="F559" s="20" t="s">
        <v>41</v>
      </c>
    </row>
    <row r="560">
      <c r="A560" s="7">
        <v>39994</v>
      </c>
      <c r="B560" s="15" t="s">
        <v>460</v>
      </c>
      <c r="C560" s="20">
        <v>0.03</v>
      </c>
      <c r="D560" s="20">
        <v>502</v>
      </c>
      <c r="E560" s="20" t="s">
        <v>18</v>
      </c>
      <c r="F560" s="20" t="s">
        <v>40</v>
      </c>
    </row>
    <row r="561">
      <c r="A561" s="7">
        <v>39996</v>
      </c>
      <c r="B561" s="15" t="s">
        <v>468</v>
      </c>
      <c r="C561" s="20">
        <v>1000</v>
      </c>
      <c r="D561" s="20">
        <v>153</v>
      </c>
      <c r="E561" s="20" t="s">
        <v>18</v>
      </c>
      <c r="F561" s="20" t="s">
        <v>43</v>
      </c>
    </row>
    <row r="562">
      <c r="A562" s="7">
        <v>40010</v>
      </c>
      <c r="B562" s="15" t="s">
        <v>469</v>
      </c>
      <c r="C562" s="20">
        <v>500</v>
      </c>
      <c r="D562" s="20">
        <v>153</v>
      </c>
      <c r="E562" s="20" t="s">
        <v>18</v>
      </c>
      <c r="F562" s="20" t="s">
        <v>43</v>
      </c>
    </row>
    <row r="563">
      <c r="A563" s="7">
        <v>40014</v>
      </c>
      <c r="B563" s="15" t="s">
        <v>470</v>
      </c>
      <c r="C563" s="20">
        <v>1926.05</v>
      </c>
      <c r="D563" s="20">
        <v>153</v>
      </c>
      <c r="E563" s="20" t="s">
        <v>18</v>
      </c>
      <c r="F563" s="20" t="s">
        <v>43</v>
      </c>
    </row>
    <row r="564">
      <c r="A564" s="7">
        <v>40028</v>
      </c>
      <c r="B564" s="15" t="s">
        <v>471</v>
      </c>
      <c r="C564" s="20">
        <v>300</v>
      </c>
      <c r="D564" s="20">
        <v>505</v>
      </c>
      <c r="E564" s="20" t="s">
        <v>18</v>
      </c>
      <c r="F564" s="20" t="s">
        <v>43</v>
      </c>
    </row>
    <row r="565">
      <c r="A565" s="7">
        <v>40037</v>
      </c>
      <c r="B565" s="15" t="s">
        <v>472</v>
      </c>
      <c r="C565" s="20">
        <v>5</v>
      </c>
      <c r="D565" s="20">
        <v>503</v>
      </c>
      <c r="E565" s="20" t="s">
        <v>18</v>
      </c>
      <c r="F565" s="20" t="s">
        <v>41</v>
      </c>
    </row>
    <row r="566">
      <c r="A566" s="7">
        <v>40037</v>
      </c>
      <c r="B566" s="15" t="s">
        <v>473</v>
      </c>
      <c r="C566" s="20">
        <v>5</v>
      </c>
      <c r="D566" s="20">
        <v>503</v>
      </c>
      <c r="E566" s="20" t="s">
        <v>18</v>
      </c>
      <c r="F566" s="20" t="s">
        <v>41</v>
      </c>
    </row>
    <row r="567">
      <c r="A567" s="7">
        <v>40037</v>
      </c>
      <c r="B567" s="15" t="s">
        <v>474</v>
      </c>
      <c r="C567" s="20">
        <v>5</v>
      </c>
      <c r="D567" s="20">
        <v>503</v>
      </c>
      <c r="E567" s="20" t="s">
        <v>18</v>
      </c>
      <c r="F567" s="20" t="s">
        <v>41</v>
      </c>
    </row>
    <row r="568">
      <c r="A568" s="7">
        <v>40037</v>
      </c>
      <c r="B568" s="15" t="s">
        <v>475</v>
      </c>
      <c r="C568" s="20">
        <v>50</v>
      </c>
      <c r="D568" s="20">
        <v>503</v>
      </c>
      <c r="E568" s="20" t="s">
        <v>18</v>
      </c>
      <c r="F568" s="20" t="s">
        <v>41</v>
      </c>
    </row>
    <row r="569">
      <c r="A569" s="7">
        <v>40037</v>
      </c>
      <c r="B569" s="15" t="s">
        <v>476</v>
      </c>
      <c r="C569" s="20">
        <v>5</v>
      </c>
      <c r="D569" s="20">
        <v>503</v>
      </c>
      <c r="E569" s="20" t="s">
        <v>18</v>
      </c>
      <c r="F569" s="20" t="s">
        <v>41</v>
      </c>
    </row>
    <row r="570">
      <c r="A570" s="7">
        <v>40038</v>
      </c>
      <c r="B570" s="15" t="s">
        <v>477</v>
      </c>
      <c r="C570" s="20">
        <v>5</v>
      </c>
      <c r="D570" s="20">
        <v>503</v>
      </c>
      <c r="E570" s="20" t="s">
        <v>18</v>
      </c>
      <c r="F570" s="20" t="s">
        <v>41</v>
      </c>
    </row>
    <row r="571">
      <c r="A571" s="7">
        <v>40038</v>
      </c>
      <c r="B571" s="15" t="s">
        <v>478</v>
      </c>
      <c r="C571" s="20">
        <v>5</v>
      </c>
      <c r="D571" s="20">
        <v>503</v>
      </c>
      <c r="E571" s="20" t="s">
        <v>18</v>
      </c>
      <c r="F571" s="20" t="s">
        <v>41</v>
      </c>
    </row>
    <row r="572">
      <c r="A572" s="7">
        <v>40038</v>
      </c>
      <c r="B572" s="15" t="s">
        <v>479</v>
      </c>
      <c r="C572" s="20">
        <v>5</v>
      </c>
      <c r="D572" s="20">
        <v>503</v>
      </c>
      <c r="E572" s="20" t="s">
        <v>18</v>
      </c>
      <c r="F572" s="20" t="s">
        <v>41</v>
      </c>
    </row>
    <row r="573">
      <c r="A573" s="7">
        <v>40038</v>
      </c>
      <c r="B573" s="15" t="s">
        <v>480</v>
      </c>
      <c r="C573" s="20">
        <v>90</v>
      </c>
      <c r="D573" s="20">
        <v>561</v>
      </c>
      <c r="E573" s="20" t="s">
        <v>18</v>
      </c>
      <c r="F573" s="20" t="s">
        <v>48</v>
      </c>
    </row>
    <row r="574">
      <c r="A574" s="7">
        <v>40038</v>
      </c>
      <c r="B574" s="15" t="s">
        <v>481</v>
      </c>
      <c r="C574" s="20">
        <v>90</v>
      </c>
      <c r="D574" s="20">
        <v>561</v>
      </c>
      <c r="E574" s="20" t="s">
        <v>18</v>
      </c>
      <c r="F574" s="20" t="s">
        <v>48</v>
      </c>
    </row>
    <row r="575">
      <c r="A575" s="7">
        <v>40038</v>
      </c>
      <c r="B575" s="15" t="s">
        <v>482</v>
      </c>
      <c r="C575" s="20">
        <v>5</v>
      </c>
      <c r="D575" s="20">
        <v>503</v>
      </c>
      <c r="E575" s="20" t="s">
        <v>18</v>
      </c>
      <c r="F575" s="20" t="s">
        <v>41</v>
      </c>
    </row>
    <row r="576">
      <c r="A576" s="7">
        <v>40038</v>
      </c>
      <c r="B576" s="15" t="s">
        <v>483</v>
      </c>
      <c r="C576" s="20">
        <v>5</v>
      </c>
      <c r="D576" s="20">
        <v>503</v>
      </c>
      <c r="E576" s="20" t="s">
        <v>18</v>
      </c>
      <c r="F576" s="20" t="s">
        <v>41</v>
      </c>
    </row>
    <row r="577">
      <c r="A577" s="7">
        <v>40038</v>
      </c>
      <c r="B577" s="15" t="s">
        <v>484</v>
      </c>
      <c r="C577" s="20">
        <v>5</v>
      </c>
      <c r="D577" s="20">
        <v>503</v>
      </c>
      <c r="E577" s="20" t="s">
        <v>18</v>
      </c>
      <c r="F577" s="20" t="s">
        <v>41</v>
      </c>
    </row>
    <row r="578">
      <c r="A578" s="7">
        <v>40038</v>
      </c>
      <c r="B578" s="15" t="s">
        <v>485</v>
      </c>
      <c r="C578" s="20">
        <v>5</v>
      </c>
      <c r="D578" s="20">
        <v>503</v>
      </c>
      <c r="E578" s="20" t="s">
        <v>18</v>
      </c>
      <c r="F578" s="20" t="s">
        <v>41</v>
      </c>
    </row>
    <row r="579">
      <c r="A579" s="7">
        <v>40038</v>
      </c>
      <c r="B579" s="15" t="s">
        <v>486</v>
      </c>
      <c r="C579" s="20">
        <v>5</v>
      </c>
      <c r="D579" s="20">
        <v>503</v>
      </c>
      <c r="E579" s="20" t="s">
        <v>18</v>
      </c>
      <c r="F579" s="20" t="s">
        <v>41</v>
      </c>
    </row>
    <row r="580">
      <c r="A580" s="7">
        <v>40038</v>
      </c>
      <c r="B580" s="15" t="s">
        <v>487</v>
      </c>
      <c r="C580" s="20">
        <v>5</v>
      </c>
      <c r="D580" s="20">
        <v>503</v>
      </c>
      <c r="E580" s="20" t="s">
        <v>18</v>
      </c>
      <c r="F580" s="20" t="s">
        <v>41</v>
      </c>
    </row>
    <row r="581">
      <c r="A581" s="7">
        <v>40038</v>
      </c>
      <c r="B581" s="15" t="s">
        <v>488</v>
      </c>
      <c r="C581" s="20">
        <v>5</v>
      </c>
      <c r="D581" s="20">
        <v>503</v>
      </c>
      <c r="E581" s="20" t="s">
        <v>18</v>
      </c>
      <c r="F581" s="20" t="s">
        <v>41</v>
      </c>
    </row>
    <row r="582">
      <c r="A582" s="7">
        <v>40039</v>
      </c>
      <c r="B582" s="15" t="s">
        <v>489</v>
      </c>
      <c r="C582" s="20">
        <v>90</v>
      </c>
      <c r="D582" s="20">
        <v>561</v>
      </c>
      <c r="E582" s="20" t="s">
        <v>18</v>
      </c>
      <c r="F582" s="20" t="s">
        <v>48</v>
      </c>
    </row>
    <row r="583">
      <c r="A583" s="7">
        <v>40039</v>
      </c>
      <c r="B583" s="15" t="s">
        <v>490</v>
      </c>
      <c r="C583" s="20">
        <v>5</v>
      </c>
      <c r="D583" s="20">
        <v>503</v>
      </c>
      <c r="E583" s="20" t="s">
        <v>18</v>
      </c>
      <c r="F583" s="20" t="s">
        <v>41</v>
      </c>
    </row>
    <row r="584">
      <c r="A584" s="7">
        <v>40039</v>
      </c>
      <c r="B584" s="15" t="s">
        <v>491</v>
      </c>
      <c r="C584" s="20">
        <v>5</v>
      </c>
      <c r="D584" s="20">
        <v>503</v>
      </c>
      <c r="E584" s="20" t="s">
        <v>18</v>
      </c>
      <c r="F584" s="20" t="s">
        <v>41</v>
      </c>
    </row>
    <row r="585">
      <c r="A585" s="7">
        <v>40039</v>
      </c>
      <c r="B585" s="15" t="s">
        <v>492</v>
      </c>
      <c r="C585" s="20">
        <v>10</v>
      </c>
      <c r="D585" s="20">
        <v>503</v>
      </c>
      <c r="E585" s="20" t="s">
        <v>18</v>
      </c>
      <c r="F585" s="20" t="s">
        <v>41</v>
      </c>
    </row>
    <row r="586">
      <c r="A586" s="7">
        <v>40039</v>
      </c>
      <c r="B586" s="15" t="s">
        <v>493</v>
      </c>
      <c r="C586" s="20">
        <v>5</v>
      </c>
      <c r="D586" s="20">
        <v>503</v>
      </c>
      <c r="E586" s="20" t="s">
        <v>18</v>
      </c>
      <c r="F586" s="20" t="s">
        <v>41</v>
      </c>
    </row>
    <row r="587">
      <c r="A587" s="7">
        <v>40039</v>
      </c>
      <c r="B587" s="15" t="s">
        <v>494</v>
      </c>
      <c r="C587" s="20">
        <v>5</v>
      </c>
      <c r="D587" s="20">
        <v>503</v>
      </c>
      <c r="E587" s="20" t="s">
        <v>18</v>
      </c>
      <c r="F587" s="20" t="s">
        <v>41</v>
      </c>
    </row>
    <row r="588">
      <c r="A588" s="7">
        <v>40039</v>
      </c>
      <c r="B588" s="15" t="s">
        <v>495</v>
      </c>
      <c r="C588" s="20">
        <v>5</v>
      </c>
      <c r="D588" s="20">
        <v>503</v>
      </c>
      <c r="E588" s="20" t="s">
        <v>18</v>
      </c>
      <c r="F588" s="20" t="s">
        <v>41</v>
      </c>
    </row>
    <row r="589">
      <c r="A589" s="7">
        <v>40039</v>
      </c>
      <c r="B589" s="15" t="s">
        <v>496</v>
      </c>
      <c r="C589" s="20">
        <v>5</v>
      </c>
      <c r="D589" s="20">
        <v>503</v>
      </c>
      <c r="E589" s="20" t="s">
        <v>18</v>
      </c>
      <c r="F589" s="20" t="s">
        <v>41</v>
      </c>
    </row>
    <row r="590">
      <c r="A590" s="7">
        <v>40042</v>
      </c>
      <c r="B590" s="15" t="s">
        <v>497</v>
      </c>
      <c r="C590" s="20">
        <v>200</v>
      </c>
      <c r="D590" s="20">
        <v>561</v>
      </c>
      <c r="E590" s="20" t="s">
        <v>18</v>
      </c>
      <c r="F590" s="20" t="s">
        <v>48</v>
      </c>
    </row>
    <row r="591">
      <c r="A591" s="7">
        <v>40042</v>
      </c>
      <c r="B591" s="15" t="s">
        <v>498</v>
      </c>
      <c r="C591" s="20">
        <v>110</v>
      </c>
      <c r="D591" s="20">
        <v>561</v>
      </c>
      <c r="E591" s="20" t="s">
        <v>18</v>
      </c>
      <c r="F591" s="20" t="s">
        <v>48</v>
      </c>
    </row>
    <row r="592">
      <c r="A592" s="7">
        <v>40043</v>
      </c>
      <c r="B592" s="15" t="s">
        <v>499</v>
      </c>
      <c r="C592" s="20">
        <v>220</v>
      </c>
      <c r="D592" s="20">
        <v>561</v>
      </c>
      <c r="E592" s="20" t="s">
        <v>18</v>
      </c>
      <c r="F592" s="20" t="s">
        <v>48</v>
      </c>
    </row>
    <row r="593">
      <c r="A593" s="7">
        <v>40043</v>
      </c>
      <c r="B593" s="15" t="s">
        <v>500</v>
      </c>
      <c r="C593" s="20">
        <v>90</v>
      </c>
      <c r="D593" s="20">
        <v>561</v>
      </c>
      <c r="E593" s="20" t="s">
        <v>18</v>
      </c>
      <c r="F593" s="20" t="s">
        <v>48</v>
      </c>
    </row>
    <row r="594">
      <c r="A594" s="7">
        <v>40043</v>
      </c>
      <c r="B594" s="15" t="s">
        <v>501</v>
      </c>
      <c r="C594" s="20">
        <v>200</v>
      </c>
      <c r="D594" s="20">
        <v>561</v>
      </c>
      <c r="E594" s="20" t="s">
        <v>18</v>
      </c>
      <c r="F594" s="20" t="s">
        <v>48</v>
      </c>
    </row>
    <row r="595">
      <c r="A595" s="7">
        <v>40044</v>
      </c>
      <c r="B595" s="15" t="s">
        <v>502</v>
      </c>
      <c r="C595" s="20">
        <v>90</v>
      </c>
      <c r="D595" s="20">
        <v>561</v>
      </c>
      <c r="E595" s="20" t="s">
        <v>18</v>
      </c>
      <c r="F595" s="20" t="s">
        <v>48</v>
      </c>
    </row>
    <row r="596">
      <c r="A596" s="7">
        <v>40045</v>
      </c>
      <c r="B596" s="15" t="s">
        <v>503</v>
      </c>
      <c r="C596" s="20">
        <v>200</v>
      </c>
      <c r="D596" s="20">
        <v>561</v>
      </c>
      <c r="E596" s="20" t="s">
        <v>18</v>
      </c>
      <c r="F596" s="20" t="s">
        <v>48</v>
      </c>
    </row>
    <row r="597">
      <c r="A597" s="7">
        <v>40045</v>
      </c>
      <c r="B597" s="15" t="s">
        <v>504</v>
      </c>
      <c r="C597" s="20">
        <v>110</v>
      </c>
      <c r="D597" s="20">
        <v>561</v>
      </c>
      <c r="E597" s="20" t="s">
        <v>18</v>
      </c>
      <c r="F597" s="20" t="s">
        <v>48</v>
      </c>
    </row>
    <row r="598">
      <c r="A598" s="7">
        <v>40045</v>
      </c>
      <c r="B598" s="15" t="s">
        <v>505</v>
      </c>
      <c r="C598" s="20">
        <v>95</v>
      </c>
      <c r="D598" s="20">
        <v>561</v>
      </c>
      <c r="E598" s="20" t="s">
        <v>18</v>
      </c>
      <c r="F598" s="20" t="s">
        <v>48</v>
      </c>
    </row>
    <row r="599">
      <c r="A599" s="7">
        <v>40045</v>
      </c>
      <c r="B599" s="15" t="s">
        <v>506</v>
      </c>
      <c r="C599" s="20">
        <v>180</v>
      </c>
      <c r="D599" s="20">
        <v>561</v>
      </c>
      <c r="E599" s="20" t="s">
        <v>18</v>
      </c>
      <c r="F599" s="20" t="s">
        <v>48</v>
      </c>
    </row>
    <row r="600">
      <c r="A600" s="7">
        <v>40045</v>
      </c>
      <c r="B600" s="15" t="s">
        <v>507</v>
      </c>
      <c r="C600" s="20">
        <v>200</v>
      </c>
      <c r="D600" s="20">
        <v>561</v>
      </c>
      <c r="E600" s="20" t="s">
        <v>18</v>
      </c>
      <c r="F600" s="20" t="s">
        <v>48</v>
      </c>
    </row>
    <row r="601">
      <c r="A601" s="7">
        <v>40045</v>
      </c>
      <c r="B601" s="15" t="s">
        <v>508</v>
      </c>
      <c r="C601" s="20">
        <v>110</v>
      </c>
      <c r="D601" s="20">
        <v>561</v>
      </c>
      <c r="E601" s="20" t="s">
        <v>18</v>
      </c>
      <c r="F601" s="20" t="s">
        <v>48</v>
      </c>
    </row>
    <row r="602">
      <c r="A602" s="7">
        <v>40045</v>
      </c>
      <c r="B602" s="15" t="s">
        <v>509</v>
      </c>
      <c r="C602" s="20">
        <v>180</v>
      </c>
      <c r="D602" s="20">
        <v>561</v>
      </c>
      <c r="E602" s="20" t="s">
        <v>18</v>
      </c>
      <c r="F602" s="20" t="s">
        <v>48</v>
      </c>
    </row>
    <row r="603">
      <c r="A603" s="7">
        <v>40046</v>
      </c>
      <c r="B603" s="15" t="s">
        <v>510</v>
      </c>
      <c r="C603" s="20">
        <v>90</v>
      </c>
      <c r="D603" s="20">
        <v>561</v>
      </c>
      <c r="E603" s="20" t="s">
        <v>18</v>
      </c>
      <c r="F603" s="20" t="s">
        <v>48</v>
      </c>
    </row>
    <row r="604">
      <c r="A604" s="7">
        <v>40046</v>
      </c>
      <c r="B604" s="15" t="s">
        <v>511</v>
      </c>
      <c r="C604" s="20">
        <v>90</v>
      </c>
      <c r="D604" s="20">
        <v>561</v>
      </c>
      <c r="E604" s="20" t="s">
        <v>18</v>
      </c>
      <c r="F604" s="20" t="s">
        <v>48</v>
      </c>
    </row>
    <row r="605">
      <c r="A605" s="7">
        <v>40046</v>
      </c>
      <c r="B605" s="15" t="s">
        <v>512</v>
      </c>
      <c r="C605" s="20">
        <v>270</v>
      </c>
      <c r="D605" s="20">
        <v>561</v>
      </c>
      <c r="E605" s="20" t="s">
        <v>18</v>
      </c>
      <c r="F605" s="20" t="s">
        <v>48</v>
      </c>
    </row>
    <row r="606">
      <c r="A606" s="7">
        <v>40047</v>
      </c>
      <c r="B606" s="15" t="s">
        <v>513</v>
      </c>
      <c r="C606" s="20">
        <v>90</v>
      </c>
      <c r="D606" s="20">
        <v>561</v>
      </c>
      <c r="E606" s="20" t="s">
        <v>18</v>
      </c>
      <c r="F606" s="20" t="s">
        <v>48</v>
      </c>
    </row>
    <row r="607">
      <c r="A607" s="7">
        <v>40047</v>
      </c>
      <c r="B607" s="15" t="s">
        <v>514</v>
      </c>
      <c r="C607" s="20">
        <v>90</v>
      </c>
      <c r="D607" s="20">
        <v>561</v>
      </c>
      <c r="E607" s="20" t="s">
        <v>18</v>
      </c>
      <c r="F607" s="20" t="s">
        <v>48</v>
      </c>
    </row>
    <row r="608">
      <c r="A608" s="7">
        <v>40049</v>
      </c>
      <c r="B608" s="15" t="s">
        <v>515</v>
      </c>
      <c r="C608" s="20">
        <v>220</v>
      </c>
      <c r="D608" s="20">
        <v>561</v>
      </c>
      <c r="E608" s="20" t="s">
        <v>18</v>
      </c>
      <c r="F608" s="20" t="s">
        <v>48</v>
      </c>
    </row>
    <row r="609">
      <c r="A609" s="7">
        <v>40049</v>
      </c>
      <c r="B609" s="15" t="s">
        <v>516</v>
      </c>
      <c r="C609" s="20">
        <v>200</v>
      </c>
      <c r="D609" s="20">
        <v>561</v>
      </c>
      <c r="E609" s="20" t="s">
        <v>18</v>
      </c>
      <c r="F609" s="20" t="s">
        <v>48</v>
      </c>
    </row>
    <row r="610">
      <c r="A610" s="7">
        <v>40049</v>
      </c>
      <c r="B610" s="15" t="s">
        <v>517</v>
      </c>
      <c r="C610" s="20">
        <v>90</v>
      </c>
      <c r="D610" s="20">
        <v>561</v>
      </c>
      <c r="E610" s="20" t="s">
        <v>18</v>
      </c>
      <c r="F610" s="20" t="s">
        <v>48</v>
      </c>
    </row>
    <row r="611">
      <c r="A611" s="7">
        <v>40050</v>
      </c>
      <c r="B611" s="15" t="s">
        <v>518</v>
      </c>
      <c r="C611" s="20">
        <v>90</v>
      </c>
      <c r="D611" s="20">
        <v>561</v>
      </c>
      <c r="E611" s="20" t="s">
        <v>18</v>
      </c>
      <c r="F611" s="20" t="s">
        <v>48</v>
      </c>
    </row>
    <row r="612">
      <c r="A612" s="7">
        <v>40050</v>
      </c>
      <c r="B612" s="15" t="s">
        <v>519</v>
      </c>
      <c r="C612" s="20">
        <v>90</v>
      </c>
      <c r="D612" s="20">
        <v>561</v>
      </c>
      <c r="E612" s="20" t="s">
        <v>18</v>
      </c>
      <c r="F612" s="20" t="s">
        <v>48</v>
      </c>
    </row>
    <row r="613">
      <c r="A613" s="7">
        <v>40050</v>
      </c>
      <c r="B613" s="15" t="s">
        <v>520</v>
      </c>
      <c r="C613" s="20">
        <v>90</v>
      </c>
      <c r="D613" s="20">
        <v>561</v>
      </c>
      <c r="E613" s="20" t="s">
        <v>18</v>
      </c>
      <c r="F613" s="20" t="s">
        <v>48</v>
      </c>
    </row>
    <row r="614">
      <c r="A614" s="7">
        <v>40050</v>
      </c>
      <c r="B614" s="15" t="s">
        <v>521</v>
      </c>
      <c r="C614" s="20">
        <v>90</v>
      </c>
      <c r="D614" s="20">
        <v>561</v>
      </c>
      <c r="E614" s="20" t="s">
        <v>18</v>
      </c>
      <c r="F614" s="20" t="s">
        <v>48</v>
      </c>
    </row>
    <row r="615">
      <c r="A615" s="7">
        <v>40050</v>
      </c>
      <c r="B615" s="15" t="s">
        <v>522</v>
      </c>
      <c r="C615" s="20">
        <v>90</v>
      </c>
      <c r="D615" s="20">
        <v>561</v>
      </c>
      <c r="E615" s="20" t="s">
        <v>18</v>
      </c>
      <c r="F615" s="20" t="s">
        <v>48</v>
      </c>
    </row>
    <row r="616">
      <c r="A616" s="7">
        <v>40050</v>
      </c>
      <c r="B616" s="15" t="s">
        <v>523</v>
      </c>
      <c r="C616" s="20">
        <v>90</v>
      </c>
      <c r="D616" s="20">
        <v>561</v>
      </c>
      <c r="E616" s="20" t="s">
        <v>18</v>
      </c>
      <c r="F616" s="20" t="s">
        <v>48</v>
      </c>
    </row>
    <row r="617">
      <c r="A617" s="7">
        <v>40051</v>
      </c>
      <c r="B617" s="15" t="s">
        <v>524</v>
      </c>
      <c r="C617" s="20">
        <v>90</v>
      </c>
      <c r="D617" s="20">
        <v>561</v>
      </c>
      <c r="E617" s="20" t="s">
        <v>18</v>
      </c>
      <c r="F617" s="20" t="s">
        <v>48</v>
      </c>
    </row>
    <row r="618">
      <c r="A618" s="7">
        <v>40051</v>
      </c>
      <c r="B618" s="15" t="s">
        <v>525</v>
      </c>
      <c r="C618" s="20">
        <v>90</v>
      </c>
      <c r="D618" s="20">
        <v>561</v>
      </c>
      <c r="E618" s="20" t="s">
        <v>18</v>
      </c>
      <c r="F618" s="20" t="s">
        <v>48</v>
      </c>
    </row>
    <row r="619">
      <c r="A619" s="7">
        <v>40052</v>
      </c>
      <c r="B619" s="15" t="s">
        <v>526</v>
      </c>
      <c r="C619" s="20">
        <v>300</v>
      </c>
      <c r="D619" s="20">
        <v>561</v>
      </c>
      <c r="E619" s="20" t="s">
        <v>18</v>
      </c>
      <c r="F619" s="20" t="s">
        <v>48</v>
      </c>
    </row>
    <row r="620">
      <c r="A620" s="7">
        <v>40052</v>
      </c>
      <c r="B620" s="15" t="s">
        <v>527</v>
      </c>
      <c r="C620" s="20">
        <v>180</v>
      </c>
      <c r="D620" s="20">
        <v>561</v>
      </c>
      <c r="E620" s="20" t="s">
        <v>18</v>
      </c>
      <c r="F620" s="20" t="s">
        <v>48</v>
      </c>
    </row>
    <row r="621">
      <c r="A621" s="7">
        <v>40052</v>
      </c>
      <c r="B621" s="15" t="s">
        <v>528</v>
      </c>
      <c r="C621" s="20">
        <v>90</v>
      </c>
      <c r="D621" s="20">
        <v>561</v>
      </c>
      <c r="E621" s="20" t="s">
        <v>18</v>
      </c>
      <c r="F621" s="20" t="s">
        <v>48</v>
      </c>
    </row>
    <row r="622">
      <c r="A622" s="7">
        <v>40053</v>
      </c>
      <c r="B622" s="15" t="s">
        <v>529</v>
      </c>
      <c r="C622" s="20">
        <v>90</v>
      </c>
      <c r="D622" s="20">
        <v>561</v>
      </c>
      <c r="E622" s="20" t="s">
        <v>18</v>
      </c>
      <c r="F622" s="20" t="s">
        <v>48</v>
      </c>
    </row>
    <row r="623">
      <c r="A623" s="7">
        <v>40056</v>
      </c>
      <c r="B623" s="15" t="s">
        <v>530</v>
      </c>
      <c r="C623" s="20">
        <v>200</v>
      </c>
      <c r="D623" s="20">
        <v>561</v>
      </c>
      <c r="E623" s="20" t="s">
        <v>18</v>
      </c>
      <c r="F623" s="20" t="s">
        <v>48</v>
      </c>
    </row>
    <row r="624">
      <c r="A624" s="7">
        <v>40056</v>
      </c>
      <c r="B624" s="15" t="s">
        <v>531</v>
      </c>
      <c r="C624" s="20">
        <v>220</v>
      </c>
      <c r="D624" s="20">
        <v>561</v>
      </c>
      <c r="E624" s="20" t="s">
        <v>18</v>
      </c>
      <c r="F624" s="20" t="s">
        <v>48</v>
      </c>
    </row>
    <row r="625">
      <c r="A625" s="7">
        <v>40056</v>
      </c>
      <c r="B625" s="15" t="s">
        <v>532</v>
      </c>
      <c r="C625" s="20">
        <v>95</v>
      </c>
      <c r="D625" s="20">
        <v>561</v>
      </c>
      <c r="E625" s="20" t="s">
        <v>18</v>
      </c>
      <c r="F625" s="20" t="s">
        <v>48</v>
      </c>
    </row>
    <row r="626">
      <c r="A626" s="7">
        <v>40056</v>
      </c>
      <c r="B626" s="15" t="s">
        <v>533</v>
      </c>
      <c r="C626" s="20">
        <v>190</v>
      </c>
      <c r="D626" s="20">
        <v>561</v>
      </c>
      <c r="E626" s="20" t="s">
        <v>18</v>
      </c>
      <c r="F626" s="20" t="s">
        <v>48</v>
      </c>
    </row>
    <row r="627">
      <c r="A627" s="7">
        <v>40056</v>
      </c>
      <c r="B627" s="15" t="s">
        <v>534</v>
      </c>
      <c r="C627" s="20">
        <v>110</v>
      </c>
      <c r="D627" s="20">
        <v>561</v>
      </c>
      <c r="E627" s="20" t="s">
        <v>18</v>
      </c>
      <c r="F627" s="20" t="s">
        <v>48</v>
      </c>
    </row>
    <row r="628">
      <c r="A628" s="7">
        <v>40056</v>
      </c>
      <c r="B628" s="15" t="s">
        <v>535</v>
      </c>
      <c r="C628" s="20">
        <v>190</v>
      </c>
      <c r="D628" s="20">
        <v>561</v>
      </c>
      <c r="E628" s="20" t="s">
        <v>18</v>
      </c>
      <c r="F628" s="20" t="s">
        <v>48</v>
      </c>
    </row>
    <row r="629">
      <c r="A629" s="7">
        <v>40056</v>
      </c>
      <c r="B629" s="15" t="s">
        <v>536</v>
      </c>
      <c r="C629" s="20">
        <v>90</v>
      </c>
      <c r="D629" s="20">
        <v>561</v>
      </c>
      <c r="E629" s="20" t="s">
        <v>18</v>
      </c>
      <c r="F629" s="20" t="s">
        <v>48</v>
      </c>
    </row>
    <row r="630">
      <c r="A630" s="7">
        <v>40058</v>
      </c>
      <c r="B630" s="15" t="s">
        <v>537</v>
      </c>
      <c r="C630" s="20">
        <v>110</v>
      </c>
      <c r="D630" s="20">
        <v>561</v>
      </c>
      <c r="E630" s="20" t="s">
        <v>18</v>
      </c>
      <c r="F630" s="20" t="s">
        <v>48</v>
      </c>
    </row>
    <row r="631">
      <c r="A631" s="7">
        <v>40058</v>
      </c>
      <c r="B631" s="15" t="s">
        <v>538</v>
      </c>
      <c r="C631" s="20">
        <v>110</v>
      </c>
      <c r="D631" s="20">
        <v>561</v>
      </c>
      <c r="E631" s="20" t="s">
        <v>18</v>
      </c>
      <c r="F631" s="20" t="s">
        <v>48</v>
      </c>
    </row>
    <row r="632">
      <c r="A632" s="7">
        <v>40058</v>
      </c>
      <c r="B632" s="15" t="s">
        <v>539</v>
      </c>
      <c r="C632" s="20">
        <v>110</v>
      </c>
      <c r="D632" s="20">
        <v>561</v>
      </c>
      <c r="E632" s="20" t="s">
        <v>18</v>
      </c>
      <c r="F632" s="20" t="s">
        <v>48</v>
      </c>
    </row>
    <row r="633">
      <c r="A633" s="7">
        <v>40058</v>
      </c>
      <c r="B633" s="15" t="s">
        <v>540</v>
      </c>
      <c r="C633" s="20">
        <v>110</v>
      </c>
      <c r="D633" s="20">
        <v>561</v>
      </c>
      <c r="E633" s="20" t="s">
        <v>18</v>
      </c>
      <c r="F633" s="20" t="s">
        <v>48</v>
      </c>
    </row>
    <row r="634">
      <c r="A634" s="7">
        <v>40058</v>
      </c>
      <c r="B634" s="15" t="s">
        <v>541</v>
      </c>
      <c r="C634" s="20">
        <v>90</v>
      </c>
      <c r="D634" s="20">
        <v>561</v>
      </c>
      <c r="E634" s="20" t="s">
        <v>18</v>
      </c>
      <c r="F634" s="20" t="s">
        <v>48</v>
      </c>
    </row>
    <row r="635">
      <c r="A635" s="7">
        <v>40059</v>
      </c>
      <c r="B635" s="15" t="s">
        <v>542</v>
      </c>
      <c r="C635" s="20">
        <v>100</v>
      </c>
      <c r="D635" s="20">
        <v>561</v>
      </c>
      <c r="E635" s="20" t="s">
        <v>18</v>
      </c>
      <c r="F635" s="20" t="s">
        <v>48</v>
      </c>
    </row>
    <row r="636">
      <c r="A636" s="7">
        <v>40059</v>
      </c>
      <c r="B636" s="15" t="s">
        <v>543</v>
      </c>
      <c r="C636" s="20">
        <v>90</v>
      </c>
      <c r="D636" s="20">
        <v>561</v>
      </c>
      <c r="E636" s="20" t="s">
        <v>18</v>
      </c>
      <c r="F636" s="20" t="s">
        <v>48</v>
      </c>
    </row>
    <row r="637">
      <c r="A637" s="7">
        <v>40060</v>
      </c>
      <c r="B637" s="15" t="s">
        <v>544</v>
      </c>
      <c r="C637" s="20">
        <v>110</v>
      </c>
      <c r="D637" s="20">
        <v>561</v>
      </c>
      <c r="E637" s="20" t="s">
        <v>18</v>
      </c>
      <c r="F637" s="20" t="s">
        <v>48</v>
      </c>
    </row>
    <row r="638">
      <c r="A638" s="7">
        <v>40060</v>
      </c>
      <c r="B638" s="15" t="s">
        <v>545</v>
      </c>
      <c r="C638" s="20">
        <v>110</v>
      </c>
      <c r="D638" s="20">
        <v>561</v>
      </c>
      <c r="E638" s="20" t="s">
        <v>18</v>
      </c>
      <c r="F638" s="20" t="s">
        <v>48</v>
      </c>
    </row>
    <row r="639">
      <c r="A639" s="7">
        <v>40060</v>
      </c>
      <c r="B639" s="15" t="s">
        <v>546</v>
      </c>
      <c r="C639" s="20">
        <v>180</v>
      </c>
      <c r="D639" s="20">
        <v>561</v>
      </c>
      <c r="E639" s="20" t="s">
        <v>18</v>
      </c>
      <c r="F639" s="20" t="s">
        <v>48</v>
      </c>
    </row>
    <row r="640">
      <c r="A640" s="7">
        <v>40060</v>
      </c>
      <c r="B640" s="15" t="s">
        <v>547</v>
      </c>
      <c r="C640" s="20">
        <v>1000</v>
      </c>
      <c r="D640" s="20">
        <v>561</v>
      </c>
      <c r="E640" s="20" t="s">
        <v>18</v>
      </c>
      <c r="F640" s="20" t="s">
        <v>48</v>
      </c>
    </row>
    <row r="641">
      <c r="A641" s="7">
        <v>40063</v>
      </c>
      <c r="B641" s="15" t="s">
        <v>548</v>
      </c>
      <c r="C641" s="20">
        <v>200</v>
      </c>
      <c r="D641" s="20">
        <v>561</v>
      </c>
      <c r="E641" s="20" t="s">
        <v>18</v>
      </c>
      <c r="F641" s="20" t="s">
        <v>48</v>
      </c>
    </row>
    <row r="642">
      <c r="A642" s="7">
        <v>40063</v>
      </c>
      <c r="B642" s="15" t="s">
        <v>549</v>
      </c>
      <c r="C642" s="20">
        <v>110</v>
      </c>
      <c r="D642" s="20">
        <v>561</v>
      </c>
      <c r="E642" s="20" t="s">
        <v>18</v>
      </c>
      <c r="F642" s="20" t="s">
        <v>48</v>
      </c>
    </row>
    <row r="643">
      <c r="A643" s="7">
        <v>40063</v>
      </c>
      <c r="B643" s="15" t="s">
        <v>550</v>
      </c>
      <c r="C643" s="20">
        <v>110</v>
      </c>
      <c r="D643" s="20">
        <v>561</v>
      </c>
      <c r="E643" s="20" t="s">
        <v>18</v>
      </c>
      <c r="F643" s="20" t="s">
        <v>48</v>
      </c>
    </row>
    <row r="644">
      <c r="A644" s="7">
        <v>40063</v>
      </c>
      <c r="B644" s="15" t="s">
        <v>551</v>
      </c>
      <c r="C644" s="20">
        <v>180</v>
      </c>
      <c r="D644" s="20">
        <v>561</v>
      </c>
      <c r="E644" s="20" t="s">
        <v>18</v>
      </c>
      <c r="F644" s="20" t="s">
        <v>48</v>
      </c>
    </row>
    <row r="645">
      <c r="A645" s="7">
        <v>40064</v>
      </c>
      <c r="B645" s="15" t="s">
        <v>552</v>
      </c>
      <c r="C645" s="20">
        <v>5668</v>
      </c>
      <c r="D645" s="20">
        <v>561</v>
      </c>
      <c r="E645" s="20" t="s">
        <v>18</v>
      </c>
      <c r="F645" s="20" t="s">
        <v>48</v>
      </c>
    </row>
    <row r="646">
      <c r="A646" s="7">
        <v>40064</v>
      </c>
      <c r="B646" s="15" t="s">
        <v>553</v>
      </c>
      <c r="C646" s="20">
        <v>-14515</v>
      </c>
      <c r="D646" s="20">
        <v>665</v>
      </c>
      <c r="E646" s="20" t="s">
        <v>18</v>
      </c>
      <c r="F646" s="20" t="s">
        <v>78</v>
      </c>
    </row>
    <row r="647">
      <c r="A647" s="7">
        <v>40064</v>
      </c>
      <c r="B647" s="15" t="s">
        <v>466</v>
      </c>
      <c r="C647" s="20">
        <v>-3.4</v>
      </c>
      <c r="D647" s="20">
        <v>602</v>
      </c>
      <c r="E647" s="20" t="s">
        <v>18</v>
      </c>
      <c r="F647" s="20" t="s">
        <v>63</v>
      </c>
    </row>
    <row r="648">
      <c r="A648" s="7">
        <v>40064</v>
      </c>
      <c r="B648" s="15" t="s">
        <v>554</v>
      </c>
      <c r="C648" s="20">
        <v>110</v>
      </c>
      <c r="D648" s="20">
        <v>561</v>
      </c>
      <c r="E648" s="20" t="s">
        <v>18</v>
      </c>
      <c r="F648" s="20" t="s">
        <v>48</v>
      </c>
    </row>
    <row r="649">
      <c r="A649" s="7">
        <v>40064</v>
      </c>
      <c r="B649" s="15" t="s">
        <v>552</v>
      </c>
      <c r="C649" s="20">
        <v>110</v>
      </c>
      <c r="D649" s="20">
        <v>561</v>
      </c>
      <c r="E649" s="20" t="s">
        <v>18</v>
      </c>
      <c r="F649" s="20" t="s">
        <v>48</v>
      </c>
    </row>
    <row r="650">
      <c r="A650" s="7">
        <v>40064</v>
      </c>
      <c r="B650" s="15" t="s">
        <v>555</v>
      </c>
      <c r="C650" s="20">
        <v>-293.25</v>
      </c>
      <c r="D650" s="20">
        <v>664</v>
      </c>
      <c r="E650" s="20" t="s">
        <v>18</v>
      </c>
      <c r="F650" s="20" t="s">
        <v>77</v>
      </c>
    </row>
    <row r="651">
      <c r="A651" s="7">
        <v>40064</v>
      </c>
      <c r="B651" s="15" t="s">
        <v>556</v>
      </c>
      <c r="C651" s="20">
        <v>200</v>
      </c>
      <c r="D651" s="20">
        <v>561</v>
      </c>
      <c r="E651" s="20" t="s">
        <v>18</v>
      </c>
      <c r="F651" s="20" t="s">
        <v>48</v>
      </c>
    </row>
    <row r="652">
      <c r="A652" s="7">
        <v>40065</v>
      </c>
      <c r="B652" s="15" t="s">
        <v>557</v>
      </c>
      <c r="C652" s="20">
        <v>200</v>
      </c>
      <c r="D652" s="20">
        <v>561</v>
      </c>
      <c r="E652" s="20" t="s">
        <v>18</v>
      </c>
      <c r="F652" s="20" t="s">
        <v>48</v>
      </c>
    </row>
    <row r="653">
      <c r="A653" s="7">
        <v>40066</v>
      </c>
      <c r="B653" s="15" t="s">
        <v>558</v>
      </c>
      <c r="C653" s="20">
        <v>-393.5</v>
      </c>
      <c r="D653" s="20">
        <v>661</v>
      </c>
      <c r="E653" s="20" t="s">
        <v>18</v>
      </c>
      <c r="F653" s="20" t="s">
        <v>74</v>
      </c>
    </row>
    <row r="654">
      <c r="A654" s="7">
        <v>40067</v>
      </c>
      <c r="B654" s="15" t="s">
        <v>559</v>
      </c>
      <c r="C654" s="20">
        <v>-275.2</v>
      </c>
      <c r="D654" s="20">
        <v>664</v>
      </c>
      <c r="E654" s="20" t="s">
        <v>18</v>
      </c>
      <c r="F654" s="20" t="s">
        <v>77</v>
      </c>
    </row>
    <row r="655">
      <c r="A655" s="7">
        <v>40067</v>
      </c>
      <c r="B655" s="15" t="s">
        <v>560</v>
      </c>
      <c r="C655" s="20">
        <v>-342.2</v>
      </c>
      <c r="D655" s="20">
        <v>664</v>
      </c>
      <c r="E655" s="20" t="s">
        <v>18</v>
      </c>
      <c r="F655" s="20" t="s">
        <v>77</v>
      </c>
    </row>
    <row r="656">
      <c r="A656" s="7">
        <v>40067</v>
      </c>
      <c r="B656" s="15" t="s">
        <v>561</v>
      </c>
      <c r="C656" s="20">
        <v>-246.2</v>
      </c>
      <c r="D656" s="20">
        <v>664</v>
      </c>
      <c r="E656" s="20" t="s">
        <v>18</v>
      </c>
      <c r="F656" s="20" t="s">
        <v>77</v>
      </c>
    </row>
    <row r="657">
      <c r="A657" s="7">
        <v>40067</v>
      </c>
      <c r="B657" s="15" t="s">
        <v>562</v>
      </c>
      <c r="C657" s="20">
        <v>-225</v>
      </c>
      <c r="D657" s="20">
        <v>664</v>
      </c>
      <c r="E657" s="20" t="s">
        <v>18</v>
      </c>
      <c r="F657" s="20" t="s">
        <v>77</v>
      </c>
    </row>
    <row r="658">
      <c r="A658" s="7">
        <v>40067</v>
      </c>
      <c r="B658" s="15" t="s">
        <v>563</v>
      </c>
      <c r="C658" s="20">
        <v>-256.2</v>
      </c>
      <c r="D658" s="20">
        <v>664</v>
      </c>
      <c r="E658" s="20" t="s">
        <v>18</v>
      </c>
      <c r="F658" s="20" t="s">
        <v>77</v>
      </c>
    </row>
    <row r="659">
      <c r="A659" s="7">
        <v>40067</v>
      </c>
      <c r="B659" s="15" t="s">
        <v>564</v>
      </c>
      <c r="C659" s="20">
        <v>-288</v>
      </c>
      <c r="D659" s="20">
        <v>664</v>
      </c>
      <c r="E659" s="20" t="s">
        <v>18</v>
      </c>
      <c r="F659" s="20" t="s">
        <v>77</v>
      </c>
    </row>
    <row r="660">
      <c r="A660" s="7">
        <v>40084</v>
      </c>
      <c r="B660" s="15" t="s">
        <v>565</v>
      </c>
      <c r="C660" s="20">
        <v>-90</v>
      </c>
      <c r="D660" s="20">
        <v>664</v>
      </c>
      <c r="E660" s="20" t="s">
        <v>18</v>
      </c>
      <c r="F660" s="20" t="s">
        <v>77</v>
      </c>
    </row>
    <row r="661">
      <c r="A661" s="7">
        <v>40084</v>
      </c>
      <c r="B661" s="15" t="s">
        <v>558</v>
      </c>
      <c r="C661" s="20">
        <v>-104.5</v>
      </c>
      <c r="D661" s="20">
        <v>665</v>
      </c>
      <c r="E661" s="20" t="s">
        <v>18</v>
      </c>
      <c r="F661" s="20" t="s">
        <v>78</v>
      </c>
    </row>
    <row r="662">
      <c r="A662" s="7">
        <v>40086</v>
      </c>
      <c r="B662" s="15" t="s">
        <v>566</v>
      </c>
      <c r="C662" s="20">
        <v>0.12</v>
      </c>
      <c r="D662" s="20">
        <v>502</v>
      </c>
      <c r="E662" s="20" t="s">
        <v>18</v>
      </c>
      <c r="F662" s="20" t="s">
        <v>40</v>
      </c>
      <c r="H662" t="s">
        <v>567</v>
      </c>
    </row>
    <row r="663">
      <c r="A663" s="7">
        <v>40106</v>
      </c>
      <c r="B663" s="15" t="s">
        <v>552</v>
      </c>
      <c r="C663" s="20">
        <v>450</v>
      </c>
      <c r="D663" s="20">
        <v>502</v>
      </c>
      <c r="E663" s="20" t="s">
        <v>18</v>
      </c>
      <c r="F663" s="20" t="s">
        <v>40</v>
      </c>
      <c r="H663" t="s">
        <v>567</v>
      </c>
    </row>
    <row r="664">
      <c r="A664" s="7">
        <v>40178</v>
      </c>
      <c r="B664" s="15" t="s">
        <v>566</v>
      </c>
      <c r="C664" s="20">
        <v>1.89</v>
      </c>
      <c r="D664" s="20">
        <v>502</v>
      </c>
      <c r="E664" s="20" t="s">
        <v>18</v>
      </c>
      <c r="F664" s="20" t="s">
        <v>40</v>
      </c>
      <c r="H664" t="s">
        <v>567</v>
      </c>
    </row>
    <row r="665" ht="1.5" customHeight="1">
      <c r="A665" s="7">
        <v>40248</v>
      </c>
      <c r="B665" s="15" t="s">
        <v>568</v>
      </c>
      <c r="C665" s="20">
        <v>200</v>
      </c>
      <c r="D665" s="20">
        <v>503</v>
      </c>
      <c r="E665" s="20" t="s">
        <v>18</v>
      </c>
      <c r="F665" s="20" t="s">
        <v>41</v>
      </c>
      <c r="H665" t="s">
        <v>569</v>
      </c>
    </row>
    <row r="666">
      <c r="A666" s="7">
        <v>40249</v>
      </c>
      <c r="B666" s="15" t="s">
        <v>570</v>
      </c>
      <c r="C666" s="20">
        <v>25</v>
      </c>
      <c r="D666" s="20">
        <v>551</v>
      </c>
      <c r="E666" s="20" t="s">
        <v>18</v>
      </c>
      <c r="F666" s="20" t="s">
        <v>47</v>
      </c>
    </row>
    <row r="667">
      <c r="A667" s="7">
        <v>40252</v>
      </c>
      <c r="B667" s="15" t="s">
        <v>571</v>
      </c>
      <c r="C667" s="20">
        <v>60</v>
      </c>
      <c r="D667" s="20">
        <v>551</v>
      </c>
      <c r="E667" s="20" t="s">
        <v>18</v>
      </c>
      <c r="F667" s="20" t="s">
        <v>47</v>
      </c>
    </row>
    <row r="668">
      <c r="A668" s="7">
        <v>40252</v>
      </c>
      <c r="B668" s="15" t="s">
        <v>572</v>
      </c>
      <c r="C668" s="20">
        <v>30</v>
      </c>
      <c r="D668" s="20">
        <v>551</v>
      </c>
      <c r="E668" s="20" t="s">
        <v>18</v>
      </c>
      <c r="F668" s="20" t="s">
        <v>47</v>
      </c>
    </row>
    <row r="669">
      <c r="A669" s="7">
        <v>40252</v>
      </c>
      <c r="B669" s="15" t="s">
        <v>573</v>
      </c>
      <c r="C669" s="20">
        <v>30</v>
      </c>
      <c r="D669" s="20">
        <v>551</v>
      </c>
      <c r="E669" s="20" t="s">
        <v>18</v>
      </c>
      <c r="F669" s="20" t="s">
        <v>47</v>
      </c>
    </row>
    <row r="670">
      <c r="A670" s="7">
        <v>40255</v>
      </c>
      <c r="B670" s="15" t="s">
        <v>574</v>
      </c>
      <c r="C670" s="20">
        <v>-121.5</v>
      </c>
      <c r="D670" s="20">
        <v>651</v>
      </c>
      <c r="E670" s="20" t="s">
        <v>18</v>
      </c>
      <c r="F670" s="20" t="s">
        <v>73</v>
      </c>
    </row>
    <row r="671">
      <c r="A671" s="7">
        <v>40255</v>
      </c>
      <c r="B671" s="15" t="s">
        <v>575</v>
      </c>
      <c r="C671" s="20">
        <v>-40.5</v>
      </c>
      <c r="D671" s="20">
        <v>651</v>
      </c>
      <c r="E671" s="20" t="s">
        <v>18</v>
      </c>
      <c r="F671" s="20" t="s">
        <v>73</v>
      </c>
    </row>
    <row r="672">
      <c r="A672" s="7">
        <v>40255</v>
      </c>
      <c r="B672" s="15" t="s">
        <v>576</v>
      </c>
      <c r="C672" s="20">
        <v>-126</v>
      </c>
      <c r="D672" s="20">
        <v>651</v>
      </c>
      <c r="E672" s="20" t="s">
        <v>18</v>
      </c>
      <c r="F672" s="20" t="s">
        <v>73</v>
      </c>
    </row>
    <row r="673">
      <c r="A673" s="7">
        <v>40255</v>
      </c>
      <c r="B673" s="15" t="s">
        <v>577</v>
      </c>
      <c r="C673" s="20">
        <v>-54</v>
      </c>
      <c r="D673" s="20">
        <v>651</v>
      </c>
      <c r="E673" s="20" t="s">
        <v>18</v>
      </c>
      <c r="F673" s="20" t="s">
        <v>73</v>
      </c>
    </row>
    <row r="674">
      <c r="A674" s="7">
        <v>40255</v>
      </c>
      <c r="B674" s="15" t="s">
        <v>578</v>
      </c>
      <c r="C674" s="20">
        <v>-40.5</v>
      </c>
      <c r="D674" s="20">
        <v>651</v>
      </c>
      <c r="E674" s="20" t="s">
        <v>18</v>
      </c>
      <c r="F674" s="20" t="s">
        <v>73</v>
      </c>
    </row>
    <row r="675">
      <c r="A675" s="7">
        <v>40268</v>
      </c>
      <c r="B675" s="15" t="s">
        <v>268</v>
      </c>
      <c r="C675" s="20">
        <v>3.65</v>
      </c>
      <c r="D675" s="20">
        <v>502</v>
      </c>
      <c r="E675" s="20" t="s">
        <v>18</v>
      </c>
      <c r="F675" s="20" t="s">
        <v>40</v>
      </c>
    </row>
    <row r="676">
      <c r="A676" s="7">
        <v>40269</v>
      </c>
      <c r="B676" s="15" t="s">
        <v>579</v>
      </c>
      <c r="C676" s="20">
        <v>0</v>
      </c>
      <c r="D676" s="20">
        <v>503</v>
      </c>
      <c r="E676" s="20" t="s">
        <v>18</v>
      </c>
      <c r="F676" s="20" t="s">
        <v>41</v>
      </c>
    </row>
    <row r="677">
      <c r="A677" s="7">
        <v>40299</v>
      </c>
      <c r="B677" s="15" t="s">
        <v>580</v>
      </c>
      <c r="C677" s="20">
        <v>0</v>
      </c>
      <c r="D677" s="20">
        <v>503</v>
      </c>
      <c r="E677" s="20" t="s">
        <v>18</v>
      </c>
      <c r="F677" s="20" t="s">
        <v>41</v>
      </c>
    </row>
    <row r="678">
      <c r="A678" s="7">
        <v>40299</v>
      </c>
      <c r="B678" s="15" t="s">
        <v>581</v>
      </c>
      <c r="C678" s="20">
        <v>0</v>
      </c>
      <c r="D678" s="20">
        <v>503</v>
      </c>
      <c r="E678" s="20" t="s">
        <v>18</v>
      </c>
      <c r="F678" s="20" t="s">
        <v>41</v>
      </c>
    </row>
    <row r="679">
      <c r="A679" s="7">
        <v>40301</v>
      </c>
      <c r="B679" s="15" t="s">
        <v>582</v>
      </c>
      <c r="C679" s="20">
        <v>0</v>
      </c>
      <c r="D679" s="20">
        <v>503</v>
      </c>
      <c r="E679" s="20" t="s">
        <v>18</v>
      </c>
      <c r="F679" s="20" t="s">
        <v>41</v>
      </c>
    </row>
    <row r="680">
      <c r="A680" s="7">
        <v>40308</v>
      </c>
      <c r="B680" s="15" t="s">
        <v>583</v>
      </c>
      <c r="C680" s="20">
        <v>-250</v>
      </c>
      <c r="D680" s="20">
        <v>605</v>
      </c>
      <c r="E680" s="20" t="s">
        <v>18</v>
      </c>
      <c r="F680" s="20" t="s">
        <v>66</v>
      </c>
    </row>
    <row r="681">
      <c r="A681" s="7">
        <v>40315</v>
      </c>
      <c r="B681" s="15" t="s">
        <v>584</v>
      </c>
      <c r="C681" s="20">
        <v>0</v>
      </c>
      <c r="D681" s="20">
        <v>503</v>
      </c>
      <c r="E681" s="20" t="s">
        <v>18</v>
      </c>
      <c r="F681" s="20" t="s">
        <v>41</v>
      </c>
    </row>
    <row r="682">
      <c r="A682" s="7">
        <v>40326</v>
      </c>
      <c r="B682" s="15" t="s">
        <v>585</v>
      </c>
      <c r="C682" s="20">
        <v>806.15</v>
      </c>
      <c r="D682" s="20">
        <v>586</v>
      </c>
      <c r="E682" s="20" t="s">
        <v>18</v>
      </c>
      <c r="F682" s="20" t="s">
        <v>55</v>
      </c>
      <c r="H682" t="s">
        <v>586</v>
      </c>
    </row>
    <row r="683">
      <c r="A683" s="7">
        <v>40348</v>
      </c>
      <c r="B683" s="15" t="s">
        <v>587</v>
      </c>
      <c r="C683" s="20">
        <v>120</v>
      </c>
      <c r="D683" s="20">
        <v>561</v>
      </c>
      <c r="E683" s="20" t="s">
        <v>18</v>
      </c>
      <c r="F683" s="20" t="s">
        <v>48</v>
      </c>
    </row>
    <row r="684">
      <c r="A684" s="7">
        <v>40359</v>
      </c>
      <c r="B684" s="15" t="s">
        <v>268</v>
      </c>
      <c r="C684" s="20">
        <v>4.95</v>
      </c>
      <c r="D684" s="20">
        <v>502</v>
      </c>
      <c r="E684" s="20" t="s">
        <v>18</v>
      </c>
      <c r="F684" s="20" t="s">
        <v>40</v>
      </c>
    </row>
    <row r="685">
      <c r="A685" s="7">
        <v>40364</v>
      </c>
      <c r="B685" s="15" t="s">
        <v>570</v>
      </c>
      <c r="C685" s="20">
        <v>120</v>
      </c>
      <c r="D685" s="20">
        <v>561</v>
      </c>
      <c r="E685" s="20" t="s">
        <v>18</v>
      </c>
      <c r="F685" s="20" t="s">
        <v>48</v>
      </c>
    </row>
    <row r="686">
      <c r="A686" s="7">
        <v>40364</v>
      </c>
      <c r="B686" s="15" t="s">
        <v>588</v>
      </c>
      <c r="C686" s="20">
        <v>70</v>
      </c>
      <c r="D686" s="20">
        <v>561</v>
      </c>
      <c r="E686" s="20" t="s">
        <v>18</v>
      </c>
      <c r="F686" s="20" t="s">
        <v>48</v>
      </c>
    </row>
    <row r="687">
      <c r="A687" s="7">
        <v>40374</v>
      </c>
      <c r="B687" s="15" t="s">
        <v>589</v>
      </c>
      <c r="C687" s="20">
        <v>120</v>
      </c>
      <c r="D687" s="20">
        <v>561</v>
      </c>
      <c r="E687" s="20" t="s">
        <v>18</v>
      </c>
      <c r="F687" s="20" t="s">
        <v>48</v>
      </c>
    </row>
    <row r="688">
      <c r="A688" s="7">
        <v>40382</v>
      </c>
      <c r="B688" s="15" t="s">
        <v>590</v>
      </c>
      <c r="C688" s="20">
        <v>120</v>
      </c>
      <c r="D688" s="20">
        <v>561</v>
      </c>
      <c r="E688" s="20" t="s">
        <v>18</v>
      </c>
      <c r="F688" s="20" t="s">
        <v>48</v>
      </c>
    </row>
    <row r="689">
      <c r="A689" s="7">
        <v>40383</v>
      </c>
      <c r="B689" s="15" t="s">
        <v>591</v>
      </c>
      <c r="C689" s="20">
        <v>120</v>
      </c>
      <c r="D689" s="20">
        <v>561</v>
      </c>
      <c r="E689" s="20" t="s">
        <v>18</v>
      </c>
      <c r="F689" s="20" t="s">
        <v>48</v>
      </c>
    </row>
    <row r="690">
      <c r="A690" s="7">
        <v>40385</v>
      </c>
      <c r="B690" s="15" t="s">
        <v>592</v>
      </c>
      <c r="C690" s="20">
        <v>240</v>
      </c>
      <c r="D690" s="20">
        <v>561</v>
      </c>
      <c r="E690" s="20" t="s">
        <v>18</v>
      </c>
      <c r="F690" s="20" t="s">
        <v>48</v>
      </c>
    </row>
    <row r="691">
      <c r="A691" s="7">
        <v>40385</v>
      </c>
      <c r="B691" s="15" t="s">
        <v>593</v>
      </c>
      <c r="C691" s="20">
        <v>120</v>
      </c>
      <c r="D691" s="20">
        <v>561</v>
      </c>
      <c r="E691" s="20" t="s">
        <v>18</v>
      </c>
      <c r="F691" s="20" t="s">
        <v>48</v>
      </c>
    </row>
    <row r="692">
      <c r="A692" s="7">
        <v>40389</v>
      </c>
      <c r="B692" s="15" t="s">
        <v>594</v>
      </c>
      <c r="C692" s="20">
        <v>240</v>
      </c>
      <c r="D692" s="20">
        <v>561</v>
      </c>
      <c r="E692" s="20" t="s">
        <v>18</v>
      </c>
      <c r="F692" s="20" t="s">
        <v>48</v>
      </c>
    </row>
    <row r="693">
      <c r="A693" s="7">
        <v>40389</v>
      </c>
      <c r="B693" s="15" t="s">
        <v>595</v>
      </c>
      <c r="C693" s="20">
        <v>120</v>
      </c>
      <c r="D693" s="20">
        <v>561</v>
      </c>
      <c r="E693" s="20" t="s">
        <v>18</v>
      </c>
      <c r="F693" s="20" t="s">
        <v>48</v>
      </c>
    </row>
    <row r="694">
      <c r="A694" s="7">
        <v>40389</v>
      </c>
      <c r="B694" s="15" t="s">
        <v>596</v>
      </c>
      <c r="C694" s="20">
        <v>240</v>
      </c>
      <c r="D694" s="20">
        <v>561</v>
      </c>
      <c r="E694" s="20" t="s">
        <v>18</v>
      </c>
      <c r="F694" s="20" t="s">
        <v>48</v>
      </c>
    </row>
    <row r="695">
      <c r="A695" s="7">
        <v>40392</v>
      </c>
      <c r="B695" s="15" t="s">
        <v>597</v>
      </c>
      <c r="C695" s="20">
        <v>240</v>
      </c>
      <c r="D695" s="20">
        <v>561</v>
      </c>
      <c r="E695" s="20" t="s">
        <v>18</v>
      </c>
      <c r="F695" s="20" t="s">
        <v>48</v>
      </c>
    </row>
    <row r="696">
      <c r="A696" s="7">
        <v>40392</v>
      </c>
      <c r="B696" s="15" t="s">
        <v>598</v>
      </c>
      <c r="C696" s="20">
        <v>120</v>
      </c>
      <c r="D696" s="20">
        <v>561</v>
      </c>
      <c r="E696" s="20" t="s">
        <v>18</v>
      </c>
      <c r="F696" s="20" t="s">
        <v>48</v>
      </c>
    </row>
    <row r="697">
      <c r="A697" s="7">
        <v>40392</v>
      </c>
      <c r="B697" s="15" t="s">
        <v>599</v>
      </c>
      <c r="C697" s="20">
        <v>120</v>
      </c>
      <c r="D697" s="20">
        <v>561</v>
      </c>
      <c r="E697" s="20" t="s">
        <v>18</v>
      </c>
      <c r="F697" s="20" t="s">
        <v>48</v>
      </c>
    </row>
    <row r="698">
      <c r="A698" s="7">
        <v>40392</v>
      </c>
      <c r="B698" s="15" t="s">
        <v>600</v>
      </c>
      <c r="C698" s="20">
        <v>0</v>
      </c>
      <c r="D698" s="20">
        <v>503</v>
      </c>
      <c r="E698" s="20" t="s">
        <v>18</v>
      </c>
      <c r="F698" s="20" t="s">
        <v>41</v>
      </c>
    </row>
    <row r="699">
      <c r="A699" s="7">
        <v>40392</v>
      </c>
      <c r="B699" s="15" t="s">
        <v>601</v>
      </c>
      <c r="C699" s="20">
        <v>120</v>
      </c>
      <c r="D699" s="20">
        <v>561</v>
      </c>
      <c r="E699" s="20" t="s">
        <v>18</v>
      </c>
      <c r="F699" s="20" t="s">
        <v>48</v>
      </c>
    </row>
    <row r="700">
      <c r="A700" s="7">
        <v>40392</v>
      </c>
      <c r="B700" s="15" t="s">
        <v>602</v>
      </c>
      <c r="C700" s="20">
        <v>120</v>
      </c>
      <c r="D700" s="20">
        <v>561</v>
      </c>
      <c r="E700" s="20" t="s">
        <v>18</v>
      </c>
      <c r="F700" s="20" t="s">
        <v>48</v>
      </c>
    </row>
    <row r="701">
      <c r="A701" s="7">
        <v>40392</v>
      </c>
      <c r="B701" s="15" t="s">
        <v>603</v>
      </c>
      <c r="C701" s="20">
        <v>120</v>
      </c>
      <c r="D701" s="20">
        <v>561</v>
      </c>
      <c r="E701" s="20" t="s">
        <v>18</v>
      </c>
      <c r="F701" s="20" t="s">
        <v>48</v>
      </c>
    </row>
    <row r="702">
      <c r="A702" s="7">
        <v>40393</v>
      </c>
      <c r="B702" s="15" t="s">
        <v>604</v>
      </c>
      <c r="C702" s="20">
        <v>120</v>
      </c>
      <c r="D702" s="20">
        <v>561</v>
      </c>
      <c r="E702" s="20" t="s">
        <v>18</v>
      </c>
      <c r="F702" s="20" t="s">
        <v>48</v>
      </c>
    </row>
    <row r="703">
      <c r="A703" s="7">
        <v>40393</v>
      </c>
      <c r="B703" s="15" t="s">
        <v>605</v>
      </c>
      <c r="C703" s="20">
        <v>120</v>
      </c>
      <c r="D703" s="20">
        <v>561</v>
      </c>
      <c r="E703" s="20" t="s">
        <v>18</v>
      </c>
      <c r="F703" s="20" t="s">
        <v>48</v>
      </c>
    </row>
    <row r="704">
      <c r="A704" s="7">
        <v>40395</v>
      </c>
      <c r="B704" s="15" t="s">
        <v>606</v>
      </c>
      <c r="C704" s="20">
        <v>95</v>
      </c>
      <c r="D704" s="20">
        <v>561</v>
      </c>
      <c r="E704" s="20" t="s">
        <v>18</v>
      </c>
      <c r="F704" s="20" t="s">
        <v>48</v>
      </c>
    </row>
    <row r="705">
      <c r="A705" s="7">
        <v>40396</v>
      </c>
      <c r="B705" s="15" t="s">
        <v>607</v>
      </c>
      <c r="C705" s="20">
        <v>95</v>
      </c>
      <c r="D705" s="20">
        <v>561</v>
      </c>
      <c r="E705" s="20" t="s">
        <v>18</v>
      </c>
      <c r="F705" s="20" t="s">
        <v>48</v>
      </c>
    </row>
    <row r="706">
      <c r="A706" s="7">
        <v>40396</v>
      </c>
      <c r="B706" s="15" t="s">
        <v>608</v>
      </c>
      <c r="C706" s="20">
        <v>95</v>
      </c>
      <c r="D706" s="20">
        <v>561</v>
      </c>
      <c r="E706" s="20" t="s">
        <v>18</v>
      </c>
      <c r="F706" s="20" t="s">
        <v>48</v>
      </c>
    </row>
    <row r="707">
      <c r="A707" s="7">
        <v>40396</v>
      </c>
      <c r="B707" s="15" t="s">
        <v>609</v>
      </c>
      <c r="C707" s="20">
        <v>95</v>
      </c>
      <c r="D707" s="20">
        <v>561</v>
      </c>
      <c r="E707" s="20" t="s">
        <v>18</v>
      </c>
      <c r="F707" s="20" t="s">
        <v>48</v>
      </c>
    </row>
    <row r="708">
      <c r="A708" s="7">
        <v>40396</v>
      </c>
      <c r="B708" s="15" t="s">
        <v>610</v>
      </c>
      <c r="C708" s="20">
        <v>95</v>
      </c>
      <c r="D708" s="20">
        <v>561</v>
      </c>
      <c r="E708" s="20" t="s">
        <v>18</v>
      </c>
      <c r="F708" s="20" t="s">
        <v>48</v>
      </c>
    </row>
    <row r="709">
      <c r="A709" s="7">
        <v>40396</v>
      </c>
      <c r="B709" s="15" t="s">
        <v>611</v>
      </c>
      <c r="C709" s="20">
        <v>450</v>
      </c>
      <c r="D709" s="20">
        <v>561</v>
      </c>
      <c r="E709" s="20" t="s">
        <v>18</v>
      </c>
      <c r="F709" s="20" t="s">
        <v>48</v>
      </c>
    </row>
    <row r="710">
      <c r="A710" s="7">
        <v>40396</v>
      </c>
      <c r="B710" s="15" t="s">
        <v>612</v>
      </c>
      <c r="C710" s="20">
        <v>190</v>
      </c>
      <c r="D710" s="20">
        <v>561</v>
      </c>
      <c r="E710" s="20" t="s">
        <v>18</v>
      </c>
      <c r="F710" s="20" t="s">
        <v>48</v>
      </c>
    </row>
    <row r="711">
      <c r="A711" s="7">
        <v>40396</v>
      </c>
      <c r="B711" s="15" t="s">
        <v>613</v>
      </c>
      <c r="C711" s="20">
        <v>95</v>
      </c>
      <c r="D711" s="20">
        <v>561</v>
      </c>
      <c r="E711" s="20" t="s">
        <v>18</v>
      </c>
      <c r="F711" s="20" t="s">
        <v>48</v>
      </c>
    </row>
    <row r="712">
      <c r="A712" s="7">
        <v>40396</v>
      </c>
      <c r="B712" s="15" t="s">
        <v>614</v>
      </c>
      <c r="C712" s="20">
        <v>90</v>
      </c>
      <c r="D712" s="20">
        <v>561</v>
      </c>
      <c r="E712" s="20" t="s">
        <v>18</v>
      </c>
      <c r="F712" s="20" t="s">
        <v>48</v>
      </c>
    </row>
    <row r="713">
      <c r="A713" s="7">
        <v>40396</v>
      </c>
      <c r="B713" s="15" t="s">
        <v>615</v>
      </c>
      <c r="C713" s="20">
        <v>190</v>
      </c>
      <c r="D713" s="20">
        <v>561</v>
      </c>
      <c r="E713" s="20" t="s">
        <v>18</v>
      </c>
      <c r="F713" s="20" t="s">
        <v>48</v>
      </c>
    </row>
    <row r="714">
      <c r="A714" s="7">
        <v>40396</v>
      </c>
      <c r="B714" s="15" t="s">
        <v>616</v>
      </c>
      <c r="C714" s="20">
        <v>95</v>
      </c>
      <c r="D714" s="20">
        <v>561</v>
      </c>
      <c r="E714" s="20" t="s">
        <v>18</v>
      </c>
      <c r="F714" s="20" t="s">
        <v>48</v>
      </c>
    </row>
    <row r="715">
      <c r="A715" s="7">
        <v>40396</v>
      </c>
      <c r="B715" s="15" t="s">
        <v>617</v>
      </c>
      <c r="C715" s="20">
        <v>95</v>
      </c>
      <c r="D715" s="20">
        <v>561</v>
      </c>
      <c r="E715" s="20" t="s">
        <v>18</v>
      </c>
      <c r="F715" s="20" t="s">
        <v>48</v>
      </c>
    </row>
    <row r="716">
      <c r="A716" s="7">
        <v>40396</v>
      </c>
      <c r="B716" s="15" t="s">
        <v>618</v>
      </c>
      <c r="C716" s="20">
        <v>90</v>
      </c>
      <c r="D716" s="20">
        <v>561</v>
      </c>
      <c r="E716" s="20" t="s">
        <v>18</v>
      </c>
      <c r="F716" s="20" t="s">
        <v>48</v>
      </c>
    </row>
    <row r="717">
      <c r="A717" s="7">
        <v>40396</v>
      </c>
      <c r="B717" s="15" t="s">
        <v>619</v>
      </c>
      <c r="C717" s="20">
        <v>25</v>
      </c>
      <c r="D717" s="20">
        <v>561</v>
      </c>
      <c r="E717" s="20" t="s">
        <v>18</v>
      </c>
      <c r="F717" s="20" t="s">
        <v>48</v>
      </c>
    </row>
    <row r="718">
      <c r="A718" s="7">
        <v>40399</v>
      </c>
      <c r="B718" s="15" t="s">
        <v>582</v>
      </c>
      <c r="C718" s="20">
        <v>0</v>
      </c>
      <c r="D718" s="20">
        <v>503</v>
      </c>
      <c r="E718" s="20" t="s">
        <v>18</v>
      </c>
      <c r="F718" s="20" t="s">
        <v>41</v>
      </c>
    </row>
    <row r="719">
      <c r="A719" s="7">
        <v>40399</v>
      </c>
      <c r="B719" s="15" t="s">
        <v>620</v>
      </c>
      <c r="C719" s="20">
        <v>180</v>
      </c>
      <c r="D719" s="20">
        <v>561</v>
      </c>
      <c r="E719" s="20" t="s">
        <v>18</v>
      </c>
      <c r="F719" s="20" t="s">
        <v>48</v>
      </c>
    </row>
    <row r="720">
      <c r="A720" s="7">
        <v>40399</v>
      </c>
      <c r="B720" s="15" t="s">
        <v>621</v>
      </c>
      <c r="C720" s="20">
        <v>95</v>
      </c>
      <c r="D720" s="20">
        <v>561</v>
      </c>
      <c r="E720" s="20" t="s">
        <v>18</v>
      </c>
      <c r="F720" s="20" t="s">
        <v>48</v>
      </c>
    </row>
    <row r="721">
      <c r="A721" s="7">
        <v>40399</v>
      </c>
      <c r="B721" s="15" t="s">
        <v>622</v>
      </c>
      <c r="C721" s="20">
        <v>95</v>
      </c>
      <c r="D721" s="20">
        <v>561</v>
      </c>
      <c r="E721" s="20" t="s">
        <v>18</v>
      </c>
      <c r="F721" s="20" t="s">
        <v>48</v>
      </c>
    </row>
    <row r="722">
      <c r="A722" s="7">
        <v>40399</v>
      </c>
      <c r="B722" s="15" t="s">
        <v>623</v>
      </c>
      <c r="C722" s="20">
        <v>900</v>
      </c>
      <c r="D722" s="20">
        <v>561</v>
      </c>
      <c r="E722" s="20" t="s">
        <v>18</v>
      </c>
      <c r="F722" s="20" t="s">
        <v>48</v>
      </c>
    </row>
    <row r="723">
      <c r="A723" s="7">
        <v>40399</v>
      </c>
      <c r="B723" s="15" t="s">
        <v>622</v>
      </c>
      <c r="C723" s="20">
        <v>95</v>
      </c>
      <c r="D723" s="20">
        <v>561</v>
      </c>
      <c r="E723" s="20" t="s">
        <v>18</v>
      </c>
      <c r="F723" s="20" t="s">
        <v>48</v>
      </c>
    </row>
    <row r="724">
      <c r="A724" s="7">
        <v>40399</v>
      </c>
      <c r="B724" s="15" t="s">
        <v>624</v>
      </c>
      <c r="C724" s="20">
        <v>95</v>
      </c>
      <c r="D724" s="20">
        <v>561</v>
      </c>
      <c r="E724" s="20" t="s">
        <v>18</v>
      </c>
      <c r="F724" s="20" t="s">
        <v>48</v>
      </c>
    </row>
    <row r="725">
      <c r="A725" s="7">
        <v>40399</v>
      </c>
      <c r="B725" s="15" t="s">
        <v>625</v>
      </c>
      <c r="C725" s="20">
        <v>-2000</v>
      </c>
      <c r="D725" s="20">
        <v>662</v>
      </c>
      <c r="E725" s="20" t="s">
        <v>18</v>
      </c>
      <c r="F725" s="20" t="s">
        <v>75</v>
      </c>
    </row>
    <row r="726">
      <c r="A726" s="7">
        <v>40400</v>
      </c>
      <c r="B726" s="15" t="s">
        <v>626</v>
      </c>
      <c r="C726" s="20">
        <v>95</v>
      </c>
      <c r="D726" s="20">
        <v>561</v>
      </c>
      <c r="E726" s="20" t="s">
        <v>18</v>
      </c>
      <c r="F726" s="20" t="s">
        <v>48</v>
      </c>
    </row>
    <row r="727">
      <c r="A727" s="7">
        <v>40400</v>
      </c>
      <c r="B727" s="15" t="s">
        <v>627</v>
      </c>
      <c r="C727" s="20">
        <v>95</v>
      </c>
      <c r="D727" s="20">
        <v>561</v>
      </c>
      <c r="E727" s="20" t="s">
        <v>18</v>
      </c>
      <c r="F727" s="20" t="s">
        <v>48</v>
      </c>
    </row>
    <row r="728">
      <c r="A728" s="7">
        <v>40400</v>
      </c>
      <c r="B728" s="15" t="s">
        <v>628</v>
      </c>
      <c r="C728" s="20">
        <v>190</v>
      </c>
      <c r="D728" s="20">
        <v>561</v>
      </c>
      <c r="E728" s="20" t="s">
        <v>18</v>
      </c>
      <c r="F728" s="20" t="s">
        <v>48</v>
      </c>
    </row>
    <row r="729">
      <c r="A729" s="7">
        <v>40400</v>
      </c>
      <c r="B729" s="15" t="s">
        <v>629</v>
      </c>
      <c r="C729" s="20">
        <v>95</v>
      </c>
      <c r="D729" s="20">
        <v>561</v>
      </c>
      <c r="E729" s="20" t="s">
        <v>18</v>
      </c>
      <c r="F729" s="20" t="s">
        <v>48</v>
      </c>
    </row>
    <row r="730">
      <c r="A730" s="7">
        <v>40400</v>
      </c>
      <c r="B730" s="15" t="s">
        <v>630</v>
      </c>
      <c r="C730" s="20">
        <v>95</v>
      </c>
      <c r="D730" s="20">
        <v>561</v>
      </c>
      <c r="E730" s="20" t="s">
        <v>18</v>
      </c>
      <c r="F730" s="20" t="s">
        <v>48</v>
      </c>
    </row>
    <row r="731">
      <c r="A731" s="7">
        <v>40401</v>
      </c>
      <c r="B731" s="15" t="s">
        <v>631</v>
      </c>
      <c r="C731" s="20">
        <v>285</v>
      </c>
      <c r="D731" s="20">
        <v>561</v>
      </c>
      <c r="E731" s="20" t="s">
        <v>18</v>
      </c>
      <c r="F731" s="20" t="s">
        <v>48</v>
      </c>
    </row>
    <row r="732">
      <c r="A732" s="7">
        <v>40401</v>
      </c>
      <c r="B732" s="15" t="s">
        <v>632</v>
      </c>
      <c r="C732" s="20">
        <v>95</v>
      </c>
      <c r="D732" s="20">
        <v>561</v>
      </c>
      <c r="E732" s="20" t="s">
        <v>18</v>
      </c>
      <c r="F732" s="20" t="s">
        <v>48</v>
      </c>
    </row>
    <row r="733">
      <c r="A733" s="7">
        <v>40401</v>
      </c>
      <c r="B733" s="15" t="s">
        <v>633</v>
      </c>
      <c r="C733" s="20">
        <v>95</v>
      </c>
      <c r="D733" s="20">
        <v>561</v>
      </c>
      <c r="E733" s="20" t="s">
        <v>18</v>
      </c>
      <c r="F733" s="20" t="s">
        <v>48</v>
      </c>
    </row>
    <row r="734">
      <c r="A734" s="7">
        <v>40401</v>
      </c>
      <c r="B734" s="15" t="s">
        <v>634</v>
      </c>
      <c r="C734" s="20">
        <v>0</v>
      </c>
      <c r="D734" s="20">
        <v>503</v>
      </c>
      <c r="E734" s="20" t="s">
        <v>18</v>
      </c>
      <c r="F734" s="20" t="s">
        <v>41</v>
      </c>
    </row>
    <row r="735">
      <c r="A735" s="7">
        <v>40401</v>
      </c>
      <c r="B735" s="15" t="s">
        <v>635</v>
      </c>
      <c r="C735" s="20">
        <v>95</v>
      </c>
      <c r="D735" s="20">
        <v>561</v>
      </c>
      <c r="E735" s="20" t="s">
        <v>18</v>
      </c>
      <c r="F735" s="20" t="s">
        <v>48</v>
      </c>
    </row>
    <row r="736">
      <c r="A736" s="7">
        <v>40401</v>
      </c>
      <c r="B736" s="15" t="s">
        <v>636</v>
      </c>
      <c r="C736" s="20">
        <v>95</v>
      </c>
      <c r="D736" s="20">
        <v>561</v>
      </c>
      <c r="E736" s="20" t="s">
        <v>18</v>
      </c>
      <c r="F736" s="20" t="s">
        <v>48</v>
      </c>
    </row>
    <row r="737">
      <c r="A737" s="7">
        <v>40401</v>
      </c>
      <c r="B737" s="15" t="s">
        <v>637</v>
      </c>
      <c r="C737" s="20">
        <v>95</v>
      </c>
      <c r="D737" s="20">
        <v>561</v>
      </c>
      <c r="E737" s="20" t="s">
        <v>18</v>
      </c>
      <c r="F737" s="20" t="s">
        <v>48</v>
      </c>
    </row>
    <row r="738">
      <c r="A738" s="7">
        <v>40401</v>
      </c>
      <c r="B738" s="15" t="s">
        <v>625</v>
      </c>
      <c r="C738" s="20">
        <v>-5890</v>
      </c>
      <c r="D738" s="20">
        <v>661</v>
      </c>
      <c r="E738" s="20" t="s">
        <v>18</v>
      </c>
      <c r="F738" s="20" t="s">
        <v>74</v>
      </c>
    </row>
    <row r="739">
      <c r="A739" s="7">
        <v>40401</v>
      </c>
      <c r="B739" s="15" t="s">
        <v>638</v>
      </c>
      <c r="C739" s="20">
        <v>95</v>
      </c>
      <c r="D739" s="20">
        <v>561</v>
      </c>
      <c r="E739" s="20" t="s">
        <v>18</v>
      </c>
      <c r="F739" s="20" t="s">
        <v>48</v>
      </c>
    </row>
    <row r="740">
      <c r="A740" s="7">
        <v>40402</v>
      </c>
      <c r="B740" s="15" t="s">
        <v>639</v>
      </c>
      <c r="C740" s="20">
        <v>95</v>
      </c>
      <c r="D740" s="20">
        <v>561</v>
      </c>
      <c r="E740" s="20" t="s">
        <v>18</v>
      </c>
      <c r="F740" s="20" t="s">
        <v>48</v>
      </c>
    </row>
    <row r="741">
      <c r="A741" s="7">
        <v>40402</v>
      </c>
      <c r="B741" s="15" t="s">
        <v>640</v>
      </c>
      <c r="C741" s="20">
        <v>95</v>
      </c>
      <c r="D741" s="20">
        <v>561</v>
      </c>
      <c r="E741" s="20" t="s">
        <v>18</v>
      </c>
      <c r="F741" s="20" t="s">
        <v>48</v>
      </c>
    </row>
    <row r="742">
      <c r="A742" s="7">
        <v>40402</v>
      </c>
      <c r="B742" s="15" t="s">
        <v>641</v>
      </c>
      <c r="C742" s="20">
        <v>90</v>
      </c>
      <c r="D742" s="20">
        <v>561</v>
      </c>
      <c r="E742" s="20" t="s">
        <v>18</v>
      </c>
      <c r="F742" s="20" t="s">
        <v>48</v>
      </c>
    </row>
    <row r="743">
      <c r="A743" s="7">
        <v>40402</v>
      </c>
      <c r="B743" s="15" t="s">
        <v>642</v>
      </c>
      <c r="C743" s="20">
        <v>190</v>
      </c>
      <c r="D743" s="20">
        <v>561</v>
      </c>
      <c r="E743" s="20" t="s">
        <v>18</v>
      </c>
      <c r="F743" s="20" t="s">
        <v>48</v>
      </c>
    </row>
    <row r="744">
      <c r="A744" s="7">
        <v>40402</v>
      </c>
      <c r="B744" s="15" t="s">
        <v>643</v>
      </c>
      <c r="C744" s="20">
        <v>95</v>
      </c>
      <c r="D744" s="20">
        <v>561</v>
      </c>
      <c r="E744" s="20" t="s">
        <v>18</v>
      </c>
      <c r="F744" s="20" t="s">
        <v>48</v>
      </c>
    </row>
    <row r="745">
      <c r="A745" s="7">
        <v>40403</v>
      </c>
      <c r="B745" s="15" t="s">
        <v>644</v>
      </c>
      <c r="C745" s="20">
        <v>-2275</v>
      </c>
      <c r="D745" s="20">
        <v>665</v>
      </c>
      <c r="E745" s="20" t="s">
        <v>18</v>
      </c>
      <c r="F745" s="20" t="s">
        <v>78</v>
      </c>
    </row>
    <row r="746">
      <c r="A746" s="7">
        <v>40403</v>
      </c>
      <c r="B746" s="15" t="s">
        <v>645</v>
      </c>
      <c r="C746" s="20">
        <v>285</v>
      </c>
      <c r="D746" s="20">
        <v>561</v>
      </c>
      <c r="E746" s="20" t="s">
        <v>18</v>
      </c>
      <c r="F746" s="20" t="s">
        <v>48</v>
      </c>
    </row>
    <row r="747">
      <c r="A747" s="7">
        <v>40403</v>
      </c>
      <c r="B747" s="15" t="s">
        <v>646</v>
      </c>
      <c r="C747" s="20">
        <v>190</v>
      </c>
      <c r="D747" s="20">
        <v>561</v>
      </c>
      <c r="E747" s="20" t="s">
        <v>18</v>
      </c>
      <c r="F747" s="20" t="s">
        <v>48</v>
      </c>
    </row>
    <row r="748">
      <c r="A748" s="7">
        <v>40421</v>
      </c>
      <c r="B748" s="15" t="s">
        <v>647</v>
      </c>
      <c r="C748" s="20">
        <v>-1.5</v>
      </c>
      <c r="D748" s="20">
        <v>602</v>
      </c>
      <c r="E748" s="20" t="s">
        <v>18</v>
      </c>
      <c r="F748" s="20" t="s">
        <v>63</v>
      </c>
    </row>
    <row r="749">
      <c r="A749" s="7">
        <v>40451</v>
      </c>
      <c r="B749" s="15" t="s">
        <v>268</v>
      </c>
      <c r="C749" s="20">
        <v>5.32</v>
      </c>
      <c r="D749" s="20">
        <v>502</v>
      </c>
      <c r="E749" s="20" t="s">
        <v>18</v>
      </c>
      <c r="F749" s="20" t="s">
        <v>40</v>
      </c>
    </row>
    <row r="750">
      <c r="A750" s="7">
        <v>40452</v>
      </c>
      <c r="B750" s="15" t="s">
        <v>648</v>
      </c>
      <c r="C750" s="20">
        <v>-39</v>
      </c>
      <c r="D750" s="20">
        <v>664</v>
      </c>
      <c r="E750" s="20" t="s">
        <v>18</v>
      </c>
      <c r="F750" s="20" t="s">
        <v>77</v>
      </c>
    </row>
    <row r="751">
      <c r="A751" s="7">
        <v>40452</v>
      </c>
      <c r="B751" s="15" t="s">
        <v>649</v>
      </c>
      <c r="C751" s="20">
        <v>-70</v>
      </c>
      <c r="D751" s="20">
        <v>664</v>
      </c>
      <c r="E751" s="20" t="s">
        <v>18</v>
      </c>
      <c r="F751" s="20" t="s">
        <v>77</v>
      </c>
    </row>
    <row r="752">
      <c r="A752" s="7">
        <v>40452</v>
      </c>
      <c r="B752" s="15" t="s">
        <v>650</v>
      </c>
      <c r="C752" s="20">
        <v>-10</v>
      </c>
      <c r="D752" s="20">
        <v>664</v>
      </c>
      <c r="E752" s="20" t="s">
        <v>18</v>
      </c>
      <c r="F752" s="20" t="s">
        <v>77</v>
      </c>
    </row>
    <row r="753">
      <c r="A753" s="7">
        <v>40456</v>
      </c>
      <c r="B753" s="15" t="s">
        <v>651</v>
      </c>
      <c r="C753" s="20">
        <v>39</v>
      </c>
      <c r="D753" s="20">
        <v>664</v>
      </c>
      <c r="E753" s="20" t="s">
        <v>18</v>
      </c>
      <c r="F753" s="20" t="s">
        <v>77</v>
      </c>
    </row>
    <row r="754">
      <c r="A754" s="7">
        <v>40464</v>
      </c>
      <c r="B754" s="15" t="s">
        <v>652</v>
      </c>
      <c r="C754" s="20">
        <v>-70</v>
      </c>
      <c r="D754" s="20">
        <v>664</v>
      </c>
      <c r="E754" s="20" t="s">
        <v>18</v>
      </c>
      <c r="F754" s="20" t="s">
        <v>77</v>
      </c>
    </row>
    <row r="755">
      <c r="A755" s="7">
        <v>40464</v>
      </c>
      <c r="B755" s="15" t="s">
        <v>653</v>
      </c>
      <c r="C755" s="20">
        <v>-39</v>
      </c>
      <c r="D755" s="20">
        <v>664</v>
      </c>
      <c r="E755" s="20" t="s">
        <v>18</v>
      </c>
      <c r="F755" s="20" t="s">
        <v>77</v>
      </c>
    </row>
    <row r="756">
      <c r="A756" s="7">
        <v>40464</v>
      </c>
      <c r="B756" s="15" t="s">
        <v>654</v>
      </c>
      <c r="C756" s="20">
        <v>-25</v>
      </c>
      <c r="D756" s="20">
        <v>664</v>
      </c>
      <c r="E756" s="20" t="s">
        <v>18</v>
      </c>
      <c r="F756" s="20" t="s">
        <v>77</v>
      </c>
    </row>
    <row r="757">
      <c r="A757" s="7">
        <v>40464</v>
      </c>
      <c r="B757" s="15" t="s">
        <v>655</v>
      </c>
      <c r="C757" s="20">
        <v>-25</v>
      </c>
      <c r="D757" s="20">
        <v>664</v>
      </c>
      <c r="E757" s="20" t="s">
        <v>18</v>
      </c>
      <c r="F757" s="20" t="s">
        <v>77</v>
      </c>
    </row>
    <row r="758">
      <c r="A758" s="7">
        <v>40464</v>
      </c>
      <c r="B758" s="15" t="s">
        <v>656</v>
      </c>
      <c r="C758" s="20">
        <v>-25</v>
      </c>
      <c r="D758" s="20">
        <v>664</v>
      </c>
      <c r="E758" s="20" t="s">
        <v>18</v>
      </c>
      <c r="F758" s="20" t="s">
        <v>77</v>
      </c>
    </row>
    <row r="759">
      <c r="A759" s="7">
        <v>40464</v>
      </c>
      <c r="B759" s="15" t="s">
        <v>657</v>
      </c>
      <c r="C759" s="20">
        <v>-50</v>
      </c>
      <c r="D759" s="20">
        <v>664</v>
      </c>
      <c r="E759" s="20" t="s">
        <v>18</v>
      </c>
      <c r="F759" s="20" t="s">
        <v>77</v>
      </c>
    </row>
    <row r="760">
      <c r="A760" s="7">
        <v>40464</v>
      </c>
      <c r="B760" s="15" t="s">
        <v>658</v>
      </c>
      <c r="C760" s="20">
        <v>-39</v>
      </c>
      <c r="D760" s="20">
        <v>664</v>
      </c>
      <c r="E760" s="20" t="s">
        <v>18</v>
      </c>
      <c r="F760" s="20" t="s">
        <v>77</v>
      </c>
    </row>
    <row r="761">
      <c r="A761" s="7">
        <v>40464</v>
      </c>
      <c r="B761" s="15" t="s">
        <v>659</v>
      </c>
      <c r="C761" s="20">
        <v>-25</v>
      </c>
      <c r="D761" s="20">
        <v>664</v>
      </c>
      <c r="E761" s="20" t="s">
        <v>18</v>
      </c>
      <c r="F761" s="20" t="s">
        <v>77</v>
      </c>
    </row>
    <row r="762">
      <c r="A762" s="7">
        <v>40464</v>
      </c>
      <c r="B762" s="15" t="s">
        <v>660</v>
      </c>
      <c r="C762" s="20">
        <v>-50</v>
      </c>
      <c r="D762" s="20">
        <v>664</v>
      </c>
      <c r="E762" s="20" t="s">
        <v>18</v>
      </c>
      <c r="F762" s="20" t="s">
        <v>77</v>
      </c>
    </row>
    <row r="763">
      <c r="A763" s="7">
        <v>40464</v>
      </c>
      <c r="B763" s="15" t="s">
        <v>661</v>
      </c>
      <c r="C763" s="20">
        <v>-25</v>
      </c>
      <c r="D763" s="20">
        <v>664</v>
      </c>
      <c r="E763" s="20" t="s">
        <v>18</v>
      </c>
      <c r="F763" s="20" t="s">
        <v>77</v>
      </c>
    </row>
    <row r="764">
      <c r="A764" s="7">
        <v>40464</v>
      </c>
      <c r="B764" s="15" t="s">
        <v>662</v>
      </c>
      <c r="C764" s="20">
        <v>-25</v>
      </c>
      <c r="D764" s="20">
        <v>664</v>
      </c>
      <c r="E764" s="20" t="s">
        <v>18</v>
      </c>
      <c r="F764" s="20" t="s">
        <v>77</v>
      </c>
    </row>
    <row r="765">
      <c r="A765" s="7">
        <v>40464</v>
      </c>
      <c r="B765" s="15" t="s">
        <v>663</v>
      </c>
      <c r="C765" s="20">
        <v>-25</v>
      </c>
      <c r="D765" s="20">
        <v>664</v>
      </c>
      <c r="E765" s="20" t="s">
        <v>18</v>
      </c>
      <c r="F765" s="20" t="s">
        <v>77</v>
      </c>
    </row>
    <row r="766">
      <c r="A766" s="7">
        <v>40464</v>
      </c>
      <c r="B766" s="15" t="s">
        <v>664</v>
      </c>
      <c r="C766" s="20">
        <v>-10</v>
      </c>
      <c r="D766" s="20">
        <v>664</v>
      </c>
      <c r="E766" s="20" t="s">
        <v>18</v>
      </c>
      <c r="F766" s="20" t="s">
        <v>77</v>
      </c>
    </row>
    <row r="767">
      <c r="A767" s="7">
        <v>40466</v>
      </c>
      <c r="B767" s="15" t="s">
        <v>665</v>
      </c>
      <c r="C767" s="20">
        <v>39</v>
      </c>
      <c r="D767" s="20">
        <v>664</v>
      </c>
      <c r="E767" s="20" t="s">
        <v>18</v>
      </c>
      <c r="F767" s="20" t="s">
        <v>77</v>
      </c>
    </row>
    <row r="768">
      <c r="A768" s="7">
        <v>40470</v>
      </c>
      <c r="B768" s="15" t="s">
        <v>666</v>
      </c>
      <c r="C768" s="20">
        <v>-25</v>
      </c>
      <c r="D768" s="20">
        <v>664</v>
      </c>
      <c r="E768" s="20" t="s">
        <v>18</v>
      </c>
      <c r="F768" s="20" t="s">
        <v>77</v>
      </c>
    </row>
    <row r="769">
      <c r="A769" s="7">
        <v>40470</v>
      </c>
      <c r="B769" s="15" t="s">
        <v>667</v>
      </c>
      <c r="C769" s="20">
        <v>-25</v>
      </c>
      <c r="D769" s="20">
        <v>664</v>
      </c>
      <c r="E769" s="20" t="s">
        <v>18</v>
      </c>
      <c r="F769" s="20" t="s">
        <v>77</v>
      </c>
    </row>
    <row r="770">
      <c r="A770" s="7">
        <v>40470</v>
      </c>
      <c r="B770" s="15" t="s">
        <v>668</v>
      </c>
      <c r="C770" s="20">
        <v>-25</v>
      </c>
      <c r="D770" s="20">
        <v>664</v>
      </c>
      <c r="E770" s="20" t="s">
        <v>18</v>
      </c>
      <c r="F770" s="20" t="s">
        <v>77</v>
      </c>
    </row>
    <row r="771">
      <c r="A771" s="7">
        <v>40470</v>
      </c>
      <c r="B771" s="15" t="s">
        <v>669</v>
      </c>
      <c r="C771" s="20">
        <v>-25</v>
      </c>
      <c r="D771" s="20">
        <v>664</v>
      </c>
      <c r="E771" s="20" t="s">
        <v>18</v>
      </c>
      <c r="F771" s="20" t="s">
        <v>77</v>
      </c>
    </row>
    <row r="772">
      <c r="A772" s="7">
        <v>40470</v>
      </c>
      <c r="B772" s="15" t="s">
        <v>670</v>
      </c>
      <c r="C772" s="20">
        <v>-25</v>
      </c>
      <c r="D772" s="20">
        <v>664</v>
      </c>
      <c r="E772" s="20" t="s">
        <v>18</v>
      </c>
      <c r="F772" s="20" t="s">
        <v>77</v>
      </c>
    </row>
    <row r="773">
      <c r="A773" s="7">
        <v>40470</v>
      </c>
      <c r="B773" s="15" t="s">
        <v>671</v>
      </c>
      <c r="C773" s="20">
        <v>-50</v>
      </c>
      <c r="D773" s="20">
        <v>664</v>
      </c>
      <c r="E773" s="20" t="s">
        <v>18</v>
      </c>
      <c r="F773" s="20" t="s">
        <v>77</v>
      </c>
    </row>
    <row r="774">
      <c r="A774" s="7">
        <v>40470</v>
      </c>
      <c r="B774" s="15" t="s">
        <v>672</v>
      </c>
      <c r="C774" s="20">
        <v>-15</v>
      </c>
      <c r="D774" s="20">
        <v>664</v>
      </c>
      <c r="E774" s="20" t="s">
        <v>18</v>
      </c>
      <c r="F774" s="20" t="s">
        <v>77</v>
      </c>
    </row>
    <row r="775">
      <c r="A775" s="7">
        <v>40482</v>
      </c>
      <c r="B775" s="15" t="s">
        <v>647</v>
      </c>
      <c r="C775" s="20">
        <v>-2.75</v>
      </c>
      <c r="D775" s="20">
        <v>602</v>
      </c>
      <c r="E775" s="20" t="s">
        <v>18</v>
      </c>
      <c r="F775" s="20" t="s">
        <v>63</v>
      </c>
    </row>
    <row r="776">
      <c r="A776" s="7">
        <v>40501</v>
      </c>
      <c r="B776" s="15" t="s">
        <v>673</v>
      </c>
      <c r="C776" s="20">
        <v>-3.4</v>
      </c>
      <c r="D776" s="20">
        <v>602</v>
      </c>
      <c r="E776" s="20" t="s">
        <v>18</v>
      </c>
      <c r="F776" s="20" t="s">
        <v>63</v>
      </c>
    </row>
    <row r="777">
      <c r="A777" s="7">
        <v>40501</v>
      </c>
      <c r="B777" s="15" t="s">
        <v>674</v>
      </c>
      <c r="C777" s="20">
        <v>-135</v>
      </c>
      <c r="D777" s="20">
        <v>664</v>
      </c>
      <c r="E777" s="20" t="s">
        <v>18</v>
      </c>
      <c r="F777" s="20" t="s">
        <v>77</v>
      </c>
    </row>
    <row r="778">
      <c r="A778" s="7">
        <v>40504</v>
      </c>
      <c r="B778" s="15" t="s">
        <v>675</v>
      </c>
      <c r="C778" s="20">
        <v>0</v>
      </c>
      <c r="D778" s="20">
        <v>503</v>
      </c>
      <c r="E778" s="20" t="s">
        <v>18</v>
      </c>
      <c r="F778" s="20" t="s">
        <v>41</v>
      </c>
    </row>
    <row r="779">
      <c r="A779" s="7">
        <v>40543</v>
      </c>
      <c r="B779" s="15" t="s">
        <v>268</v>
      </c>
      <c r="C779" s="20">
        <v>1.18</v>
      </c>
      <c r="D779" s="20">
        <v>502</v>
      </c>
      <c r="E779" s="20" t="s">
        <v>18</v>
      </c>
      <c r="F779" s="20" t="s">
        <v>40</v>
      </c>
    </row>
    <row r="780">
      <c r="A780" s="7">
        <v>40598</v>
      </c>
      <c r="B780" s="15" t="s">
        <v>676</v>
      </c>
      <c r="C780" s="20">
        <v>5</v>
      </c>
      <c r="D780" s="20">
        <v>503</v>
      </c>
      <c r="E780" s="20" t="s">
        <v>18</v>
      </c>
      <c r="F780" s="20" t="s">
        <v>41</v>
      </c>
    </row>
    <row r="781">
      <c r="A781" s="7">
        <v>40598</v>
      </c>
      <c r="B781" s="15" t="s">
        <v>677</v>
      </c>
      <c r="C781" s="20">
        <v>5</v>
      </c>
      <c r="D781" s="20">
        <v>503</v>
      </c>
      <c r="E781" s="20" t="s">
        <v>18</v>
      </c>
      <c r="F781" s="20" t="s">
        <v>41</v>
      </c>
    </row>
    <row r="782">
      <c r="A782" s="7">
        <v>40598</v>
      </c>
      <c r="B782" s="15" t="s">
        <v>678</v>
      </c>
      <c r="C782" s="20">
        <v>5</v>
      </c>
      <c r="D782" s="20">
        <v>503</v>
      </c>
      <c r="E782" s="20" t="s">
        <v>18</v>
      </c>
      <c r="F782" s="20" t="s">
        <v>41</v>
      </c>
    </row>
    <row r="783">
      <c r="A783" s="7">
        <v>40598</v>
      </c>
      <c r="B783" s="15" t="s">
        <v>679</v>
      </c>
      <c r="C783" s="20">
        <v>5</v>
      </c>
      <c r="D783" s="20">
        <v>503</v>
      </c>
      <c r="E783" s="20" t="s">
        <v>18</v>
      </c>
      <c r="F783" s="20" t="s">
        <v>41</v>
      </c>
    </row>
    <row r="784">
      <c r="A784" s="7">
        <v>40598</v>
      </c>
      <c r="B784" s="15" t="s">
        <v>680</v>
      </c>
      <c r="C784" s="20">
        <v>5</v>
      </c>
      <c r="D784" s="20">
        <v>503</v>
      </c>
      <c r="E784" s="20" t="s">
        <v>18</v>
      </c>
      <c r="F784" s="20" t="s">
        <v>41</v>
      </c>
    </row>
    <row r="785">
      <c r="A785" s="7">
        <v>40598</v>
      </c>
      <c r="B785" s="15" t="s">
        <v>604</v>
      </c>
      <c r="C785" s="20">
        <v>5</v>
      </c>
      <c r="D785" s="20">
        <v>503</v>
      </c>
      <c r="E785" s="20" t="s">
        <v>18</v>
      </c>
      <c r="F785" s="20" t="s">
        <v>41</v>
      </c>
    </row>
    <row r="786">
      <c r="A786" s="7">
        <v>40598</v>
      </c>
      <c r="B786" s="15" t="s">
        <v>605</v>
      </c>
      <c r="C786" s="20">
        <v>5</v>
      </c>
      <c r="D786" s="20">
        <v>503</v>
      </c>
      <c r="E786" s="20" t="s">
        <v>18</v>
      </c>
      <c r="F786" s="20" t="s">
        <v>41</v>
      </c>
    </row>
    <row r="787">
      <c r="A787" s="7">
        <v>40598</v>
      </c>
      <c r="B787" s="15" t="s">
        <v>681</v>
      </c>
      <c r="C787" s="20">
        <v>5</v>
      </c>
      <c r="D787" s="20">
        <v>503</v>
      </c>
      <c r="E787" s="20" t="s">
        <v>18</v>
      </c>
      <c r="F787" s="20" t="s">
        <v>41</v>
      </c>
    </row>
    <row r="788">
      <c r="A788" s="7">
        <v>40598</v>
      </c>
      <c r="B788" s="15" t="s">
        <v>682</v>
      </c>
      <c r="C788" s="20">
        <v>5</v>
      </c>
      <c r="D788" s="20">
        <v>503</v>
      </c>
      <c r="E788" s="20" t="s">
        <v>18</v>
      </c>
      <c r="F788" s="20" t="s">
        <v>41</v>
      </c>
    </row>
    <row r="789">
      <c r="A789" s="7">
        <v>40603</v>
      </c>
      <c r="B789" s="15" t="s">
        <v>683</v>
      </c>
      <c r="C789" s="20">
        <v>5</v>
      </c>
      <c r="D789" s="20">
        <v>503</v>
      </c>
      <c r="E789" s="20" t="s">
        <v>18</v>
      </c>
      <c r="F789" s="20" t="s">
        <v>41</v>
      </c>
    </row>
    <row r="790">
      <c r="A790" s="7">
        <v>40603</v>
      </c>
      <c r="B790" s="15" t="s">
        <v>684</v>
      </c>
      <c r="C790" s="20">
        <v>5</v>
      </c>
      <c r="D790" s="20">
        <v>503</v>
      </c>
      <c r="E790" s="20" t="s">
        <v>18</v>
      </c>
      <c r="F790" s="20" t="s">
        <v>41</v>
      </c>
    </row>
    <row r="791">
      <c r="A791" s="7">
        <v>40603</v>
      </c>
      <c r="B791" s="15" t="s">
        <v>685</v>
      </c>
      <c r="C791" s="20">
        <v>1122</v>
      </c>
      <c r="D791" s="20">
        <v>551</v>
      </c>
      <c r="E791" s="20" t="s">
        <v>18</v>
      </c>
      <c r="F791" s="20" t="s">
        <v>47</v>
      </c>
    </row>
    <row r="792">
      <c r="A792" s="7">
        <v>40603</v>
      </c>
      <c r="B792" s="15" t="s">
        <v>686</v>
      </c>
      <c r="C792" s="20">
        <v>5</v>
      </c>
      <c r="D792" s="20">
        <v>503</v>
      </c>
      <c r="E792" s="20" t="s">
        <v>18</v>
      </c>
      <c r="F792" s="20" t="s">
        <v>41</v>
      </c>
    </row>
    <row r="793">
      <c r="A793" s="7">
        <v>40603</v>
      </c>
      <c r="B793" s="15" t="s">
        <v>687</v>
      </c>
      <c r="C793" s="20">
        <v>5</v>
      </c>
      <c r="D793" s="20">
        <v>503</v>
      </c>
      <c r="E793" s="20" t="s">
        <v>18</v>
      </c>
      <c r="F793" s="20" t="s">
        <v>41</v>
      </c>
    </row>
    <row r="794">
      <c r="A794" s="7">
        <v>40603</v>
      </c>
      <c r="B794" s="15" t="s">
        <v>688</v>
      </c>
      <c r="C794" s="20">
        <v>20</v>
      </c>
      <c r="D794" s="20">
        <v>581</v>
      </c>
      <c r="E794" s="20" t="s">
        <v>18</v>
      </c>
      <c r="F794" s="20" t="s">
        <v>50</v>
      </c>
    </row>
    <row r="795">
      <c r="A795" s="7">
        <v>40603</v>
      </c>
      <c r="B795" s="15" t="s">
        <v>689</v>
      </c>
      <c r="C795" s="20">
        <v>5</v>
      </c>
      <c r="D795" s="20">
        <v>503</v>
      </c>
      <c r="E795" s="20" t="s">
        <v>18</v>
      </c>
      <c r="F795" s="20" t="s">
        <v>41</v>
      </c>
    </row>
    <row r="796">
      <c r="A796" s="7">
        <v>40603</v>
      </c>
      <c r="B796" s="15" t="s">
        <v>690</v>
      </c>
      <c r="C796" s="20">
        <v>20</v>
      </c>
      <c r="D796" s="20">
        <v>581</v>
      </c>
      <c r="E796" s="20" t="s">
        <v>18</v>
      </c>
      <c r="F796" s="20" t="s">
        <v>50</v>
      </c>
    </row>
    <row r="797">
      <c r="A797" s="7">
        <v>40604</v>
      </c>
      <c r="B797" s="15" t="s">
        <v>691</v>
      </c>
      <c r="C797" s="20">
        <v>20</v>
      </c>
      <c r="D797" s="20">
        <v>581</v>
      </c>
      <c r="E797" s="20" t="s">
        <v>18</v>
      </c>
      <c r="F797" s="20" t="s">
        <v>50</v>
      </c>
    </row>
    <row r="798">
      <c r="A798" s="7">
        <v>40604</v>
      </c>
      <c r="B798" s="15" t="s">
        <v>692</v>
      </c>
      <c r="C798" s="20">
        <v>5</v>
      </c>
      <c r="D798" s="20">
        <v>503</v>
      </c>
      <c r="E798" s="20" t="s">
        <v>18</v>
      </c>
      <c r="F798" s="20" t="s">
        <v>41</v>
      </c>
    </row>
    <row r="799" ht="3.75" customHeight="1">
      <c r="A799" s="7">
        <v>40604</v>
      </c>
      <c r="B799" s="15" t="s">
        <v>693</v>
      </c>
      <c r="C799" s="20">
        <v>110</v>
      </c>
      <c r="D799" s="20">
        <v>551</v>
      </c>
      <c r="E799" s="20" t="s">
        <v>18</v>
      </c>
      <c r="F799" s="20" t="s">
        <v>47</v>
      </c>
      <c r="H799" t="s">
        <v>694</v>
      </c>
    </row>
    <row r="800">
      <c r="A800" s="7">
        <v>40604</v>
      </c>
      <c r="B800" s="15" t="s">
        <v>695</v>
      </c>
      <c r="C800" s="20">
        <v>5</v>
      </c>
      <c r="D800" s="20">
        <v>503</v>
      </c>
      <c r="E800" s="20" t="s">
        <v>18</v>
      </c>
      <c r="F800" s="20" t="s">
        <v>41</v>
      </c>
    </row>
    <row r="801">
      <c r="A801" s="7">
        <v>40605</v>
      </c>
      <c r="B801" s="15" t="s">
        <v>696</v>
      </c>
      <c r="C801" s="20">
        <v>5</v>
      </c>
      <c r="D801" s="20">
        <v>503</v>
      </c>
      <c r="E801" s="20" t="s">
        <v>18</v>
      </c>
      <c r="F801" s="20" t="s">
        <v>41</v>
      </c>
    </row>
    <row r="802">
      <c r="A802" s="7">
        <v>40605</v>
      </c>
      <c r="B802" s="15" t="s">
        <v>697</v>
      </c>
      <c r="C802" s="20">
        <v>5</v>
      </c>
      <c r="D802" s="20">
        <v>503</v>
      </c>
      <c r="E802" s="20" t="s">
        <v>18</v>
      </c>
      <c r="F802" s="20" t="s">
        <v>41</v>
      </c>
    </row>
    <row r="803">
      <c r="A803" s="7">
        <v>40606</v>
      </c>
      <c r="B803" s="15" t="s">
        <v>698</v>
      </c>
      <c r="C803" s="20">
        <v>-110</v>
      </c>
      <c r="D803" s="20">
        <v>651</v>
      </c>
      <c r="E803" s="20" t="s">
        <v>18</v>
      </c>
      <c r="F803" s="20" t="s">
        <v>73</v>
      </c>
    </row>
    <row r="804">
      <c r="A804" s="7">
        <v>40606</v>
      </c>
      <c r="B804" s="15" t="s">
        <v>693</v>
      </c>
      <c r="C804" s="20">
        <v>85</v>
      </c>
      <c r="D804" s="20">
        <v>551</v>
      </c>
      <c r="E804" s="20" t="s">
        <v>18</v>
      </c>
      <c r="F804" s="20" t="s">
        <v>47</v>
      </c>
    </row>
    <row r="805">
      <c r="A805" s="7">
        <v>40606</v>
      </c>
      <c r="B805" s="15" t="s">
        <v>699</v>
      </c>
      <c r="C805" s="20">
        <v>5</v>
      </c>
      <c r="D805" s="20">
        <v>503</v>
      </c>
      <c r="E805" s="20" t="s">
        <v>18</v>
      </c>
      <c r="F805" s="20" t="s">
        <v>41</v>
      </c>
    </row>
    <row r="806">
      <c r="A806" s="7">
        <v>40606</v>
      </c>
      <c r="B806" s="15" t="s">
        <v>700</v>
      </c>
      <c r="C806" s="20">
        <v>5</v>
      </c>
      <c r="D806" s="20">
        <v>503</v>
      </c>
      <c r="E806" s="20" t="s">
        <v>18</v>
      </c>
      <c r="F806" s="20" t="s">
        <v>41</v>
      </c>
    </row>
    <row r="807">
      <c r="A807" s="7">
        <v>40606</v>
      </c>
      <c r="B807" s="15" t="s">
        <v>701</v>
      </c>
      <c r="C807" s="20">
        <v>15</v>
      </c>
      <c r="D807" s="20">
        <v>581</v>
      </c>
      <c r="E807" s="20" t="s">
        <v>18</v>
      </c>
      <c r="F807" s="20" t="s">
        <v>50</v>
      </c>
    </row>
    <row r="808">
      <c r="A808" s="7">
        <v>40606</v>
      </c>
      <c r="B808" s="15" t="s">
        <v>702</v>
      </c>
      <c r="C808" s="20">
        <v>800</v>
      </c>
      <c r="D808" s="20">
        <v>505</v>
      </c>
      <c r="E808" s="20" t="s">
        <v>18</v>
      </c>
      <c r="F808" s="20" t="s">
        <v>43</v>
      </c>
    </row>
    <row r="809">
      <c r="A809" s="7">
        <v>40608</v>
      </c>
      <c r="B809" s="15" t="s">
        <v>703</v>
      </c>
      <c r="C809" s="20">
        <v>-55</v>
      </c>
      <c r="D809" s="20">
        <v>503</v>
      </c>
      <c r="E809" s="20" t="s">
        <v>18</v>
      </c>
      <c r="F809" s="20" t="s">
        <v>41</v>
      </c>
    </row>
    <row r="810">
      <c r="A810" s="7">
        <v>40608</v>
      </c>
      <c r="B810" s="15" t="s">
        <v>704</v>
      </c>
      <c r="C810" s="20">
        <v>-380</v>
      </c>
      <c r="D810" s="20">
        <v>651</v>
      </c>
      <c r="E810" s="20" t="s">
        <v>18</v>
      </c>
      <c r="F810" s="20" t="s">
        <v>73</v>
      </c>
    </row>
    <row r="811">
      <c r="A811" s="7">
        <v>40608</v>
      </c>
      <c r="B811" s="15" t="s">
        <v>705</v>
      </c>
      <c r="C811" s="20">
        <v>-166</v>
      </c>
      <c r="D811" s="20">
        <v>651</v>
      </c>
      <c r="E811" s="20" t="s">
        <v>18</v>
      </c>
      <c r="F811" s="20" t="s">
        <v>73</v>
      </c>
    </row>
    <row r="812">
      <c r="A812" s="7">
        <v>40608</v>
      </c>
      <c r="B812" s="15" t="s">
        <v>706</v>
      </c>
      <c r="C812" s="20">
        <v>-25</v>
      </c>
      <c r="D812" s="20">
        <v>651</v>
      </c>
      <c r="E812" s="20" t="s">
        <v>18</v>
      </c>
      <c r="F812" s="20" t="s">
        <v>73</v>
      </c>
    </row>
    <row r="813">
      <c r="A813" s="7">
        <v>40608</v>
      </c>
      <c r="B813" s="15" t="s">
        <v>707</v>
      </c>
      <c r="C813" s="20">
        <v>-15</v>
      </c>
      <c r="D813" s="20">
        <v>651</v>
      </c>
      <c r="E813" s="20" t="s">
        <v>18</v>
      </c>
      <c r="F813" s="20" t="s">
        <v>73</v>
      </c>
    </row>
    <row r="814">
      <c r="A814" s="7">
        <v>40608</v>
      </c>
      <c r="B814" s="15" t="s">
        <v>708</v>
      </c>
      <c r="C814" s="20">
        <v>-80</v>
      </c>
      <c r="D814" s="20">
        <v>651</v>
      </c>
      <c r="E814" s="20" t="s">
        <v>18</v>
      </c>
      <c r="F814" s="20" t="s">
        <v>73</v>
      </c>
    </row>
    <row r="815">
      <c r="A815" s="7">
        <v>40610</v>
      </c>
      <c r="B815" s="15" t="s">
        <v>709</v>
      </c>
      <c r="C815" s="20">
        <v>30</v>
      </c>
      <c r="D815" s="20">
        <v>581</v>
      </c>
      <c r="E815" s="20" t="s">
        <v>18</v>
      </c>
      <c r="F815" s="20" t="s">
        <v>50</v>
      </c>
    </row>
    <row r="816">
      <c r="A816" s="7">
        <v>40610</v>
      </c>
      <c r="B816" s="15" t="s">
        <v>710</v>
      </c>
      <c r="C816" s="20">
        <v>15</v>
      </c>
      <c r="D816" s="20">
        <v>581</v>
      </c>
      <c r="E816" s="20" t="s">
        <v>18</v>
      </c>
      <c r="F816" s="20" t="s">
        <v>50</v>
      </c>
    </row>
    <row r="817">
      <c r="A817" s="7">
        <v>40610</v>
      </c>
      <c r="B817" s="15" t="s">
        <v>711</v>
      </c>
      <c r="C817" s="20">
        <v>15</v>
      </c>
      <c r="D817" s="20">
        <v>581</v>
      </c>
      <c r="E817" s="20" t="s">
        <v>18</v>
      </c>
      <c r="F817" s="20" t="s">
        <v>50</v>
      </c>
    </row>
    <row r="818">
      <c r="A818" s="7">
        <v>40610</v>
      </c>
      <c r="B818" s="15" t="s">
        <v>712</v>
      </c>
      <c r="C818" s="20">
        <v>-300</v>
      </c>
      <c r="D818" s="20">
        <v>681</v>
      </c>
      <c r="E818" s="20" t="s">
        <v>18</v>
      </c>
      <c r="F818" s="20" t="s">
        <v>79</v>
      </c>
    </row>
    <row r="819">
      <c r="A819" s="7">
        <v>40610</v>
      </c>
      <c r="B819" s="15" t="s">
        <v>713</v>
      </c>
      <c r="C819" s="20">
        <v>-125</v>
      </c>
      <c r="D819" s="20">
        <v>651</v>
      </c>
      <c r="E819" s="20" t="s">
        <v>18</v>
      </c>
      <c r="F819" s="20" t="s">
        <v>73</v>
      </c>
    </row>
    <row r="820">
      <c r="A820" s="7">
        <v>40610</v>
      </c>
      <c r="B820" s="15" t="s">
        <v>714</v>
      </c>
      <c r="C820" s="20">
        <v>5</v>
      </c>
      <c r="D820" s="20">
        <v>503</v>
      </c>
      <c r="E820" s="20" t="s">
        <v>18</v>
      </c>
      <c r="F820" s="20" t="s">
        <v>41</v>
      </c>
    </row>
    <row r="821">
      <c r="A821" s="7">
        <v>40610</v>
      </c>
      <c r="B821" s="15" t="s">
        <v>715</v>
      </c>
      <c r="C821" s="20">
        <v>15</v>
      </c>
      <c r="D821" s="20">
        <v>581</v>
      </c>
      <c r="E821" s="20" t="s">
        <v>18</v>
      </c>
      <c r="F821" s="20" t="s">
        <v>50</v>
      </c>
    </row>
    <row r="822">
      <c r="A822" s="7">
        <v>40610</v>
      </c>
      <c r="B822" s="15" t="s">
        <v>651</v>
      </c>
      <c r="C822" s="20">
        <v>25</v>
      </c>
      <c r="D822" s="20">
        <v>651</v>
      </c>
      <c r="E822" s="20" t="s">
        <v>18</v>
      </c>
      <c r="F822" s="20" t="s">
        <v>73</v>
      </c>
    </row>
    <row r="823">
      <c r="A823" s="7">
        <v>40611</v>
      </c>
      <c r="B823" s="15" t="s">
        <v>716</v>
      </c>
      <c r="C823" s="20">
        <v>20</v>
      </c>
      <c r="D823" s="20">
        <v>581</v>
      </c>
      <c r="E823" s="20" t="s">
        <v>18</v>
      </c>
      <c r="F823" s="20" t="s">
        <v>50</v>
      </c>
    </row>
    <row r="824">
      <c r="A824" s="7">
        <v>40611</v>
      </c>
      <c r="B824" s="15" t="s">
        <v>717</v>
      </c>
      <c r="C824" s="20">
        <v>55</v>
      </c>
      <c r="D824" s="20">
        <v>581</v>
      </c>
      <c r="E824" s="20" t="s">
        <v>18</v>
      </c>
      <c r="F824" s="20" t="s">
        <v>50</v>
      </c>
    </row>
    <row r="825">
      <c r="A825" s="7">
        <v>40612</v>
      </c>
      <c r="B825" s="15" t="s">
        <v>718</v>
      </c>
      <c r="C825" s="20">
        <v>15</v>
      </c>
      <c r="D825" s="20">
        <v>581</v>
      </c>
      <c r="E825" s="20" t="s">
        <v>18</v>
      </c>
      <c r="F825" s="20" t="s">
        <v>50</v>
      </c>
    </row>
    <row r="826">
      <c r="A826" s="7">
        <v>40612</v>
      </c>
      <c r="B826" s="15" t="s">
        <v>719</v>
      </c>
      <c r="C826" s="20">
        <v>5</v>
      </c>
      <c r="D826" s="20">
        <v>503</v>
      </c>
      <c r="E826" s="20" t="s">
        <v>18</v>
      </c>
      <c r="F826" s="20" t="s">
        <v>41</v>
      </c>
    </row>
    <row r="827">
      <c r="A827" s="7">
        <v>40617</v>
      </c>
      <c r="B827" s="15" t="s">
        <v>720</v>
      </c>
      <c r="C827" s="20">
        <v>65</v>
      </c>
      <c r="D827" s="20">
        <v>581</v>
      </c>
      <c r="E827" s="20" t="s">
        <v>18</v>
      </c>
      <c r="F827" s="20" t="s">
        <v>50</v>
      </c>
    </row>
    <row r="828">
      <c r="A828" s="7">
        <v>40618</v>
      </c>
      <c r="B828" s="15" t="s">
        <v>721</v>
      </c>
      <c r="C828" s="20">
        <v>35</v>
      </c>
      <c r="D828" s="20">
        <v>581</v>
      </c>
      <c r="E828" s="20" t="s">
        <v>18</v>
      </c>
      <c r="F828" s="20" t="s">
        <v>50</v>
      </c>
    </row>
    <row r="829">
      <c r="A829" s="7">
        <v>40619</v>
      </c>
      <c r="B829" s="15" t="s">
        <v>722</v>
      </c>
      <c r="C829" s="20">
        <v>-155</v>
      </c>
      <c r="D829" s="20">
        <v>581</v>
      </c>
      <c r="E829" s="20" t="s">
        <v>18</v>
      </c>
      <c r="F829" s="20" t="s">
        <v>50</v>
      </c>
    </row>
    <row r="830">
      <c r="A830" s="7">
        <v>40625</v>
      </c>
      <c r="B830" s="15" t="s">
        <v>723</v>
      </c>
      <c r="C830" s="20">
        <v>2400</v>
      </c>
      <c r="D830" s="20">
        <v>505</v>
      </c>
      <c r="E830" s="20" t="s">
        <v>18</v>
      </c>
      <c r="F830" s="20" t="s">
        <v>43</v>
      </c>
    </row>
    <row r="831">
      <c r="A831" s="7">
        <v>40626</v>
      </c>
      <c r="B831" s="15" t="s">
        <v>724</v>
      </c>
      <c r="C831" s="20">
        <v>756</v>
      </c>
      <c r="D831" s="20">
        <v>501</v>
      </c>
      <c r="E831" s="20" t="s">
        <v>18</v>
      </c>
      <c r="F831" s="20" t="s">
        <v>725</v>
      </c>
    </row>
    <row r="832">
      <c r="A832" s="7">
        <v>40626</v>
      </c>
      <c r="B832" s="15" t="s">
        <v>726</v>
      </c>
      <c r="C832" s="20">
        <v>15</v>
      </c>
      <c r="D832" s="20">
        <v>503</v>
      </c>
      <c r="E832" s="20" t="s">
        <v>18</v>
      </c>
      <c r="F832" s="20" t="s">
        <v>41</v>
      </c>
    </row>
    <row r="833">
      <c r="A833" s="7">
        <v>40626</v>
      </c>
      <c r="B833" s="15" t="s">
        <v>727</v>
      </c>
      <c r="C833" s="20">
        <v>75</v>
      </c>
      <c r="D833" s="20">
        <v>581</v>
      </c>
      <c r="E833" s="20" t="s">
        <v>18</v>
      </c>
      <c r="F833" s="20" t="s">
        <v>50</v>
      </c>
    </row>
    <row r="834">
      <c r="A834" s="7">
        <v>40627</v>
      </c>
      <c r="B834" s="15" t="s">
        <v>728</v>
      </c>
      <c r="C834" s="20">
        <v>30</v>
      </c>
      <c r="D834" s="20">
        <v>581</v>
      </c>
      <c r="E834" s="20" t="s">
        <v>18</v>
      </c>
      <c r="F834" s="20" t="s">
        <v>50</v>
      </c>
    </row>
    <row r="835">
      <c r="A835" s="7">
        <v>40630</v>
      </c>
      <c r="B835" s="15" t="s">
        <v>729</v>
      </c>
      <c r="C835" s="20">
        <v>5</v>
      </c>
      <c r="D835" s="20">
        <v>503</v>
      </c>
      <c r="E835" s="20" t="s">
        <v>18</v>
      </c>
      <c r="F835" s="20" t="s">
        <v>41</v>
      </c>
    </row>
    <row r="836">
      <c r="A836" s="7">
        <v>40633</v>
      </c>
      <c r="B836" s="15" t="s">
        <v>268</v>
      </c>
      <c r="C836" s="20">
        <v>2.21</v>
      </c>
      <c r="D836" s="20">
        <v>502</v>
      </c>
      <c r="E836" s="20" t="s">
        <v>18</v>
      </c>
      <c r="F836" s="20" t="s">
        <v>40</v>
      </c>
    </row>
    <row r="837">
      <c r="A837" s="7">
        <v>40633</v>
      </c>
      <c r="B837" s="15" t="s">
        <v>457</v>
      </c>
      <c r="C837" s="20">
        <v>-3.1</v>
      </c>
      <c r="D837" s="20">
        <v>602</v>
      </c>
      <c r="E837" s="20" t="s">
        <v>18</v>
      </c>
      <c r="F837" s="20" t="s">
        <v>63</v>
      </c>
    </row>
    <row r="838">
      <c r="A838" s="7">
        <v>40641</v>
      </c>
      <c r="B838" s="15" t="s">
        <v>730</v>
      </c>
      <c r="C838" s="20">
        <v>5</v>
      </c>
      <c r="D838" s="20">
        <v>503</v>
      </c>
      <c r="E838" s="20" t="s">
        <v>18</v>
      </c>
      <c r="F838" s="20" t="s">
        <v>41</v>
      </c>
    </row>
    <row r="839">
      <c r="A839" s="7">
        <v>40644</v>
      </c>
      <c r="B839" s="15" t="s">
        <v>731</v>
      </c>
      <c r="C839" s="20">
        <v>-500</v>
      </c>
      <c r="D839" s="20">
        <v>607</v>
      </c>
      <c r="E839" s="20" t="s">
        <v>18</v>
      </c>
      <c r="F839" s="20" t="s">
        <v>30</v>
      </c>
    </row>
    <row r="840">
      <c r="A840" s="7">
        <v>40645</v>
      </c>
      <c r="B840" s="15" t="s">
        <v>732</v>
      </c>
      <c r="C840" s="20">
        <v>-256</v>
      </c>
      <c r="D840" s="20">
        <v>607</v>
      </c>
      <c r="E840" s="20" t="s">
        <v>18</v>
      </c>
      <c r="F840" s="20" t="s">
        <v>30</v>
      </c>
    </row>
    <row r="841">
      <c r="A841" s="7">
        <v>40701</v>
      </c>
      <c r="B841" s="15" t="s">
        <v>733</v>
      </c>
      <c r="C841" s="20">
        <v>-700</v>
      </c>
      <c r="D841" s="20">
        <v>607</v>
      </c>
      <c r="E841" s="20" t="s">
        <v>18</v>
      </c>
      <c r="F841" s="20" t="s">
        <v>30</v>
      </c>
    </row>
    <row r="842">
      <c r="A842" s="7">
        <v>40709</v>
      </c>
      <c r="B842" s="15" t="s">
        <v>734</v>
      </c>
      <c r="C842" s="20">
        <v>-30</v>
      </c>
      <c r="D842" s="20">
        <v>602</v>
      </c>
      <c r="E842" s="20" t="s">
        <v>18</v>
      </c>
      <c r="F842" s="20" t="s">
        <v>63</v>
      </c>
    </row>
    <row r="843">
      <c r="A843" s="7">
        <v>40720</v>
      </c>
      <c r="B843" s="15" t="s">
        <v>735</v>
      </c>
      <c r="C843" s="20">
        <v>-700</v>
      </c>
      <c r="D843" s="20">
        <v>607</v>
      </c>
      <c r="E843" s="20" t="s">
        <v>18</v>
      </c>
      <c r="F843" s="20" t="s">
        <v>30</v>
      </c>
    </row>
    <row r="844">
      <c r="A844" s="7">
        <v>40724</v>
      </c>
      <c r="B844" s="15" t="s">
        <v>268</v>
      </c>
      <c r="C844" s="20">
        <v>5.77</v>
      </c>
      <c r="D844" s="20">
        <v>502</v>
      </c>
      <c r="E844" s="20" t="s">
        <v>18</v>
      </c>
      <c r="F844" s="20" t="s">
        <v>40</v>
      </c>
    </row>
    <row r="845">
      <c r="A845" s="7">
        <v>40728</v>
      </c>
      <c r="B845" s="15" t="s">
        <v>736</v>
      </c>
      <c r="C845" s="20">
        <v>533</v>
      </c>
      <c r="D845" s="20">
        <v>501</v>
      </c>
      <c r="E845" s="20" t="s">
        <v>18</v>
      </c>
      <c r="F845" s="20" t="s">
        <v>38</v>
      </c>
    </row>
    <row r="846">
      <c r="A846" s="7">
        <v>40729</v>
      </c>
      <c r="B846" s="15" t="s">
        <v>737</v>
      </c>
      <c r="C846" s="20">
        <v>650</v>
      </c>
      <c r="D846" s="20">
        <v>505</v>
      </c>
      <c r="E846" s="20" t="s">
        <v>18</v>
      </c>
      <c r="F846" s="20" t="s">
        <v>43</v>
      </c>
    </row>
    <row r="847">
      <c r="A847" s="7">
        <v>40756</v>
      </c>
      <c r="B847" s="15" t="s">
        <v>738</v>
      </c>
      <c r="C847" s="20">
        <v>20</v>
      </c>
      <c r="D847" s="20">
        <v>586</v>
      </c>
      <c r="E847" s="20" t="s">
        <v>18</v>
      </c>
      <c r="F847" s="20" t="s">
        <v>55</v>
      </c>
    </row>
    <row r="848">
      <c r="A848" s="7">
        <v>40766</v>
      </c>
      <c r="B848" s="15" t="s">
        <v>739</v>
      </c>
      <c r="C848" s="20">
        <v>25</v>
      </c>
      <c r="D848" s="20">
        <v>586</v>
      </c>
      <c r="E848" s="20" t="s">
        <v>18</v>
      </c>
      <c r="F848" s="20" t="s">
        <v>55</v>
      </c>
    </row>
    <row r="849">
      <c r="A849" s="7">
        <v>40767</v>
      </c>
      <c r="B849" s="15" t="s">
        <v>740</v>
      </c>
      <c r="C849" s="20">
        <v>20</v>
      </c>
      <c r="D849" s="20">
        <v>586</v>
      </c>
      <c r="E849" s="20" t="s">
        <v>18</v>
      </c>
      <c r="F849" s="20" t="s">
        <v>55</v>
      </c>
    </row>
    <row r="850">
      <c r="A850" s="7">
        <v>40767</v>
      </c>
      <c r="B850" s="15" t="s">
        <v>741</v>
      </c>
      <c r="C850" s="20">
        <v>20</v>
      </c>
      <c r="D850" s="20">
        <v>586</v>
      </c>
      <c r="E850" s="20" t="s">
        <v>18</v>
      </c>
      <c r="F850" s="20" t="s">
        <v>55</v>
      </c>
    </row>
    <row r="851">
      <c r="A851" s="7">
        <v>40770</v>
      </c>
      <c r="B851" s="15" t="s">
        <v>742</v>
      </c>
      <c r="C851" s="20">
        <v>50</v>
      </c>
      <c r="D851" s="20">
        <v>586</v>
      </c>
      <c r="E851" s="20" t="s">
        <v>18</v>
      </c>
      <c r="F851" s="20" t="s">
        <v>55</v>
      </c>
    </row>
    <row r="852">
      <c r="A852" s="7">
        <v>40770</v>
      </c>
      <c r="B852" s="15" t="s">
        <v>743</v>
      </c>
      <c r="C852" s="20">
        <v>20</v>
      </c>
      <c r="D852" s="20">
        <v>586</v>
      </c>
      <c r="E852" s="20" t="s">
        <v>18</v>
      </c>
      <c r="F852" s="20" t="s">
        <v>55</v>
      </c>
    </row>
    <row r="853">
      <c r="A853" s="7">
        <v>40770</v>
      </c>
      <c r="B853" s="15" t="s">
        <v>744</v>
      </c>
      <c r="C853" s="20">
        <v>20</v>
      </c>
      <c r="D853" s="20">
        <v>586</v>
      </c>
      <c r="E853" s="20" t="s">
        <v>18</v>
      </c>
      <c r="F853" s="20" t="s">
        <v>55</v>
      </c>
    </row>
    <row r="854">
      <c r="A854" s="7">
        <v>40770</v>
      </c>
      <c r="B854" s="15" t="s">
        <v>745</v>
      </c>
      <c r="C854" s="20">
        <v>25</v>
      </c>
      <c r="D854" s="20">
        <v>586</v>
      </c>
      <c r="E854" s="20" t="s">
        <v>18</v>
      </c>
      <c r="F854" s="20" t="s">
        <v>55</v>
      </c>
    </row>
    <row r="855">
      <c r="A855" s="7">
        <v>40770</v>
      </c>
      <c r="B855" s="15" t="s">
        <v>746</v>
      </c>
      <c r="C855" s="20">
        <v>100</v>
      </c>
      <c r="D855" s="20">
        <v>586</v>
      </c>
      <c r="E855" s="20" t="s">
        <v>18</v>
      </c>
      <c r="F855" s="20" t="s">
        <v>55</v>
      </c>
    </row>
    <row r="856">
      <c r="A856" s="7">
        <v>40770</v>
      </c>
      <c r="B856" s="15" t="s">
        <v>747</v>
      </c>
      <c r="C856" s="20">
        <v>40</v>
      </c>
      <c r="D856" s="20">
        <v>586</v>
      </c>
      <c r="E856" s="20" t="s">
        <v>18</v>
      </c>
      <c r="F856" s="20" t="s">
        <v>55</v>
      </c>
    </row>
    <row r="857">
      <c r="A857" s="7">
        <v>40771</v>
      </c>
      <c r="B857" s="15" t="s">
        <v>748</v>
      </c>
      <c r="C857" s="20">
        <v>-693</v>
      </c>
      <c r="D857" s="20">
        <v>686</v>
      </c>
      <c r="E857" s="20" t="s">
        <v>18</v>
      </c>
      <c r="F857" s="20" t="s">
        <v>84</v>
      </c>
    </row>
    <row r="858">
      <c r="A858" s="7">
        <v>40771</v>
      </c>
      <c r="B858" s="15" t="s">
        <v>749</v>
      </c>
      <c r="C858" s="20">
        <v>25</v>
      </c>
      <c r="D858" s="20">
        <v>586</v>
      </c>
      <c r="E858" s="20" t="s">
        <v>18</v>
      </c>
      <c r="F858" s="20" t="s">
        <v>55</v>
      </c>
    </row>
    <row r="859">
      <c r="A859" s="7">
        <v>40771</v>
      </c>
      <c r="B859" s="15" t="s">
        <v>750</v>
      </c>
      <c r="C859" s="20">
        <v>20</v>
      </c>
      <c r="D859" s="20">
        <v>586</v>
      </c>
      <c r="E859" s="20" t="s">
        <v>18</v>
      </c>
      <c r="F859" s="20" t="s">
        <v>55</v>
      </c>
    </row>
    <row r="860">
      <c r="A860" s="7">
        <v>40771</v>
      </c>
      <c r="B860" s="15" t="s">
        <v>751</v>
      </c>
      <c r="C860" s="20">
        <v>5</v>
      </c>
      <c r="D860" s="20">
        <v>686</v>
      </c>
      <c r="E860" s="20" t="s">
        <v>18</v>
      </c>
      <c r="F860" s="20" t="s">
        <v>84</v>
      </c>
    </row>
    <row r="861">
      <c r="A861" s="7">
        <v>40771</v>
      </c>
      <c r="B861" s="15" t="s">
        <v>752</v>
      </c>
      <c r="C861" s="20">
        <v>25</v>
      </c>
      <c r="D861" s="20">
        <v>586</v>
      </c>
      <c r="E861" s="20" t="s">
        <v>18</v>
      </c>
      <c r="F861" s="20" t="s">
        <v>55</v>
      </c>
    </row>
    <row r="862">
      <c r="A862" s="7">
        <v>40771</v>
      </c>
      <c r="B862" s="15" t="s">
        <v>753</v>
      </c>
      <c r="C862" s="20">
        <v>20</v>
      </c>
      <c r="D862" s="20">
        <v>586</v>
      </c>
      <c r="E862" s="20" t="s">
        <v>18</v>
      </c>
      <c r="F862" s="20" t="s">
        <v>55</v>
      </c>
    </row>
    <row r="863">
      <c r="A863" s="7">
        <v>40771</v>
      </c>
      <c r="B863" s="15" t="s">
        <v>754</v>
      </c>
      <c r="C863" s="20">
        <v>5</v>
      </c>
      <c r="D863" s="20">
        <v>503</v>
      </c>
      <c r="E863" s="20" t="s">
        <v>18</v>
      </c>
      <c r="F863" s="20" t="s">
        <v>41</v>
      </c>
    </row>
    <row r="864">
      <c r="A864" s="7">
        <v>40771</v>
      </c>
      <c r="B864" s="15" t="s">
        <v>755</v>
      </c>
      <c r="C864" s="20">
        <v>45</v>
      </c>
      <c r="D864" s="20">
        <v>586</v>
      </c>
      <c r="E864" s="20" t="s">
        <v>18</v>
      </c>
      <c r="F864" s="20" t="s">
        <v>55</v>
      </c>
    </row>
    <row r="865">
      <c r="A865" s="7">
        <v>40771</v>
      </c>
      <c r="B865" s="15" t="s">
        <v>756</v>
      </c>
      <c r="C865" s="20">
        <v>25</v>
      </c>
      <c r="D865" s="20">
        <v>586</v>
      </c>
      <c r="E865" s="20" t="s">
        <v>18</v>
      </c>
      <c r="F865" s="20" t="s">
        <v>55</v>
      </c>
    </row>
    <row r="866">
      <c r="A866" s="7">
        <v>40772</v>
      </c>
      <c r="B866" s="15" t="s">
        <v>757</v>
      </c>
      <c r="C866" s="20">
        <v>20</v>
      </c>
      <c r="D866" s="20">
        <v>586</v>
      </c>
      <c r="E866" s="20" t="s">
        <v>18</v>
      </c>
      <c r="F866" s="20" t="s">
        <v>55</v>
      </c>
    </row>
    <row r="867">
      <c r="A867" s="7">
        <v>40772</v>
      </c>
      <c r="B867" s="15" t="s">
        <v>758</v>
      </c>
      <c r="C867" s="20">
        <v>-250</v>
      </c>
      <c r="D867" s="20">
        <v>686</v>
      </c>
      <c r="E867" s="20" t="s">
        <v>18</v>
      </c>
      <c r="F867" s="20" t="s">
        <v>84</v>
      </c>
    </row>
    <row r="868">
      <c r="A868" s="7">
        <v>40773</v>
      </c>
      <c r="B868" s="15" t="s">
        <v>759</v>
      </c>
      <c r="C868" s="20">
        <v>25</v>
      </c>
      <c r="D868" s="20">
        <v>586</v>
      </c>
      <c r="E868" s="20" t="s">
        <v>18</v>
      </c>
      <c r="F868" s="20" t="s">
        <v>55</v>
      </c>
    </row>
    <row r="869">
      <c r="A869" s="7">
        <v>40773</v>
      </c>
      <c r="B869" s="15" t="s">
        <v>760</v>
      </c>
      <c r="C869" s="20">
        <v>25</v>
      </c>
      <c r="D869" s="20">
        <v>586</v>
      </c>
      <c r="E869" s="20" t="s">
        <v>18</v>
      </c>
      <c r="F869" s="20" t="s">
        <v>55</v>
      </c>
    </row>
    <row r="870">
      <c r="A870" s="7">
        <v>40773</v>
      </c>
      <c r="B870" s="15" t="s">
        <v>761</v>
      </c>
      <c r="C870" s="20">
        <v>20</v>
      </c>
      <c r="D870" s="20">
        <v>586</v>
      </c>
      <c r="E870" s="20" t="s">
        <v>18</v>
      </c>
      <c r="F870" s="20" t="s">
        <v>55</v>
      </c>
    </row>
    <row r="871">
      <c r="A871" s="7">
        <v>40773</v>
      </c>
      <c r="B871" s="15" t="s">
        <v>762</v>
      </c>
      <c r="C871" s="20">
        <v>25</v>
      </c>
      <c r="D871" s="20">
        <v>586</v>
      </c>
      <c r="E871" s="20" t="s">
        <v>18</v>
      </c>
      <c r="F871" s="20" t="s">
        <v>55</v>
      </c>
    </row>
    <row r="872">
      <c r="A872" s="7">
        <v>40773</v>
      </c>
      <c r="B872" s="15" t="s">
        <v>763</v>
      </c>
      <c r="C872" s="20">
        <v>20</v>
      </c>
      <c r="D872" s="20">
        <v>586</v>
      </c>
      <c r="E872" s="20" t="s">
        <v>18</v>
      </c>
      <c r="F872" s="20" t="s">
        <v>55</v>
      </c>
    </row>
    <row r="873">
      <c r="A873" s="7">
        <v>40773</v>
      </c>
      <c r="B873" s="15" t="s">
        <v>764</v>
      </c>
      <c r="C873" s="20">
        <v>20</v>
      </c>
      <c r="D873" s="20">
        <v>586</v>
      </c>
      <c r="E873" s="20" t="s">
        <v>18</v>
      </c>
      <c r="F873" s="20" t="s">
        <v>55</v>
      </c>
    </row>
    <row r="874">
      <c r="A874" s="7">
        <v>40773</v>
      </c>
      <c r="B874" s="15" t="s">
        <v>765</v>
      </c>
      <c r="C874" s="20">
        <v>20</v>
      </c>
      <c r="D874" s="20">
        <v>586</v>
      </c>
      <c r="E874" s="20" t="s">
        <v>18</v>
      </c>
      <c r="F874" s="20" t="s">
        <v>55</v>
      </c>
    </row>
    <row r="875">
      <c r="A875" s="7">
        <v>40773</v>
      </c>
      <c r="B875" s="15" t="s">
        <v>765</v>
      </c>
      <c r="C875" s="20">
        <v>5</v>
      </c>
      <c r="D875" s="20">
        <v>503</v>
      </c>
      <c r="E875" s="20" t="s">
        <v>18</v>
      </c>
      <c r="F875" s="20" t="s">
        <v>41</v>
      </c>
    </row>
    <row r="876">
      <c r="A876" s="7">
        <v>40774</v>
      </c>
      <c r="B876" s="15" t="s">
        <v>766</v>
      </c>
      <c r="C876" s="20">
        <v>5</v>
      </c>
      <c r="D876" s="20">
        <v>503</v>
      </c>
      <c r="E876" s="20" t="s">
        <v>18</v>
      </c>
      <c r="F876" s="20" t="s">
        <v>41</v>
      </c>
    </row>
    <row r="877">
      <c r="A877" s="7">
        <v>40774</v>
      </c>
      <c r="B877" s="15" t="s">
        <v>767</v>
      </c>
      <c r="C877" s="20">
        <v>20</v>
      </c>
      <c r="D877" s="20">
        <v>586</v>
      </c>
      <c r="E877" s="20" t="s">
        <v>18</v>
      </c>
      <c r="F877" s="20" t="s">
        <v>55</v>
      </c>
    </row>
    <row r="878">
      <c r="A878" s="7">
        <v>40784</v>
      </c>
      <c r="B878" s="15" t="s">
        <v>768</v>
      </c>
      <c r="C878" s="20">
        <v>365</v>
      </c>
      <c r="D878" s="20">
        <v>551</v>
      </c>
      <c r="E878" s="20" t="s">
        <v>18</v>
      </c>
      <c r="F878" s="20" t="s">
        <v>47</v>
      </c>
    </row>
    <row r="879">
      <c r="A879" s="7">
        <v>40788</v>
      </c>
      <c r="B879" s="15" t="s">
        <v>769</v>
      </c>
      <c r="C879" s="20">
        <v>5</v>
      </c>
      <c r="D879" s="20">
        <v>503</v>
      </c>
      <c r="E879" s="20" t="s">
        <v>18</v>
      </c>
      <c r="F879" s="20" t="s">
        <v>41</v>
      </c>
    </row>
    <row r="880">
      <c r="A880" s="7">
        <v>40788</v>
      </c>
      <c r="B880" s="15" t="s">
        <v>770</v>
      </c>
      <c r="C880" s="20">
        <v>80</v>
      </c>
      <c r="D880" s="20">
        <v>561</v>
      </c>
      <c r="E880" s="20" t="s">
        <v>18</v>
      </c>
      <c r="F880" s="20" t="s">
        <v>48</v>
      </c>
    </row>
    <row r="881">
      <c r="A881" s="7">
        <v>40792</v>
      </c>
      <c r="B881" s="15" t="s">
        <v>771</v>
      </c>
      <c r="C881" s="20">
        <v>180</v>
      </c>
      <c r="D881" s="20">
        <v>561</v>
      </c>
      <c r="E881" s="20" t="s">
        <v>18</v>
      </c>
      <c r="F881" s="20" t="s">
        <v>48</v>
      </c>
    </row>
    <row r="882">
      <c r="A882" s="7">
        <v>40794</v>
      </c>
      <c r="B882" s="15" t="s">
        <v>772</v>
      </c>
      <c r="C882" s="20">
        <v>240</v>
      </c>
      <c r="D882" s="20">
        <v>561</v>
      </c>
      <c r="E882" s="20" t="s">
        <v>18</v>
      </c>
      <c r="F882" s="20" t="s">
        <v>48</v>
      </c>
    </row>
    <row r="883">
      <c r="A883" s="7">
        <v>40798</v>
      </c>
      <c r="B883" s="15" t="s">
        <v>773</v>
      </c>
      <c r="C883" s="20">
        <v>180</v>
      </c>
      <c r="D883" s="20">
        <v>561</v>
      </c>
      <c r="E883" s="20" t="s">
        <v>18</v>
      </c>
      <c r="F883" s="20" t="s">
        <v>48</v>
      </c>
    </row>
    <row r="884">
      <c r="A884" s="7">
        <v>40802</v>
      </c>
      <c r="B884" s="15" t="s">
        <v>774</v>
      </c>
      <c r="C884" s="20">
        <v>5</v>
      </c>
      <c r="D884" s="20">
        <v>503</v>
      </c>
      <c r="E884" s="20" t="s">
        <v>18</v>
      </c>
      <c r="F884" s="20" t="s">
        <v>41</v>
      </c>
    </row>
    <row r="885">
      <c r="A885" s="7">
        <v>40802</v>
      </c>
      <c r="B885" s="15" t="s">
        <v>775</v>
      </c>
      <c r="C885" s="20">
        <v>90</v>
      </c>
      <c r="D885" s="20">
        <v>561</v>
      </c>
      <c r="E885" s="20" t="s">
        <v>18</v>
      </c>
      <c r="F885" s="20" t="s">
        <v>48</v>
      </c>
    </row>
    <row r="886">
      <c r="A886" s="7">
        <v>40805</v>
      </c>
      <c r="B886" s="15" t="s">
        <v>776</v>
      </c>
      <c r="C886" s="20">
        <v>180</v>
      </c>
      <c r="D886" s="20">
        <v>561</v>
      </c>
      <c r="E886" s="20" t="s">
        <v>18</v>
      </c>
      <c r="F886" s="20" t="s">
        <v>48</v>
      </c>
    </row>
    <row r="887">
      <c r="A887" s="7">
        <v>40805</v>
      </c>
      <c r="B887" s="15" t="s">
        <v>777</v>
      </c>
      <c r="C887" s="20">
        <v>90</v>
      </c>
      <c r="D887" s="20">
        <v>561</v>
      </c>
      <c r="E887" s="20" t="s">
        <v>18</v>
      </c>
      <c r="F887" s="20" t="s">
        <v>48</v>
      </c>
    </row>
    <row r="888">
      <c r="A888" s="7">
        <v>40805</v>
      </c>
      <c r="B888" s="15" t="s">
        <v>778</v>
      </c>
      <c r="C888" s="20">
        <v>90</v>
      </c>
      <c r="D888" s="20">
        <v>561</v>
      </c>
      <c r="E888" s="20" t="s">
        <v>18</v>
      </c>
      <c r="F888" s="20" t="s">
        <v>48</v>
      </c>
    </row>
    <row r="889">
      <c r="A889" s="7">
        <v>40805</v>
      </c>
      <c r="B889" s="15" t="s">
        <v>779</v>
      </c>
      <c r="C889" s="20">
        <v>80</v>
      </c>
      <c r="D889" s="20">
        <v>561</v>
      </c>
      <c r="E889" s="20" t="s">
        <v>18</v>
      </c>
      <c r="F889" s="20" t="s">
        <v>48</v>
      </c>
    </row>
    <row r="890">
      <c r="A890" s="7">
        <v>40807</v>
      </c>
      <c r="B890" s="15" t="s">
        <v>780</v>
      </c>
      <c r="C890" s="20">
        <v>90</v>
      </c>
      <c r="D890" s="20">
        <v>561</v>
      </c>
      <c r="E890" s="20" t="s">
        <v>18</v>
      </c>
      <c r="F890" s="20" t="s">
        <v>48</v>
      </c>
    </row>
    <row r="891">
      <c r="A891" s="7">
        <v>40807</v>
      </c>
      <c r="B891" s="15" t="s">
        <v>781</v>
      </c>
      <c r="C891" s="20">
        <v>170</v>
      </c>
      <c r="D891" s="20">
        <v>561</v>
      </c>
      <c r="E891" s="20" t="s">
        <v>18</v>
      </c>
      <c r="F891" s="20" t="s">
        <v>48</v>
      </c>
    </row>
    <row r="892">
      <c r="A892" s="7">
        <v>40807</v>
      </c>
      <c r="B892" s="15" t="s">
        <v>782</v>
      </c>
      <c r="C892" s="20">
        <v>90</v>
      </c>
      <c r="D892" s="20">
        <v>561</v>
      </c>
      <c r="E892" s="20" t="s">
        <v>18</v>
      </c>
      <c r="F892" s="20" t="s">
        <v>48</v>
      </c>
    </row>
    <row r="893">
      <c r="A893" s="7">
        <v>40808</v>
      </c>
      <c r="B893" s="15" t="s">
        <v>783</v>
      </c>
      <c r="C893" s="20">
        <v>170</v>
      </c>
      <c r="D893" s="20">
        <v>561</v>
      </c>
      <c r="E893" s="20" t="s">
        <v>18</v>
      </c>
      <c r="F893" s="20" t="s">
        <v>48</v>
      </c>
    </row>
    <row r="894">
      <c r="A894" s="7">
        <v>40808</v>
      </c>
      <c r="B894" s="15" t="s">
        <v>784</v>
      </c>
      <c r="C894" s="20">
        <v>-1245</v>
      </c>
      <c r="D894" s="20">
        <v>661</v>
      </c>
      <c r="E894" s="20" t="s">
        <v>18</v>
      </c>
      <c r="F894" s="20" t="s">
        <v>74</v>
      </c>
    </row>
    <row r="895">
      <c r="A895" s="7">
        <v>40808</v>
      </c>
      <c r="B895" s="15" t="s">
        <v>785</v>
      </c>
      <c r="C895" s="20">
        <v>180</v>
      </c>
      <c r="D895" s="20">
        <v>561</v>
      </c>
      <c r="E895" s="20" t="s">
        <v>18</v>
      </c>
      <c r="F895" s="20" t="s">
        <v>48</v>
      </c>
    </row>
    <row r="896">
      <c r="A896" s="7">
        <v>40809</v>
      </c>
      <c r="B896" s="15" t="s">
        <v>786</v>
      </c>
      <c r="C896" s="20">
        <v>90</v>
      </c>
      <c r="D896" s="20">
        <v>561</v>
      </c>
      <c r="E896" s="20" t="s">
        <v>18</v>
      </c>
      <c r="F896" s="20" t="s">
        <v>48</v>
      </c>
    </row>
    <row r="897">
      <c r="A897" s="7">
        <v>40809</v>
      </c>
      <c r="B897" s="15" t="s">
        <v>787</v>
      </c>
      <c r="C897" s="20">
        <v>80</v>
      </c>
      <c r="D897" s="20">
        <v>561</v>
      </c>
      <c r="E897" s="20" t="s">
        <v>18</v>
      </c>
      <c r="F897" s="20" t="s">
        <v>48</v>
      </c>
    </row>
    <row r="898">
      <c r="A898" s="7">
        <v>40809</v>
      </c>
      <c r="B898" s="15" t="s">
        <v>788</v>
      </c>
      <c r="C898" s="20">
        <v>170</v>
      </c>
      <c r="D898" s="20">
        <v>561</v>
      </c>
      <c r="E898" s="20" t="s">
        <v>18</v>
      </c>
      <c r="F898" s="20" t="s">
        <v>48</v>
      </c>
    </row>
    <row r="899">
      <c r="A899" s="7">
        <v>40812</v>
      </c>
      <c r="B899" s="15" t="s">
        <v>789</v>
      </c>
      <c r="C899" s="20">
        <v>80</v>
      </c>
      <c r="D899" s="20">
        <v>561</v>
      </c>
      <c r="E899" s="20" t="s">
        <v>18</v>
      </c>
      <c r="F899" s="20" t="s">
        <v>48</v>
      </c>
    </row>
    <row r="900">
      <c r="A900" s="7">
        <v>40812</v>
      </c>
      <c r="B900" s="15" t="s">
        <v>790</v>
      </c>
      <c r="C900" s="20">
        <v>172</v>
      </c>
      <c r="D900" s="20">
        <v>561</v>
      </c>
      <c r="E900" s="20" t="s">
        <v>18</v>
      </c>
      <c r="F900" s="20" t="s">
        <v>48</v>
      </c>
    </row>
    <row r="901">
      <c r="A901" s="7">
        <v>40812</v>
      </c>
      <c r="B901" s="15" t="s">
        <v>791</v>
      </c>
      <c r="C901" s="20">
        <v>180</v>
      </c>
      <c r="D901" s="20">
        <v>561</v>
      </c>
      <c r="E901" s="20" t="s">
        <v>18</v>
      </c>
      <c r="F901" s="20" t="s">
        <v>48</v>
      </c>
    </row>
    <row r="902">
      <c r="A902" s="7">
        <v>40813</v>
      </c>
      <c r="B902" s="15" t="s">
        <v>792</v>
      </c>
      <c r="C902" s="20">
        <v>80</v>
      </c>
      <c r="D902" s="20">
        <v>561</v>
      </c>
      <c r="E902" s="20" t="s">
        <v>18</v>
      </c>
      <c r="F902" s="20" t="s">
        <v>48</v>
      </c>
    </row>
    <row r="903">
      <c r="A903" s="7">
        <v>40814</v>
      </c>
      <c r="B903" t="s">
        <v>793</v>
      </c>
      <c r="C903">
        <v>90</v>
      </c>
      <c r="D903" s="20">
        <v>561</v>
      </c>
      <c r="E903" s="20" t="s">
        <v>18</v>
      </c>
      <c r="F903" s="20" t="s">
        <v>48</v>
      </c>
    </row>
    <row r="904">
      <c r="A904" s="7">
        <v>40814</v>
      </c>
      <c r="B904" t="s">
        <v>794</v>
      </c>
      <c r="C904">
        <v>-30</v>
      </c>
      <c r="D904" s="20">
        <v>651</v>
      </c>
      <c r="E904" s="20" t="s">
        <v>18</v>
      </c>
      <c r="F904" s="20" t="s">
        <v>73</v>
      </c>
    </row>
    <row r="905">
      <c r="A905" s="7">
        <v>40814</v>
      </c>
      <c r="B905" t="s">
        <v>795</v>
      </c>
      <c r="C905">
        <v>-70</v>
      </c>
      <c r="D905" s="20">
        <v>651</v>
      </c>
      <c r="E905" s="20" t="s">
        <v>18</v>
      </c>
      <c r="F905" s="20" t="s">
        <v>73</v>
      </c>
    </row>
    <row r="906">
      <c r="A906" s="7">
        <v>40814</v>
      </c>
      <c r="B906" t="s">
        <v>796</v>
      </c>
      <c r="C906">
        <v>90</v>
      </c>
      <c r="D906" s="20">
        <v>561</v>
      </c>
      <c r="E906" s="20" t="s">
        <v>18</v>
      </c>
      <c r="F906" s="20" t="s">
        <v>48</v>
      </c>
    </row>
    <row r="907">
      <c r="A907" s="7">
        <v>40814</v>
      </c>
      <c r="B907" t="s">
        <v>797</v>
      </c>
      <c r="C907">
        <v>90</v>
      </c>
      <c r="D907" s="20">
        <v>561</v>
      </c>
      <c r="E907" s="20" t="s">
        <v>18</v>
      </c>
      <c r="F907" s="20" t="s">
        <v>48</v>
      </c>
    </row>
    <row r="908">
      <c r="A908" s="7">
        <v>40814</v>
      </c>
      <c r="B908" t="s">
        <v>798</v>
      </c>
      <c r="C908">
        <v>180</v>
      </c>
      <c r="D908" s="20">
        <v>561</v>
      </c>
      <c r="E908" s="20" t="s">
        <v>18</v>
      </c>
      <c r="F908" s="20" t="s">
        <v>48</v>
      </c>
    </row>
    <row r="909">
      <c r="A909" s="7">
        <v>40814</v>
      </c>
      <c r="B909" t="s">
        <v>799</v>
      </c>
      <c r="C909">
        <v>80</v>
      </c>
      <c r="D909" s="20">
        <v>561</v>
      </c>
      <c r="E909" s="20" t="s">
        <v>18</v>
      </c>
      <c r="F909" s="20" t="s">
        <v>48</v>
      </c>
    </row>
    <row r="910">
      <c r="A910" s="7">
        <v>40814</v>
      </c>
      <c r="B910" t="s">
        <v>800</v>
      </c>
      <c r="C910">
        <v>80</v>
      </c>
      <c r="D910" s="20">
        <v>561</v>
      </c>
      <c r="E910" s="20" t="s">
        <v>18</v>
      </c>
      <c r="F910" s="20" t="s">
        <v>48</v>
      </c>
    </row>
    <row r="911">
      <c r="A911" s="7">
        <v>40814</v>
      </c>
      <c r="B911" t="s">
        <v>801</v>
      </c>
      <c r="C911">
        <v>180</v>
      </c>
      <c r="D911" s="20">
        <v>561</v>
      </c>
      <c r="E911" s="20" t="s">
        <v>18</v>
      </c>
      <c r="F911" s="20" t="s">
        <v>48</v>
      </c>
    </row>
    <row r="912">
      <c r="A912" s="7">
        <v>40814</v>
      </c>
      <c r="B912" t="s">
        <v>802</v>
      </c>
      <c r="C912">
        <v>80</v>
      </c>
      <c r="D912" s="20">
        <v>561</v>
      </c>
      <c r="E912" s="20" t="s">
        <v>18</v>
      </c>
      <c r="F912" s="20" t="s">
        <v>48</v>
      </c>
    </row>
    <row r="913">
      <c r="A913" s="7">
        <v>40815</v>
      </c>
      <c r="B913" t="s">
        <v>803</v>
      </c>
      <c r="C913">
        <v>90</v>
      </c>
      <c r="D913" s="20">
        <v>561</v>
      </c>
      <c r="E913" s="20" t="s">
        <v>18</v>
      </c>
      <c r="F913" s="20" t="s">
        <v>48</v>
      </c>
    </row>
    <row r="914">
      <c r="A914" s="7">
        <v>40815</v>
      </c>
      <c r="B914" t="s">
        <v>804</v>
      </c>
      <c r="C914">
        <v>90</v>
      </c>
      <c r="D914" s="20">
        <v>561</v>
      </c>
      <c r="E914" s="20" t="s">
        <v>18</v>
      </c>
      <c r="F914" s="20" t="s">
        <v>48</v>
      </c>
    </row>
    <row r="915">
      <c r="A915" s="7">
        <v>40815</v>
      </c>
      <c r="B915" t="s">
        <v>805</v>
      </c>
      <c r="C915">
        <v>90</v>
      </c>
      <c r="D915" s="20">
        <v>561</v>
      </c>
      <c r="E915" s="20" t="s">
        <v>18</v>
      </c>
      <c r="F915" s="20" t="s">
        <v>48</v>
      </c>
    </row>
    <row r="916">
      <c r="A916" s="7">
        <v>40815</v>
      </c>
      <c r="B916" t="s">
        <v>806</v>
      </c>
      <c r="C916">
        <v>80</v>
      </c>
      <c r="D916" s="20">
        <v>561</v>
      </c>
      <c r="E916" s="20" t="s">
        <v>18</v>
      </c>
      <c r="F916" s="20" t="s">
        <v>48</v>
      </c>
    </row>
    <row r="917">
      <c r="A917" s="7">
        <v>40815</v>
      </c>
      <c r="B917" t="s">
        <v>807</v>
      </c>
      <c r="C917">
        <v>80</v>
      </c>
      <c r="D917" s="20">
        <v>561</v>
      </c>
      <c r="E917" s="20" t="s">
        <v>18</v>
      </c>
      <c r="F917" s="20" t="s">
        <v>48</v>
      </c>
    </row>
    <row r="918">
      <c r="A918" s="7">
        <v>40815</v>
      </c>
      <c r="B918" t="s">
        <v>808</v>
      </c>
      <c r="C918">
        <v>80</v>
      </c>
      <c r="D918" s="20">
        <v>561</v>
      </c>
      <c r="E918" s="20" t="s">
        <v>18</v>
      </c>
      <c r="F918" s="20" t="s">
        <v>48</v>
      </c>
    </row>
    <row r="919">
      <c r="A919" s="7">
        <v>40815</v>
      </c>
      <c r="B919" t="s">
        <v>809</v>
      </c>
      <c r="C919">
        <v>80</v>
      </c>
      <c r="D919" s="20">
        <v>561</v>
      </c>
      <c r="E919" s="20" t="s">
        <v>18</v>
      </c>
      <c r="F919" s="20" t="s">
        <v>48</v>
      </c>
    </row>
    <row r="920">
      <c r="A920" s="7">
        <v>40815</v>
      </c>
      <c r="B920" t="s">
        <v>810</v>
      </c>
      <c r="C920">
        <v>80</v>
      </c>
      <c r="D920" s="20">
        <v>561</v>
      </c>
      <c r="E920" s="20" t="s">
        <v>18</v>
      </c>
      <c r="F920" s="20" t="s">
        <v>48</v>
      </c>
    </row>
    <row r="921">
      <c r="A921" s="7">
        <v>40815</v>
      </c>
      <c r="B921" t="s">
        <v>811</v>
      </c>
      <c r="C921">
        <v>90</v>
      </c>
      <c r="D921" s="20">
        <v>561</v>
      </c>
      <c r="E921" s="20" t="s">
        <v>18</v>
      </c>
      <c r="F921" s="20" t="s">
        <v>48</v>
      </c>
    </row>
    <row r="922">
      <c r="A922" s="7">
        <v>40816</v>
      </c>
      <c r="B922" t="s">
        <v>812</v>
      </c>
      <c r="C922">
        <v>90</v>
      </c>
      <c r="D922" s="20">
        <v>561</v>
      </c>
      <c r="E922" s="20" t="s">
        <v>18</v>
      </c>
      <c r="F922" s="20" t="s">
        <v>48</v>
      </c>
    </row>
    <row r="923">
      <c r="A923" s="7">
        <v>40816</v>
      </c>
      <c r="B923" t="s">
        <v>813</v>
      </c>
      <c r="C923">
        <v>80</v>
      </c>
      <c r="D923" s="20">
        <v>561</v>
      </c>
      <c r="E923" s="20" t="s">
        <v>18</v>
      </c>
      <c r="F923" s="20" t="s">
        <v>48</v>
      </c>
    </row>
    <row r="924">
      <c r="A924" s="7">
        <v>40816</v>
      </c>
      <c r="B924" t="s">
        <v>814</v>
      </c>
      <c r="C924">
        <v>80</v>
      </c>
      <c r="D924" s="20">
        <v>561</v>
      </c>
      <c r="E924" s="20" t="s">
        <v>18</v>
      </c>
      <c r="F924" s="20" t="s">
        <v>48</v>
      </c>
    </row>
    <row r="925">
      <c r="A925" s="7">
        <v>40816</v>
      </c>
      <c r="B925" t="s">
        <v>815</v>
      </c>
      <c r="C925">
        <v>80</v>
      </c>
      <c r="D925" s="20">
        <v>561</v>
      </c>
      <c r="E925" s="20" t="s">
        <v>18</v>
      </c>
      <c r="F925" s="20" t="s">
        <v>48</v>
      </c>
    </row>
    <row r="926">
      <c r="A926" s="7">
        <v>40816</v>
      </c>
      <c r="B926" t="s">
        <v>816</v>
      </c>
      <c r="C926">
        <v>90</v>
      </c>
      <c r="D926" s="20">
        <v>561</v>
      </c>
      <c r="E926" s="20" t="s">
        <v>18</v>
      </c>
      <c r="F926" s="20" t="s">
        <v>48</v>
      </c>
    </row>
    <row r="927">
      <c r="A927" s="7">
        <v>40816</v>
      </c>
      <c r="B927" t="s">
        <v>817</v>
      </c>
      <c r="C927">
        <v>90</v>
      </c>
      <c r="D927" s="20">
        <v>561</v>
      </c>
      <c r="E927" s="20" t="s">
        <v>18</v>
      </c>
      <c r="F927" s="20" t="s">
        <v>48</v>
      </c>
    </row>
    <row r="928">
      <c r="A928" s="7">
        <v>40816</v>
      </c>
      <c r="B928" t="s">
        <v>268</v>
      </c>
      <c r="C928">
        <v>6.47</v>
      </c>
      <c r="D928" s="20">
        <v>502</v>
      </c>
      <c r="E928" s="20" t="s">
        <v>18</v>
      </c>
      <c r="F928" s="20" t="s">
        <v>40</v>
      </c>
    </row>
    <row r="929">
      <c r="A929" s="7">
        <v>40816</v>
      </c>
      <c r="B929" t="s">
        <v>818</v>
      </c>
      <c r="C929">
        <v>160</v>
      </c>
      <c r="D929" s="20">
        <v>561</v>
      </c>
      <c r="E929" s="20" t="s">
        <v>18</v>
      </c>
      <c r="F929" s="20" t="s">
        <v>48</v>
      </c>
    </row>
    <row r="930">
      <c r="A930" s="7">
        <v>40816</v>
      </c>
      <c r="B930" t="s">
        <v>819</v>
      </c>
      <c r="C930">
        <v>90</v>
      </c>
      <c r="D930" s="20">
        <v>561</v>
      </c>
      <c r="E930" s="20" t="s">
        <v>18</v>
      </c>
      <c r="F930" s="20" t="s">
        <v>48</v>
      </c>
    </row>
    <row r="931">
      <c r="A931" s="7">
        <v>40816</v>
      </c>
      <c r="B931" t="s">
        <v>820</v>
      </c>
      <c r="C931">
        <v>80</v>
      </c>
      <c r="D931" s="20">
        <v>561</v>
      </c>
      <c r="E931" s="20" t="s">
        <v>18</v>
      </c>
      <c r="F931" s="20" t="s">
        <v>48</v>
      </c>
    </row>
    <row r="932">
      <c r="A932" s="7">
        <v>40816</v>
      </c>
      <c r="B932" t="s">
        <v>821</v>
      </c>
      <c r="C932">
        <v>80</v>
      </c>
      <c r="D932" s="20">
        <v>561</v>
      </c>
      <c r="E932" s="20" t="s">
        <v>18</v>
      </c>
      <c r="F932" s="20" t="s">
        <v>48</v>
      </c>
    </row>
    <row r="933">
      <c r="A933" s="7">
        <v>40816</v>
      </c>
      <c r="B933" t="s">
        <v>822</v>
      </c>
      <c r="C933">
        <v>90</v>
      </c>
      <c r="D933" s="20">
        <v>561</v>
      </c>
      <c r="E933" s="20" t="s">
        <v>18</v>
      </c>
      <c r="F933" s="20" t="s">
        <v>48</v>
      </c>
    </row>
    <row r="934">
      <c r="A934" s="7">
        <v>40816</v>
      </c>
      <c r="B934" t="s">
        <v>823</v>
      </c>
      <c r="C934">
        <v>90</v>
      </c>
      <c r="D934" s="20">
        <v>561</v>
      </c>
      <c r="E934" s="20" t="s">
        <v>18</v>
      </c>
      <c r="F934" s="20" t="s">
        <v>48</v>
      </c>
    </row>
    <row r="935">
      <c r="A935" s="7">
        <v>40816</v>
      </c>
      <c r="B935" t="s">
        <v>824</v>
      </c>
      <c r="C935">
        <v>90</v>
      </c>
      <c r="D935" s="20">
        <v>561</v>
      </c>
      <c r="E935" s="20" t="s">
        <v>18</v>
      </c>
      <c r="F935" s="20" t="s">
        <v>48</v>
      </c>
    </row>
    <row r="936">
      <c r="A936" s="7">
        <v>40816</v>
      </c>
      <c r="B936" t="s">
        <v>825</v>
      </c>
      <c r="C936">
        <v>80</v>
      </c>
      <c r="D936" s="20">
        <v>561</v>
      </c>
      <c r="E936" s="20" t="s">
        <v>18</v>
      </c>
      <c r="F936" s="20" t="s">
        <v>48</v>
      </c>
    </row>
    <row r="937">
      <c r="A937" s="7">
        <v>40816</v>
      </c>
      <c r="B937" t="s">
        <v>826</v>
      </c>
      <c r="C937">
        <v>90</v>
      </c>
      <c r="D937" s="20">
        <v>561</v>
      </c>
      <c r="E937" s="20" t="s">
        <v>18</v>
      </c>
      <c r="F937" s="20" t="s">
        <v>48</v>
      </c>
    </row>
    <row r="938">
      <c r="A938" s="7">
        <v>40816</v>
      </c>
      <c r="B938" t="s">
        <v>827</v>
      </c>
      <c r="C938">
        <v>160</v>
      </c>
      <c r="D938" s="20">
        <v>561</v>
      </c>
      <c r="E938" s="20" t="s">
        <v>18</v>
      </c>
      <c r="F938" s="20" t="s">
        <v>48</v>
      </c>
    </row>
    <row r="939">
      <c r="A939" s="7">
        <v>40816</v>
      </c>
      <c r="B939" t="s">
        <v>828</v>
      </c>
      <c r="C939">
        <v>90</v>
      </c>
      <c r="D939" s="20">
        <v>561</v>
      </c>
      <c r="E939" s="20" t="s">
        <v>18</v>
      </c>
      <c r="F939" s="20" t="s">
        <v>48</v>
      </c>
    </row>
    <row r="940">
      <c r="A940" s="7">
        <v>40816</v>
      </c>
      <c r="B940" t="s">
        <v>829</v>
      </c>
      <c r="C940">
        <v>80</v>
      </c>
      <c r="D940" s="20">
        <v>561</v>
      </c>
      <c r="E940" s="20" t="s">
        <v>18</v>
      </c>
      <c r="F940" s="20" t="s">
        <v>48</v>
      </c>
    </row>
    <row r="941">
      <c r="A941" s="7">
        <v>40816</v>
      </c>
      <c r="B941" t="s">
        <v>830</v>
      </c>
      <c r="C941">
        <v>180</v>
      </c>
      <c r="D941" s="20">
        <v>561</v>
      </c>
      <c r="E941" s="20" t="s">
        <v>18</v>
      </c>
      <c r="F941" s="20" t="s">
        <v>48</v>
      </c>
    </row>
    <row r="942">
      <c r="A942" s="7">
        <v>40816</v>
      </c>
      <c r="B942" t="s">
        <v>831</v>
      </c>
      <c r="C942">
        <v>85</v>
      </c>
      <c r="D942" s="20">
        <v>561</v>
      </c>
      <c r="E942" s="20" t="s">
        <v>18</v>
      </c>
      <c r="F942" s="20" t="s">
        <v>48</v>
      </c>
    </row>
    <row r="943">
      <c r="A943" s="7">
        <v>40816</v>
      </c>
      <c r="B943" t="s">
        <v>832</v>
      </c>
      <c r="C943">
        <v>85</v>
      </c>
      <c r="D943" s="20">
        <v>561</v>
      </c>
      <c r="E943" s="20" t="s">
        <v>18</v>
      </c>
      <c r="F943" s="20" t="s">
        <v>48</v>
      </c>
    </row>
    <row r="944">
      <c r="A944" s="7">
        <v>40816</v>
      </c>
      <c r="B944" t="s">
        <v>833</v>
      </c>
      <c r="C944">
        <v>80</v>
      </c>
      <c r="D944" s="20">
        <v>561</v>
      </c>
      <c r="E944" s="20" t="s">
        <v>18</v>
      </c>
      <c r="F944" s="20" t="s">
        <v>48</v>
      </c>
    </row>
    <row r="945">
      <c r="A945" s="7">
        <v>40819</v>
      </c>
      <c r="B945" t="s">
        <v>834</v>
      </c>
      <c r="C945">
        <v>5</v>
      </c>
      <c r="D945" s="20">
        <v>503</v>
      </c>
      <c r="E945" s="20" t="s">
        <v>18</v>
      </c>
      <c r="F945" s="20" t="s">
        <v>41</v>
      </c>
    </row>
    <row r="946">
      <c r="A946" s="7">
        <v>40819</v>
      </c>
      <c r="B946" t="s">
        <v>835</v>
      </c>
      <c r="C946">
        <v>5</v>
      </c>
      <c r="D946" s="20">
        <v>503</v>
      </c>
      <c r="E946" s="20" t="s">
        <v>18</v>
      </c>
      <c r="F946" s="20" t="s">
        <v>41</v>
      </c>
    </row>
    <row r="947">
      <c r="A947" s="7">
        <v>40819</v>
      </c>
      <c r="B947" t="s">
        <v>836</v>
      </c>
      <c r="C947">
        <v>5</v>
      </c>
      <c r="D947" s="20">
        <v>503</v>
      </c>
      <c r="E947" s="20" t="s">
        <v>18</v>
      </c>
      <c r="F947" s="20" t="s">
        <v>41</v>
      </c>
    </row>
    <row r="948">
      <c r="A948" s="7">
        <v>40819</v>
      </c>
      <c r="B948" t="s">
        <v>837</v>
      </c>
      <c r="C948">
        <v>80</v>
      </c>
      <c r="D948" s="20">
        <v>561</v>
      </c>
      <c r="E948" s="20" t="s">
        <v>18</v>
      </c>
      <c r="F948" s="20" t="s">
        <v>48</v>
      </c>
    </row>
    <row r="949">
      <c r="A949" s="7">
        <v>40819</v>
      </c>
      <c r="B949" t="s">
        <v>838</v>
      </c>
      <c r="C949">
        <v>160</v>
      </c>
      <c r="D949" s="20">
        <v>561</v>
      </c>
      <c r="E949" s="20" t="s">
        <v>18</v>
      </c>
      <c r="F949" s="20" t="s">
        <v>48</v>
      </c>
    </row>
    <row r="950">
      <c r="A950" s="7">
        <v>40819</v>
      </c>
      <c r="B950" t="s">
        <v>839</v>
      </c>
      <c r="C950">
        <v>90</v>
      </c>
      <c r="D950" s="20">
        <v>561</v>
      </c>
      <c r="E950" s="20" t="s">
        <v>18</v>
      </c>
      <c r="F950" s="20" t="s">
        <v>48</v>
      </c>
    </row>
    <row r="951">
      <c r="A951" s="7">
        <v>40819</v>
      </c>
      <c r="B951" s="15" t="s">
        <v>840</v>
      </c>
      <c r="C951">
        <v>85</v>
      </c>
      <c r="D951" s="20">
        <v>561</v>
      </c>
      <c r="E951" s="20" t="s">
        <v>18</v>
      </c>
      <c r="F951" s="20" t="s">
        <v>48</v>
      </c>
    </row>
    <row r="952">
      <c r="A952" s="7">
        <v>40819</v>
      </c>
      <c r="B952" t="s">
        <v>841</v>
      </c>
      <c r="C952">
        <v>90</v>
      </c>
      <c r="D952" s="20">
        <v>561</v>
      </c>
      <c r="E952" s="20" t="s">
        <v>18</v>
      </c>
      <c r="F952" s="20" t="s">
        <v>48</v>
      </c>
    </row>
    <row r="953">
      <c r="A953" s="7">
        <v>40819</v>
      </c>
      <c r="B953" t="s">
        <v>842</v>
      </c>
      <c r="C953">
        <v>90</v>
      </c>
      <c r="D953" s="20">
        <v>561</v>
      </c>
      <c r="E953" s="20" t="s">
        <v>18</v>
      </c>
      <c r="F953" s="20" t="s">
        <v>48</v>
      </c>
    </row>
    <row r="954">
      <c r="A954" s="7">
        <v>40820</v>
      </c>
      <c r="B954" t="s">
        <v>843</v>
      </c>
      <c r="C954">
        <v>-1250</v>
      </c>
      <c r="D954">
        <v>662</v>
      </c>
      <c r="E954" s="20" t="s">
        <v>18</v>
      </c>
      <c r="F954" s="20" t="s">
        <v>75</v>
      </c>
    </row>
    <row r="955">
      <c r="A955" s="7">
        <v>40820</v>
      </c>
      <c r="B955" t="s">
        <v>844</v>
      </c>
      <c r="C955">
        <v>-3735</v>
      </c>
      <c r="D955">
        <v>661</v>
      </c>
      <c r="E955" s="20" t="s">
        <v>18</v>
      </c>
      <c r="F955" s="20" t="s">
        <v>74</v>
      </c>
    </row>
    <row r="956">
      <c r="A956" s="7">
        <v>40820</v>
      </c>
      <c r="B956" t="s">
        <v>845</v>
      </c>
      <c r="C956">
        <v>90</v>
      </c>
      <c r="D956" s="20">
        <v>561</v>
      </c>
      <c r="E956" s="20" t="s">
        <v>18</v>
      </c>
      <c r="F956" s="20" t="s">
        <v>48</v>
      </c>
    </row>
    <row r="957">
      <c r="A957" s="7">
        <v>40820</v>
      </c>
      <c r="B957" t="s">
        <v>846</v>
      </c>
      <c r="C957">
        <v>480</v>
      </c>
      <c r="D957" s="20">
        <v>561</v>
      </c>
      <c r="E957" s="20" t="s">
        <v>18</v>
      </c>
      <c r="F957" s="20" t="s">
        <v>48</v>
      </c>
    </row>
    <row r="958">
      <c r="A958" s="7">
        <v>40820</v>
      </c>
      <c r="B958" t="s">
        <v>847</v>
      </c>
      <c r="C958">
        <v>80</v>
      </c>
      <c r="D958" s="20">
        <v>561</v>
      </c>
      <c r="E958" s="20" t="s">
        <v>18</v>
      </c>
      <c r="F958" s="20" t="s">
        <v>48</v>
      </c>
    </row>
    <row r="959">
      <c r="A959" s="7">
        <v>40820</v>
      </c>
      <c r="B959" t="s">
        <v>848</v>
      </c>
      <c r="C959">
        <v>90</v>
      </c>
      <c r="D959">
        <v>561</v>
      </c>
      <c r="E959" s="20" t="s">
        <v>18</v>
      </c>
      <c r="F959" s="20" t="s">
        <v>48</v>
      </c>
    </row>
    <row r="960">
      <c r="A960" s="7">
        <v>40821</v>
      </c>
      <c r="B960" s="15" t="s">
        <v>849</v>
      </c>
      <c r="C960">
        <v>240</v>
      </c>
      <c r="D960" s="20">
        <v>561</v>
      </c>
      <c r="E960" s="20" t="s">
        <v>18</v>
      </c>
      <c r="F960" s="20" t="s">
        <v>48</v>
      </c>
    </row>
    <row r="961">
      <c r="A961" s="7">
        <v>40821</v>
      </c>
      <c r="B961" s="15" t="s">
        <v>850</v>
      </c>
      <c r="C961">
        <v>180</v>
      </c>
      <c r="D961" s="20">
        <v>561</v>
      </c>
      <c r="E961" s="20" t="s">
        <v>18</v>
      </c>
      <c r="F961" s="20" t="s">
        <v>48</v>
      </c>
    </row>
    <row r="962">
      <c r="A962" s="7">
        <v>40821</v>
      </c>
      <c r="B962" s="15" t="s">
        <v>851</v>
      </c>
      <c r="C962">
        <v>90</v>
      </c>
      <c r="D962" s="20">
        <v>561</v>
      </c>
      <c r="E962" s="20" t="s">
        <v>18</v>
      </c>
      <c r="F962" s="20" t="s">
        <v>48</v>
      </c>
    </row>
    <row r="963">
      <c r="A963" s="7">
        <v>40821</v>
      </c>
      <c r="B963" s="15" t="s">
        <v>852</v>
      </c>
      <c r="C963">
        <v>80</v>
      </c>
      <c r="D963" s="20">
        <v>561</v>
      </c>
      <c r="E963" s="20" t="s">
        <v>18</v>
      </c>
      <c r="F963" s="20" t="s">
        <v>48</v>
      </c>
    </row>
    <row r="964">
      <c r="A964" s="7">
        <v>40821</v>
      </c>
      <c r="B964" s="15" t="s">
        <v>853</v>
      </c>
      <c r="C964">
        <v>90</v>
      </c>
      <c r="D964" s="20">
        <v>561</v>
      </c>
      <c r="E964" s="20" t="s">
        <v>18</v>
      </c>
      <c r="F964" s="20" t="s">
        <v>48</v>
      </c>
    </row>
    <row r="965">
      <c r="A965" s="7">
        <v>40821</v>
      </c>
      <c r="B965" s="15" t="s">
        <v>854</v>
      </c>
      <c r="C965">
        <v>90</v>
      </c>
      <c r="D965" s="20">
        <v>561</v>
      </c>
      <c r="E965" s="20" t="s">
        <v>18</v>
      </c>
      <c r="F965" s="20" t="s">
        <v>48</v>
      </c>
    </row>
    <row r="966">
      <c r="A966" s="7">
        <v>40821</v>
      </c>
      <c r="B966" s="15" t="s">
        <v>855</v>
      </c>
      <c r="C966">
        <v>80</v>
      </c>
      <c r="D966" s="20">
        <v>561</v>
      </c>
      <c r="E966" s="20" t="s">
        <v>18</v>
      </c>
      <c r="F966" s="20" t="s">
        <v>48</v>
      </c>
    </row>
    <row r="967">
      <c r="A967" s="7">
        <v>40821</v>
      </c>
      <c r="B967" s="15" t="s">
        <v>856</v>
      </c>
      <c r="C967">
        <v>180</v>
      </c>
      <c r="D967" s="20">
        <v>561</v>
      </c>
      <c r="E967" s="20" t="s">
        <v>18</v>
      </c>
      <c r="F967" s="20" t="s">
        <v>48</v>
      </c>
    </row>
    <row r="968">
      <c r="A968" s="7">
        <v>40821</v>
      </c>
      <c r="B968" s="15" t="s">
        <v>857</v>
      </c>
      <c r="C968">
        <v>80</v>
      </c>
      <c r="D968" s="20">
        <v>663</v>
      </c>
      <c r="E968" s="20" t="s">
        <v>18</v>
      </c>
      <c r="F968" s="20" t="s">
        <v>48</v>
      </c>
    </row>
    <row r="969">
      <c r="A969" s="7">
        <v>40821</v>
      </c>
      <c r="B969" s="15" t="s">
        <v>858</v>
      </c>
      <c r="C969">
        <v>90</v>
      </c>
      <c r="D969" s="20">
        <v>561</v>
      </c>
      <c r="E969" s="20" t="s">
        <v>18</v>
      </c>
      <c r="F969" s="20" t="s">
        <v>48</v>
      </c>
    </row>
    <row r="970">
      <c r="A970" s="7">
        <v>40821</v>
      </c>
      <c r="B970" s="15" t="s">
        <v>859</v>
      </c>
      <c r="C970">
        <v>180</v>
      </c>
      <c r="D970" s="20">
        <v>561</v>
      </c>
      <c r="E970" s="20" t="s">
        <v>18</v>
      </c>
      <c r="F970" s="20" t="s">
        <v>48</v>
      </c>
    </row>
    <row r="971">
      <c r="A971" s="7">
        <v>40821</v>
      </c>
      <c r="B971" s="15" t="s">
        <v>860</v>
      </c>
      <c r="C971">
        <v>90</v>
      </c>
      <c r="D971" s="20">
        <v>561</v>
      </c>
      <c r="E971" s="20" t="s">
        <v>18</v>
      </c>
      <c r="F971" s="20" t="s">
        <v>48</v>
      </c>
    </row>
    <row r="972">
      <c r="A972" s="7">
        <v>40821</v>
      </c>
      <c r="B972" s="15" t="s">
        <v>861</v>
      </c>
      <c r="C972">
        <v>90</v>
      </c>
      <c r="D972" s="20">
        <v>561</v>
      </c>
      <c r="E972" s="20" t="s">
        <v>18</v>
      </c>
      <c r="F972" s="20" t="s">
        <v>48</v>
      </c>
    </row>
    <row r="973">
      <c r="A973" s="7">
        <v>40822</v>
      </c>
      <c r="B973" s="15" t="s">
        <v>862</v>
      </c>
      <c r="C973">
        <v>-1000</v>
      </c>
      <c r="D973" s="20">
        <v>663</v>
      </c>
      <c r="E973" s="20" t="s">
        <v>18</v>
      </c>
      <c r="F973" t="s">
        <v>76</v>
      </c>
    </row>
    <row r="974">
      <c r="A974" s="7">
        <v>40822</v>
      </c>
      <c r="B974" s="15" t="s">
        <v>863</v>
      </c>
      <c r="C974">
        <v>80</v>
      </c>
      <c r="D974" s="20">
        <v>561</v>
      </c>
      <c r="E974" s="20" t="s">
        <v>18</v>
      </c>
      <c r="F974" s="20" t="s">
        <v>48</v>
      </c>
    </row>
    <row r="975">
      <c r="A975" s="7">
        <v>40823</v>
      </c>
      <c r="B975" s="15" t="s">
        <v>864</v>
      </c>
      <c r="C975">
        <v>80</v>
      </c>
      <c r="D975" s="20">
        <v>561</v>
      </c>
      <c r="E975" s="20" t="s">
        <v>18</v>
      </c>
      <c r="F975" s="20" t="s">
        <v>48</v>
      </c>
    </row>
    <row r="976">
      <c r="A976" s="7">
        <v>40823</v>
      </c>
      <c r="B976" s="15" t="s">
        <v>865</v>
      </c>
      <c r="C976">
        <v>90</v>
      </c>
      <c r="D976" s="20">
        <v>561</v>
      </c>
      <c r="E976" s="20" t="s">
        <v>18</v>
      </c>
      <c r="F976" s="20" t="s">
        <v>48</v>
      </c>
    </row>
    <row r="977">
      <c r="A977" s="7">
        <v>40823</v>
      </c>
      <c r="B977" s="15" t="s">
        <v>866</v>
      </c>
      <c r="C977">
        <v>80</v>
      </c>
      <c r="D977" s="20">
        <v>561</v>
      </c>
      <c r="E977" s="20" t="s">
        <v>18</v>
      </c>
      <c r="F977" s="20" t="s">
        <v>48</v>
      </c>
    </row>
    <row r="978">
      <c r="A978" s="7">
        <v>40837</v>
      </c>
      <c r="B978" s="33" t="s">
        <v>867</v>
      </c>
      <c r="C978" s="33">
        <v>10</v>
      </c>
      <c r="D978">
        <v>503</v>
      </c>
      <c r="E978" s="20" t="s">
        <v>18</v>
      </c>
    </row>
    <row r="979">
      <c r="A979" s="7">
        <v>40837</v>
      </c>
      <c r="B979" s="33" t="s">
        <v>868</v>
      </c>
      <c r="C979" s="33">
        <v>10</v>
      </c>
      <c r="D979">
        <v>503</v>
      </c>
      <c r="E979" s="20" t="s">
        <v>18</v>
      </c>
    </row>
    <row r="980">
      <c r="A980" s="7">
        <v>40842</v>
      </c>
      <c r="B980" s="33" t="s">
        <v>869</v>
      </c>
      <c r="C980" s="33">
        <v>10</v>
      </c>
      <c r="D980">
        <v>503</v>
      </c>
      <c r="E980" s="20" t="s">
        <v>18</v>
      </c>
    </row>
    <row r="981">
      <c r="A981" s="7">
        <v>40842</v>
      </c>
      <c r="B981" s="33" t="s">
        <v>870</v>
      </c>
      <c r="C981" s="33">
        <v>10</v>
      </c>
      <c r="D981">
        <v>503</v>
      </c>
      <c r="E981" s="20" t="s">
        <v>18</v>
      </c>
    </row>
    <row r="982">
      <c r="A982" s="7">
        <v>40847</v>
      </c>
      <c r="B982" s="33" t="s">
        <v>871</v>
      </c>
      <c r="C982" s="33">
        <v>5</v>
      </c>
      <c r="D982" s="20">
        <v>584</v>
      </c>
      <c r="E982" s="20" t="s">
        <v>18</v>
      </c>
    </row>
    <row r="983">
      <c r="A983" s="7">
        <v>40847</v>
      </c>
      <c r="B983" s="33" t="s">
        <v>872</v>
      </c>
      <c r="C983" s="33">
        <v>10</v>
      </c>
      <c r="D983" s="20">
        <v>584</v>
      </c>
      <c r="E983" s="20" t="s">
        <v>18</v>
      </c>
    </row>
    <row r="984">
      <c r="A984" s="7">
        <v>40855</v>
      </c>
      <c r="B984" s="33" t="s">
        <v>873</v>
      </c>
      <c r="C984" s="33">
        <v>-172</v>
      </c>
      <c r="D984" s="20">
        <v>561</v>
      </c>
      <c r="E984" s="20" t="s">
        <v>18</v>
      </c>
      <c r="F984" t="s">
        <v>874</v>
      </c>
    </row>
    <row r="985">
      <c r="A985" s="7">
        <v>40861</v>
      </c>
      <c r="B985" s="33" t="s">
        <v>829</v>
      </c>
      <c r="C985" s="33">
        <v>5</v>
      </c>
      <c r="D985" s="20">
        <v>584</v>
      </c>
      <c r="E985" s="20" t="s">
        <v>18</v>
      </c>
    </row>
    <row r="986">
      <c r="A986" s="7">
        <v>40861</v>
      </c>
      <c r="B986" s="33" t="s">
        <v>875</v>
      </c>
      <c r="C986" s="33">
        <v>5</v>
      </c>
      <c r="D986" s="20">
        <v>584</v>
      </c>
      <c r="E986" s="20" t="s">
        <v>18</v>
      </c>
    </row>
    <row r="987">
      <c r="A987" s="7">
        <v>40908</v>
      </c>
      <c r="B987" s="33" t="s">
        <v>268</v>
      </c>
      <c r="C987" s="33">
        <v>10.31</v>
      </c>
      <c r="D987" s="20">
        <v>502</v>
      </c>
      <c r="E987" s="20" t="s">
        <v>18</v>
      </c>
    </row>
    <row r="988">
      <c r="A988" s="7">
        <v>40956</v>
      </c>
      <c r="B988" s="33" t="s">
        <v>876</v>
      </c>
      <c r="C988" s="33">
        <v>-250</v>
      </c>
      <c r="D988" s="20">
        <v>681</v>
      </c>
      <c r="E988" s="20" t="s">
        <v>18</v>
      </c>
    </row>
    <row r="989">
      <c r="A989" s="7">
        <v>40956</v>
      </c>
      <c r="B989" s="33" t="s">
        <v>877</v>
      </c>
      <c r="C989" s="33">
        <v>1000</v>
      </c>
      <c r="D989" s="20">
        <v>505</v>
      </c>
      <c r="E989" s="20" t="s">
        <v>18</v>
      </c>
    </row>
    <row r="990">
      <c r="A990" s="7">
        <v>40959</v>
      </c>
      <c r="B990" s="33" t="s">
        <v>878</v>
      </c>
      <c r="C990" s="33">
        <v>10</v>
      </c>
      <c r="D990" s="20">
        <v>506</v>
      </c>
      <c r="E990" s="20" t="s">
        <v>18</v>
      </c>
    </row>
    <row r="991">
      <c r="A991" s="7">
        <v>40963</v>
      </c>
      <c r="B991" s="33" t="s">
        <v>879</v>
      </c>
      <c r="C991" s="33">
        <v>35</v>
      </c>
      <c r="D991" s="20">
        <v>581</v>
      </c>
      <c r="E991" s="20" t="s">
        <v>18</v>
      </c>
    </row>
    <row r="992">
      <c r="A992" s="7">
        <v>40963</v>
      </c>
      <c r="B992" s="33" t="s">
        <v>880</v>
      </c>
      <c r="C992" s="33">
        <v>35</v>
      </c>
      <c r="D992" s="20">
        <v>581</v>
      </c>
      <c r="E992" s="20" t="s">
        <v>18</v>
      </c>
    </row>
    <row r="993">
      <c r="A993" s="7">
        <v>40967</v>
      </c>
      <c r="B993" s="33" t="s">
        <v>881</v>
      </c>
      <c r="C993" s="33">
        <v>25</v>
      </c>
      <c r="D993" s="20">
        <v>581</v>
      </c>
      <c r="E993" s="20" t="s">
        <v>18</v>
      </c>
    </row>
    <row r="994">
      <c r="A994" s="7">
        <v>40968</v>
      </c>
      <c r="B994" s="33" t="s">
        <v>882</v>
      </c>
      <c r="C994" s="33">
        <v>10</v>
      </c>
      <c r="D994" s="20">
        <v>503</v>
      </c>
      <c r="E994" s="20" t="s">
        <v>18</v>
      </c>
    </row>
    <row r="995">
      <c r="A995" s="7">
        <v>40970</v>
      </c>
      <c r="B995" s="33" t="s">
        <v>883</v>
      </c>
      <c r="C995" s="33">
        <v>10</v>
      </c>
      <c r="D995" s="20">
        <v>503</v>
      </c>
      <c r="E995" s="20" t="s">
        <v>18</v>
      </c>
    </row>
    <row r="996">
      <c r="A996" s="7">
        <v>40970</v>
      </c>
      <c r="B996" s="33" t="s">
        <v>884</v>
      </c>
      <c r="C996" s="33">
        <v>10</v>
      </c>
      <c r="D996" s="20">
        <v>503</v>
      </c>
      <c r="E996" s="20" t="s">
        <v>18</v>
      </c>
    </row>
    <row r="997">
      <c r="A997" s="7">
        <v>40973</v>
      </c>
      <c r="B997" s="33" t="s">
        <v>885</v>
      </c>
      <c r="C997" s="33">
        <v>25</v>
      </c>
      <c r="D997" s="20">
        <v>581</v>
      </c>
      <c r="E997" s="20" t="s">
        <v>18</v>
      </c>
    </row>
    <row r="998">
      <c r="A998" s="7">
        <v>40973</v>
      </c>
      <c r="B998" s="33" t="s">
        <v>886</v>
      </c>
      <c r="C998" s="33">
        <v>10</v>
      </c>
      <c r="D998" s="20">
        <v>503</v>
      </c>
      <c r="E998" s="20" t="s">
        <v>18</v>
      </c>
    </row>
    <row r="999">
      <c r="A999" s="7">
        <v>40973</v>
      </c>
      <c r="B999" s="33" t="s">
        <v>887</v>
      </c>
      <c r="C999" s="33">
        <v>10</v>
      </c>
      <c r="D999" s="20">
        <v>503</v>
      </c>
      <c r="E999" s="20" t="s">
        <v>18</v>
      </c>
    </row>
    <row r="1000">
      <c r="A1000" s="7">
        <v>40973</v>
      </c>
      <c r="B1000" s="33" t="s">
        <v>888</v>
      </c>
      <c r="C1000" s="33">
        <v>10</v>
      </c>
      <c r="D1000" s="20">
        <v>503</v>
      </c>
      <c r="E1000" s="20" t="s">
        <v>18</v>
      </c>
    </row>
    <row r="1001">
      <c r="A1001" s="7">
        <v>40980</v>
      </c>
      <c r="B1001" s="33" t="s">
        <v>889</v>
      </c>
      <c r="C1001" s="33">
        <v>25</v>
      </c>
      <c r="D1001" s="20">
        <v>503</v>
      </c>
      <c r="E1001" s="20" t="s">
        <v>18</v>
      </c>
    </row>
    <row r="1002">
      <c r="A1002" s="7">
        <v>40982</v>
      </c>
      <c r="B1002" s="33" t="s">
        <v>890</v>
      </c>
      <c r="C1002" s="33">
        <v>139</v>
      </c>
      <c r="D1002" s="20">
        <v>585</v>
      </c>
      <c r="E1002" s="20" t="s">
        <v>18</v>
      </c>
    </row>
    <row r="1003">
      <c r="A1003" s="7">
        <v>40983</v>
      </c>
      <c r="B1003" s="33" t="s">
        <v>891</v>
      </c>
      <c r="C1003" s="33">
        <v>25</v>
      </c>
      <c r="D1003" s="20">
        <v>581</v>
      </c>
      <c r="E1003" s="20" t="s">
        <v>18</v>
      </c>
    </row>
    <row r="1004">
      <c r="A1004" s="7">
        <v>40983</v>
      </c>
      <c r="B1004" s="33" t="s">
        <v>892</v>
      </c>
      <c r="C1004" s="33">
        <v>25</v>
      </c>
      <c r="D1004" s="20">
        <v>581</v>
      </c>
      <c r="E1004" s="20" t="s">
        <v>18</v>
      </c>
    </row>
    <row r="1005">
      <c r="A1005" s="7">
        <v>40983</v>
      </c>
      <c r="B1005" s="33" t="s">
        <v>893</v>
      </c>
      <c r="C1005" s="33">
        <v>10</v>
      </c>
      <c r="D1005" s="20">
        <v>503</v>
      </c>
      <c r="E1005" s="20" t="s">
        <v>18</v>
      </c>
    </row>
    <row r="1006">
      <c r="A1006" s="7">
        <v>40987</v>
      </c>
      <c r="B1006" s="33" t="s">
        <v>894</v>
      </c>
      <c r="C1006" s="33">
        <v>10</v>
      </c>
      <c r="D1006" s="20">
        <v>503</v>
      </c>
      <c r="E1006" s="20" t="s">
        <v>18</v>
      </c>
    </row>
    <row r="1007">
      <c r="A1007" s="7">
        <v>40988</v>
      </c>
      <c r="B1007" s="33" t="s">
        <v>895</v>
      </c>
      <c r="C1007" s="33">
        <v>25</v>
      </c>
      <c r="D1007" s="20">
        <v>581</v>
      </c>
      <c r="E1007" s="20" t="s">
        <v>18</v>
      </c>
    </row>
    <row r="1008">
      <c r="A1008" s="7">
        <v>40990</v>
      </c>
      <c r="B1008" s="33" t="s">
        <v>896</v>
      </c>
      <c r="C1008" s="33">
        <v>25</v>
      </c>
      <c r="D1008" s="20">
        <v>581</v>
      </c>
      <c r="E1008" s="20" t="s">
        <v>18</v>
      </c>
    </row>
    <row r="1009">
      <c r="A1009" s="7">
        <v>40990</v>
      </c>
      <c r="B1009" s="33" t="s">
        <v>897</v>
      </c>
      <c r="C1009" s="33">
        <v>70</v>
      </c>
      <c r="D1009" s="20">
        <v>581</v>
      </c>
      <c r="E1009" s="20" t="s">
        <v>18</v>
      </c>
    </row>
    <row r="1010">
      <c r="A1010" s="7">
        <v>40991</v>
      </c>
      <c r="B1010" s="33" t="s">
        <v>898</v>
      </c>
      <c r="C1010" s="33">
        <v>35</v>
      </c>
      <c r="D1010" s="20">
        <v>586</v>
      </c>
      <c r="E1010" s="20" t="s">
        <v>18</v>
      </c>
    </row>
    <row r="1011">
      <c r="A1011" s="7">
        <v>40991</v>
      </c>
      <c r="B1011" s="33" t="s">
        <v>899</v>
      </c>
      <c r="C1011" s="33">
        <v>35</v>
      </c>
      <c r="D1011" s="20">
        <v>586</v>
      </c>
      <c r="E1011" s="20" t="s">
        <v>18</v>
      </c>
    </row>
    <row r="1012">
      <c r="A1012" s="7">
        <v>40991</v>
      </c>
      <c r="B1012" s="33" t="s">
        <v>900</v>
      </c>
      <c r="C1012" s="33">
        <v>25</v>
      </c>
      <c r="D1012" s="20">
        <v>581</v>
      </c>
      <c r="E1012" s="20" t="s">
        <v>18</v>
      </c>
    </row>
    <row r="1013">
      <c r="A1013" s="7">
        <v>40991</v>
      </c>
      <c r="B1013" s="33" t="s">
        <v>901</v>
      </c>
      <c r="C1013" s="33">
        <v>25</v>
      </c>
      <c r="D1013" s="20">
        <v>586</v>
      </c>
      <c r="E1013" s="20" t="s">
        <v>18</v>
      </c>
    </row>
    <row r="1014">
      <c r="A1014" s="7">
        <v>40991</v>
      </c>
      <c r="B1014" s="33" t="s">
        <v>902</v>
      </c>
      <c r="C1014" s="33">
        <v>25</v>
      </c>
      <c r="D1014" s="20">
        <v>586</v>
      </c>
      <c r="E1014" s="20" t="s">
        <v>18</v>
      </c>
    </row>
    <row r="1015">
      <c r="A1015" s="7">
        <v>40991</v>
      </c>
      <c r="B1015" s="33" t="s">
        <v>903</v>
      </c>
      <c r="C1015" s="33">
        <v>10</v>
      </c>
      <c r="D1015" s="20">
        <v>503</v>
      </c>
      <c r="E1015" s="20" t="s">
        <v>18</v>
      </c>
    </row>
    <row r="1016">
      <c r="A1016" s="7">
        <v>40994</v>
      </c>
      <c r="B1016" s="33" t="s">
        <v>904</v>
      </c>
      <c r="C1016" s="33">
        <v>35</v>
      </c>
      <c r="D1016" s="20">
        <v>586</v>
      </c>
      <c r="E1016" s="20" t="s">
        <v>18</v>
      </c>
    </row>
    <row r="1017">
      <c r="A1017" s="7">
        <v>40994</v>
      </c>
      <c r="B1017" s="33" t="s">
        <v>905</v>
      </c>
      <c r="C1017" s="33">
        <v>354</v>
      </c>
      <c r="D1017" s="20">
        <v>551</v>
      </c>
      <c r="E1017" s="20" t="s">
        <v>18</v>
      </c>
    </row>
    <row r="1018">
      <c r="A1018" s="7">
        <v>40994</v>
      </c>
      <c r="B1018" s="33" t="s">
        <v>906</v>
      </c>
      <c r="C1018" s="33">
        <v>35</v>
      </c>
      <c r="D1018" s="20">
        <v>586</v>
      </c>
      <c r="E1018" s="20" t="s">
        <v>18</v>
      </c>
    </row>
    <row r="1019">
      <c r="A1019" s="7">
        <v>40994</v>
      </c>
      <c r="B1019" s="33" t="s">
        <v>907</v>
      </c>
      <c r="C1019" s="33">
        <v>35</v>
      </c>
      <c r="D1019" s="20">
        <v>586</v>
      </c>
      <c r="E1019" s="20" t="s">
        <v>18</v>
      </c>
    </row>
    <row r="1020">
      <c r="A1020" s="7">
        <v>40994</v>
      </c>
      <c r="B1020" s="33" t="s">
        <v>908</v>
      </c>
      <c r="C1020" s="33">
        <v>25</v>
      </c>
      <c r="D1020" s="20">
        <v>586</v>
      </c>
      <c r="E1020" s="20" t="s">
        <v>18</v>
      </c>
    </row>
    <row r="1021">
      <c r="A1021" s="7">
        <v>40994</v>
      </c>
      <c r="B1021" s="33" t="s">
        <v>909</v>
      </c>
      <c r="C1021" s="33">
        <v>35</v>
      </c>
      <c r="D1021" s="20">
        <v>586</v>
      </c>
      <c r="E1021" s="20" t="s">
        <v>18</v>
      </c>
    </row>
    <row r="1022">
      <c r="A1022" s="7">
        <v>40994</v>
      </c>
      <c r="B1022" s="33" t="s">
        <v>910</v>
      </c>
      <c r="C1022" s="33">
        <v>25</v>
      </c>
      <c r="D1022" s="20">
        <v>586</v>
      </c>
      <c r="E1022" s="20" t="s">
        <v>18</v>
      </c>
    </row>
    <row r="1023">
      <c r="A1023" s="7">
        <v>40994</v>
      </c>
      <c r="B1023" s="33" t="s">
        <v>911</v>
      </c>
      <c r="C1023" s="33">
        <v>25</v>
      </c>
      <c r="D1023" s="20">
        <v>586</v>
      </c>
      <c r="E1023" s="20" t="s">
        <v>18</v>
      </c>
    </row>
    <row r="1024">
      <c r="A1024" s="7">
        <v>40994</v>
      </c>
      <c r="B1024" s="33" t="s">
        <v>912</v>
      </c>
      <c r="C1024" s="33">
        <v>35</v>
      </c>
      <c r="D1024" s="20">
        <v>586</v>
      </c>
      <c r="E1024" s="20" t="s">
        <v>18</v>
      </c>
    </row>
    <row r="1025">
      <c r="A1025" s="7">
        <v>40994</v>
      </c>
      <c r="B1025" s="33" t="s">
        <v>913</v>
      </c>
      <c r="C1025" s="33">
        <v>35</v>
      </c>
      <c r="D1025" s="20">
        <v>586</v>
      </c>
      <c r="E1025" s="20" t="s">
        <v>18</v>
      </c>
    </row>
    <row r="1026">
      <c r="A1026" s="7">
        <v>40994</v>
      </c>
      <c r="B1026" s="33" t="s">
        <v>914</v>
      </c>
      <c r="C1026" s="33">
        <v>-693</v>
      </c>
      <c r="D1026" s="20">
        <v>686</v>
      </c>
      <c r="E1026" s="20" t="s">
        <v>18</v>
      </c>
    </row>
    <row r="1027">
      <c r="A1027" s="7">
        <v>40994</v>
      </c>
      <c r="B1027" s="33" t="s">
        <v>915</v>
      </c>
      <c r="C1027" s="33">
        <v>-434.5</v>
      </c>
      <c r="D1027" s="20">
        <v>608</v>
      </c>
      <c r="E1027" s="20" t="s">
        <v>18</v>
      </c>
    </row>
    <row r="1028">
      <c r="A1028" s="7">
        <v>40994</v>
      </c>
      <c r="B1028" s="33" t="s">
        <v>916</v>
      </c>
      <c r="C1028" s="33">
        <v>-20</v>
      </c>
      <c r="D1028" s="20">
        <v>651</v>
      </c>
      <c r="E1028" s="20" t="s">
        <v>18</v>
      </c>
    </row>
    <row r="1029">
      <c r="A1029" s="7">
        <v>40994</v>
      </c>
      <c r="B1029" s="33" t="s">
        <v>917</v>
      </c>
      <c r="C1029" s="33">
        <v>-20</v>
      </c>
      <c r="D1029" s="20">
        <v>651</v>
      </c>
      <c r="E1029" s="20" t="s">
        <v>18</v>
      </c>
    </row>
    <row r="1030">
      <c r="A1030" s="7">
        <v>40994</v>
      </c>
      <c r="B1030" s="33" t="s">
        <v>918</v>
      </c>
      <c r="C1030" s="33">
        <v>-20</v>
      </c>
      <c r="D1030" s="20">
        <v>651</v>
      </c>
      <c r="E1030" s="20" t="s">
        <v>18</v>
      </c>
    </row>
    <row r="1031">
      <c r="A1031" s="7">
        <v>40994</v>
      </c>
      <c r="B1031" s="33" t="s">
        <v>919</v>
      </c>
      <c r="C1031" s="33">
        <v>-10</v>
      </c>
      <c r="D1031" s="20">
        <v>651</v>
      </c>
      <c r="E1031" s="20" t="s">
        <v>18</v>
      </c>
    </row>
    <row r="1032">
      <c r="A1032" s="7">
        <v>40994</v>
      </c>
      <c r="B1032" s="33" t="s">
        <v>920</v>
      </c>
      <c r="C1032" s="33">
        <v>-25</v>
      </c>
      <c r="D1032" s="20">
        <v>651</v>
      </c>
      <c r="E1032" s="20" t="s">
        <v>18</v>
      </c>
    </row>
    <row r="1033">
      <c r="A1033" s="7">
        <v>40994</v>
      </c>
      <c r="B1033" s="33" t="s">
        <v>921</v>
      </c>
      <c r="C1033" s="33">
        <v>-5</v>
      </c>
      <c r="D1033" s="20">
        <v>651</v>
      </c>
      <c r="E1033" s="20" t="s">
        <v>18</v>
      </c>
    </row>
    <row r="1034">
      <c r="A1034" s="7">
        <v>40994</v>
      </c>
      <c r="B1034" s="33" t="s">
        <v>922</v>
      </c>
      <c r="C1034" s="33">
        <v>-5</v>
      </c>
      <c r="D1034" s="20">
        <v>651</v>
      </c>
      <c r="E1034" s="20" t="s">
        <v>18</v>
      </c>
    </row>
    <row r="1035">
      <c r="A1035" s="7">
        <v>40994</v>
      </c>
      <c r="B1035" s="33" t="s">
        <v>923</v>
      </c>
      <c r="C1035" s="33">
        <v>25</v>
      </c>
      <c r="D1035" s="20">
        <v>586</v>
      </c>
      <c r="E1035" s="20" t="s">
        <v>18</v>
      </c>
    </row>
    <row r="1036">
      <c r="A1036" s="7">
        <v>40994</v>
      </c>
      <c r="B1036" s="33" t="s">
        <v>924</v>
      </c>
      <c r="C1036" s="33">
        <v>25</v>
      </c>
      <c r="D1036" s="20">
        <v>586</v>
      </c>
      <c r="E1036" s="20" t="s">
        <v>18</v>
      </c>
    </row>
    <row r="1037">
      <c r="A1037" s="7">
        <v>40994</v>
      </c>
      <c r="B1037" s="33" t="s">
        <v>925</v>
      </c>
      <c r="C1037" s="33">
        <v>10</v>
      </c>
      <c r="D1037" s="20">
        <v>503</v>
      </c>
      <c r="E1037" s="20" t="s">
        <v>18</v>
      </c>
    </row>
    <row r="1038">
      <c r="A1038" s="7">
        <v>40994</v>
      </c>
      <c r="B1038" s="33" t="s">
        <v>926</v>
      </c>
      <c r="C1038" s="33">
        <v>10</v>
      </c>
      <c r="D1038" s="20">
        <v>503</v>
      </c>
      <c r="E1038" s="20" t="s">
        <v>18</v>
      </c>
    </row>
    <row r="1039">
      <c r="A1039" s="7">
        <v>40994</v>
      </c>
      <c r="B1039" s="33" t="s">
        <v>927</v>
      </c>
      <c r="C1039" s="33">
        <v>25</v>
      </c>
      <c r="D1039" s="20">
        <v>586</v>
      </c>
      <c r="E1039" s="20" t="s">
        <v>18</v>
      </c>
    </row>
    <row r="1040">
      <c r="A1040" s="7">
        <v>40994</v>
      </c>
      <c r="B1040" s="33" t="s">
        <v>928</v>
      </c>
      <c r="C1040" s="33">
        <v>25</v>
      </c>
      <c r="D1040" s="20">
        <v>586</v>
      </c>
      <c r="E1040" s="20" t="s">
        <v>18</v>
      </c>
    </row>
    <row r="1041">
      <c r="A1041" s="7">
        <v>40994</v>
      </c>
      <c r="B1041" s="33" t="s">
        <v>929</v>
      </c>
      <c r="C1041" s="33">
        <v>35</v>
      </c>
      <c r="D1041" s="20">
        <v>586</v>
      </c>
      <c r="E1041" s="20" t="s">
        <v>18</v>
      </c>
    </row>
    <row r="1042">
      <c r="A1042" s="7">
        <v>40994</v>
      </c>
      <c r="B1042" s="33" t="s">
        <v>930</v>
      </c>
      <c r="C1042" s="33">
        <v>70</v>
      </c>
      <c r="D1042" s="20">
        <v>586</v>
      </c>
      <c r="E1042" s="20" t="s">
        <v>18</v>
      </c>
    </row>
    <row r="1043">
      <c r="A1043" s="7">
        <v>40995</v>
      </c>
      <c r="B1043" s="33" t="s">
        <v>931</v>
      </c>
      <c r="C1043" s="33">
        <v>10</v>
      </c>
      <c r="D1043" s="20">
        <v>503</v>
      </c>
      <c r="E1043" s="20" t="s">
        <v>18</v>
      </c>
    </row>
    <row r="1044">
      <c r="A1044" s="7">
        <v>40995</v>
      </c>
      <c r="B1044" s="33" t="s">
        <v>932</v>
      </c>
      <c r="C1044" s="33">
        <v>25</v>
      </c>
      <c r="D1044" s="20">
        <v>586</v>
      </c>
      <c r="E1044" s="20" t="s">
        <v>18</v>
      </c>
    </row>
    <row r="1045">
      <c r="A1045" s="7">
        <v>40995</v>
      </c>
      <c r="B1045" s="33" t="s">
        <v>933</v>
      </c>
      <c r="C1045" s="33">
        <v>25</v>
      </c>
      <c r="D1045" s="20">
        <v>586</v>
      </c>
      <c r="E1045" s="20" t="s">
        <v>18</v>
      </c>
    </row>
    <row r="1046">
      <c r="A1046" s="7">
        <v>40995</v>
      </c>
      <c r="B1046" s="33" t="s">
        <v>934</v>
      </c>
      <c r="C1046" s="33">
        <v>10</v>
      </c>
      <c r="D1046" s="20">
        <v>503</v>
      </c>
      <c r="E1046" s="20" t="s">
        <v>18</v>
      </c>
    </row>
    <row r="1047">
      <c r="A1047" s="7">
        <v>40995</v>
      </c>
      <c r="B1047" s="33" t="s">
        <v>935</v>
      </c>
      <c r="C1047" s="33">
        <v>25</v>
      </c>
      <c r="D1047" s="20">
        <v>586</v>
      </c>
      <c r="E1047" s="20" t="s">
        <v>18</v>
      </c>
    </row>
    <row r="1048">
      <c r="A1048" s="7">
        <v>40995</v>
      </c>
      <c r="B1048" s="33" t="s">
        <v>936</v>
      </c>
      <c r="C1048" s="33">
        <v>25</v>
      </c>
      <c r="D1048" s="20">
        <v>586</v>
      </c>
      <c r="E1048" s="20" t="s">
        <v>18</v>
      </c>
    </row>
    <row r="1049">
      <c r="A1049" s="7">
        <v>40996</v>
      </c>
      <c r="B1049" s="33" t="s">
        <v>937</v>
      </c>
      <c r="C1049" s="33">
        <v>70</v>
      </c>
      <c r="D1049" s="20">
        <v>586</v>
      </c>
      <c r="E1049" s="20" t="s">
        <v>18</v>
      </c>
    </row>
    <row r="1050">
      <c r="A1050" s="7">
        <v>40996</v>
      </c>
      <c r="B1050" s="33" t="s">
        <v>938</v>
      </c>
      <c r="C1050" s="33">
        <v>25</v>
      </c>
      <c r="D1050" s="20">
        <v>586</v>
      </c>
      <c r="E1050" s="20" t="s">
        <v>18</v>
      </c>
    </row>
    <row r="1051">
      <c r="A1051" s="7">
        <v>40996</v>
      </c>
      <c r="B1051" s="33" t="s">
        <v>939</v>
      </c>
      <c r="C1051" s="33">
        <v>20</v>
      </c>
      <c r="D1051" s="20">
        <v>651</v>
      </c>
      <c r="E1051" s="20" t="s">
        <v>18</v>
      </c>
    </row>
    <row r="1052">
      <c r="A1052" s="7">
        <v>40997</v>
      </c>
      <c r="B1052" s="33" t="s">
        <v>940</v>
      </c>
      <c r="C1052" s="33">
        <v>25</v>
      </c>
      <c r="D1052" s="20">
        <v>586</v>
      </c>
      <c r="E1052" s="20" t="s">
        <v>18</v>
      </c>
    </row>
    <row r="1053">
      <c r="A1053" s="7">
        <v>40997</v>
      </c>
      <c r="B1053" s="33" t="s">
        <v>941</v>
      </c>
      <c r="C1053" s="33">
        <v>1400</v>
      </c>
      <c r="D1053" s="20">
        <v>505</v>
      </c>
      <c r="E1053" s="20" t="s">
        <v>18</v>
      </c>
    </row>
    <row r="1054">
      <c r="A1054" s="7">
        <v>40997</v>
      </c>
      <c r="B1054" s="33" t="s">
        <v>942</v>
      </c>
      <c r="C1054" s="33">
        <v>25</v>
      </c>
      <c r="D1054" s="20">
        <v>586</v>
      </c>
      <c r="E1054" s="20" t="s">
        <v>18</v>
      </c>
    </row>
    <row r="1055">
      <c r="A1055" s="7">
        <v>40997</v>
      </c>
      <c r="B1055" s="33" t="s">
        <v>943</v>
      </c>
      <c r="C1055" s="33">
        <v>35</v>
      </c>
      <c r="D1055" s="20">
        <v>586</v>
      </c>
      <c r="E1055" s="20" t="s">
        <v>18</v>
      </c>
    </row>
    <row r="1056">
      <c r="A1056" s="7">
        <v>40997</v>
      </c>
      <c r="B1056" s="33" t="s">
        <v>944</v>
      </c>
      <c r="C1056" s="33">
        <v>50</v>
      </c>
      <c r="D1056" s="20">
        <v>586</v>
      </c>
      <c r="E1056" s="20" t="s">
        <v>18</v>
      </c>
    </row>
    <row r="1057">
      <c r="A1057" s="7">
        <v>40997</v>
      </c>
      <c r="B1057" s="33" t="s">
        <v>945</v>
      </c>
      <c r="C1057" s="33">
        <v>35</v>
      </c>
      <c r="D1057" s="20">
        <v>586</v>
      </c>
      <c r="E1057" s="20" t="s">
        <v>18</v>
      </c>
    </row>
    <row r="1058">
      <c r="A1058" s="7">
        <v>40997</v>
      </c>
      <c r="B1058" s="33" t="s">
        <v>946</v>
      </c>
      <c r="C1058" s="33">
        <v>10</v>
      </c>
      <c r="D1058" s="20">
        <v>503</v>
      </c>
      <c r="E1058" s="20" t="s">
        <v>18</v>
      </c>
    </row>
    <row r="1059">
      <c r="A1059" s="7">
        <v>40998</v>
      </c>
      <c r="B1059" s="33" t="s">
        <v>947</v>
      </c>
      <c r="C1059" s="33">
        <v>110</v>
      </c>
      <c r="D1059" s="20">
        <v>503</v>
      </c>
      <c r="E1059" s="20" t="s">
        <v>18</v>
      </c>
    </row>
    <row r="1060">
      <c r="A1060" s="7">
        <v>40998</v>
      </c>
      <c r="B1060" s="33" t="s">
        <v>948</v>
      </c>
      <c r="C1060" s="33">
        <v>35</v>
      </c>
      <c r="D1060" s="20">
        <v>586</v>
      </c>
      <c r="E1060" s="20" t="s">
        <v>18</v>
      </c>
    </row>
    <row r="1061">
      <c r="A1061" s="7">
        <v>40998</v>
      </c>
      <c r="B1061" s="33" t="s">
        <v>949</v>
      </c>
      <c r="C1061" s="33">
        <v>25</v>
      </c>
      <c r="D1061" s="20">
        <v>586</v>
      </c>
      <c r="E1061" s="20" t="s">
        <v>18</v>
      </c>
    </row>
    <row r="1062">
      <c r="A1062" s="7">
        <v>40999</v>
      </c>
      <c r="B1062" s="33" t="s">
        <v>268</v>
      </c>
      <c r="C1062" s="33">
        <v>9.08</v>
      </c>
      <c r="D1062" s="20">
        <v>502</v>
      </c>
      <c r="E1062" s="20" t="s">
        <v>18</v>
      </c>
    </row>
    <row r="1063">
      <c r="A1063" s="7">
        <v>41012</v>
      </c>
      <c r="B1063" s="33" t="s">
        <v>950</v>
      </c>
      <c r="C1063" s="33">
        <v>10</v>
      </c>
      <c r="D1063" s="20">
        <v>503</v>
      </c>
      <c r="E1063" s="20" t="s">
        <v>18</v>
      </c>
    </row>
    <row r="1064">
      <c r="A1064" s="7">
        <v>41022</v>
      </c>
      <c r="B1064" s="33" t="s">
        <v>951</v>
      </c>
      <c r="C1064" s="33">
        <v>15</v>
      </c>
      <c r="D1064" s="20">
        <v>505</v>
      </c>
      <c r="E1064" s="20" t="s">
        <v>18</v>
      </c>
    </row>
    <row r="1065">
      <c r="A1065" s="7">
        <v>41047</v>
      </c>
      <c r="B1065" s="33" t="s">
        <v>952</v>
      </c>
      <c r="C1065" s="33">
        <v>2267</v>
      </c>
      <c r="D1065" s="20">
        <v>501</v>
      </c>
      <c r="E1065" s="20" t="s">
        <v>18</v>
      </c>
    </row>
    <row r="1066">
      <c r="A1066" s="7">
        <v>41050</v>
      </c>
      <c r="B1066" s="33" t="s">
        <v>953</v>
      </c>
      <c r="C1066" s="33">
        <v>10</v>
      </c>
      <c r="D1066" s="20">
        <v>503</v>
      </c>
      <c r="E1066" s="20" t="s">
        <v>18</v>
      </c>
    </row>
    <row r="1067">
      <c r="A1067" s="7">
        <v>41058</v>
      </c>
      <c r="B1067" s="33" t="s">
        <v>954</v>
      </c>
      <c r="C1067" s="33">
        <v>5</v>
      </c>
      <c r="D1067" s="20">
        <v>503</v>
      </c>
      <c r="E1067" s="20" t="s">
        <v>18</v>
      </c>
    </row>
    <row r="1068">
      <c r="A1068" s="7">
        <v>41068</v>
      </c>
      <c r="B1068" s="33" t="s">
        <v>955</v>
      </c>
      <c r="C1068" s="33">
        <v>250</v>
      </c>
      <c r="D1068">
        <v>505</v>
      </c>
      <c r="E1068" s="20" t="s">
        <v>18</v>
      </c>
    </row>
    <row r="1069">
      <c r="A1069" s="7">
        <v>41075</v>
      </c>
      <c r="B1069" s="33" t="s">
        <v>956</v>
      </c>
      <c r="C1069" s="33">
        <v>450</v>
      </c>
      <c r="D1069" s="20">
        <v>505</v>
      </c>
      <c r="E1069" s="20" t="s">
        <v>18</v>
      </c>
    </row>
    <row r="1070">
      <c r="A1070" s="7">
        <v>41078</v>
      </c>
      <c r="B1070" s="33" t="s">
        <v>957</v>
      </c>
      <c r="C1070" s="33">
        <v>15</v>
      </c>
      <c r="D1070" s="20">
        <v>506</v>
      </c>
      <c r="E1070" s="20" t="s">
        <v>18</v>
      </c>
    </row>
    <row r="1071">
      <c r="A1071" s="7">
        <v>41078</v>
      </c>
      <c r="B1071" s="33" t="s">
        <v>958</v>
      </c>
      <c r="C1071" s="33">
        <v>-6500</v>
      </c>
      <c r="D1071" s="20">
        <v>203</v>
      </c>
      <c r="E1071" s="20" t="s">
        <v>18</v>
      </c>
    </row>
    <row r="1072">
      <c r="A1072" s="7">
        <v>41078</v>
      </c>
      <c r="B1072" s="33" t="s">
        <v>959</v>
      </c>
      <c r="C1072" s="33">
        <v>-70.25</v>
      </c>
      <c r="D1072" s="20">
        <v>685</v>
      </c>
      <c r="E1072" s="20" t="s">
        <v>18</v>
      </c>
    </row>
    <row r="1073">
      <c r="A1073" s="7">
        <v>41078</v>
      </c>
      <c r="B1073" s="33" t="s">
        <v>960</v>
      </c>
      <c r="C1073" s="33">
        <v>-3400</v>
      </c>
      <c r="D1073" s="20">
        <v>607</v>
      </c>
      <c r="E1073" s="20" t="s">
        <v>18</v>
      </c>
    </row>
    <row r="1074">
      <c r="A1074" s="7">
        <v>41078</v>
      </c>
      <c r="B1074" s="33" t="s">
        <v>961</v>
      </c>
      <c r="C1074" s="33">
        <v>450</v>
      </c>
      <c r="D1074" s="20">
        <v>505</v>
      </c>
      <c r="E1074" s="20" t="s">
        <v>18</v>
      </c>
    </row>
    <row r="1075">
      <c r="A1075" s="7">
        <v>41078</v>
      </c>
      <c r="B1075" s="33" t="s">
        <v>962</v>
      </c>
      <c r="C1075" s="33">
        <v>-800</v>
      </c>
      <c r="D1075" s="20">
        <v>152</v>
      </c>
      <c r="E1075" s="20" t="s">
        <v>18</v>
      </c>
    </row>
    <row r="1076">
      <c r="A1076" s="7">
        <v>41078</v>
      </c>
      <c r="B1076" s="33" t="s">
        <v>963</v>
      </c>
      <c r="C1076" s="33">
        <v>-15</v>
      </c>
      <c r="D1076" s="20">
        <v>505</v>
      </c>
      <c r="E1076" s="20" t="s">
        <v>18</v>
      </c>
    </row>
    <row r="1077">
      <c r="A1077" s="7">
        <v>41081</v>
      </c>
      <c r="B1077" s="33" t="s">
        <v>623</v>
      </c>
      <c r="C1077" s="33">
        <v>250</v>
      </c>
      <c r="D1077">
        <v>505</v>
      </c>
      <c r="E1077" s="20" t="s">
        <v>18</v>
      </c>
    </row>
    <row r="1078">
      <c r="A1078" s="7">
        <v>41090</v>
      </c>
      <c r="B1078" s="33" t="s">
        <v>268</v>
      </c>
      <c r="C1078" s="33">
        <v>6.78</v>
      </c>
      <c r="D1078" s="20">
        <v>502</v>
      </c>
      <c r="E1078" s="20" t="s">
        <v>18</v>
      </c>
    </row>
    <row r="1079">
      <c r="A1079" s="7">
        <v>41094</v>
      </c>
      <c r="B1079" s="33" t="s">
        <v>964</v>
      </c>
      <c r="C1079" s="33">
        <v>144</v>
      </c>
      <c r="D1079" s="20">
        <v>551</v>
      </c>
      <c r="E1079" s="20" t="s">
        <v>18</v>
      </c>
    </row>
    <row r="1080">
      <c r="A1080" s="7">
        <v>41096</v>
      </c>
      <c r="B1080" s="33" t="s">
        <v>965</v>
      </c>
      <c r="C1080" s="33">
        <v>144</v>
      </c>
      <c r="D1080" s="20">
        <v>551</v>
      </c>
      <c r="E1080" s="20" t="s">
        <v>18</v>
      </c>
    </row>
    <row r="1081">
      <c r="A1081" s="7">
        <v>41096</v>
      </c>
      <c r="B1081" s="33" t="s">
        <v>966</v>
      </c>
      <c r="C1081" s="33">
        <v>450</v>
      </c>
      <c r="D1081" s="20">
        <v>507</v>
      </c>
      <c r="E1081" s="20" t="s">
        <v>18</v>
      </c>
    </row>
    <row r="1082">
      <c r="A1082" s="7">
        <v>41099</v>
      </c>
      <c r="B1082" s="33" t="s">
        <v>967</v>
      </c>
      <c r="C1082" s="33">
        <v>-300</v>
      </c>
      <c r="D1082" s="20">
        <v>607</v>
      </c>
      <c r="E1082" s="20" t="s">
        <v>18</v>
      </c>
    </row>
    <row r="1083">
      <c r="A1083" s="7">
        <v>41099</v>
      </c>
      <c r="B1083" s="33" t="s">
        <v>968</v>
      </c>
      <c r="C1083" s="33">
        <v>450</v>
      </c>
      <c r="D1083" s="20">
        <v>507</v>
      </c>
      <c r="E1083" s="20" t="s">
        <v>18</v>
      </c>
    </row>
    <row r="1084">
      <c r="A1084" s="7">
        <v>41100</v>
      </c>
      <c r="B1084" s="33" t="s">
        <v>969</v>
      </c>
      <c r="C1084" s="33">
        <v>144</v>
      </c>
      <c r="D1084" s="20">
        <v>551</v>
      </c>
      <c r="E1084" s="20" t="s">
        <v>18</v>
      </c>
    </row>
    <row r="1085">
      <c r="A1085" s="7">
        <v>41103</v>
      </c>
      <c r="B1085" s="33" t="s">
        <v>970</v>
      </c>
      <c r="C1085" s="33">
        <v>-432</v>
      </c>
      <c r="D1085" s="20">
        <v>651</v>
      </c>
      <c r="E1085" s="20" t="s">
        <v>18</v>
      </c>
    </row>
    <row r="1086">
      <c r="A1086" s="7">
        <v>41116</v>
      </c>
      <c r="B1086" s="33" t="s">
        <v>971</v>
      </c>
      <c r="C1086" s="33">
        <v>30</v>
      </c>
      <c r="D1086" s="20">
        <v>503</v>
      </c>
      <c r="E1086" s="20" t="s">
        <v>18</v>
      </c>
    </row>
    <row r="1087">
      <c r="A1087" s="7">
        <v>41117</v>
      </c>
      <c r="B1087" s="33" t="s">
        <v>972</v>
      </c>
      <c r="C1087" s="33">
        <v>10</v>
      </c>
      <c r="D1087" s="20">
        <v>503</v>
      </c>
      <c r="E1087" s="20" t="s">
        <v>18</v>
      </c>
    </row>
    <row r="1088">
      <c r="A1088" s="7">
        <v>41123</v>
      </c>
      <c r="B1088" s="15" t="s">
        <v>973</v>
      </c>
      <c r="C1088">
        <v>-400</v>
      </c>
      <c r="D1088" s="20">
        <v>607</v>
      </c>
      <c r="E1088" s="20" t="s">
        <v>18</v>
      </c>
    </row>
    <row r="1089">
      <c r="A1089" s="7">
        <v>41124</v>
      </c>
      <c r="B1089" s="15" t="s">
        <v>974</v>
      </c>
      <c r="C1089">
        <v>133.33</v>
      </c>
      <c r="D1089" s="20">
        <v>507</v>
      </c>
      <c r="E1089" s="20" t="s">
        <v>18</v>
      </c>
    </row>
    <row r="1090">
      <c r="A1090" s="7">
        <v>41128</v>
      </c>
      <c r="B1090" s="15" t="s">
        <v>975</v>
      </c>
      <c r="C1090">
        <v>134</v>
      </c>
      <c r="D1090" s="20">
        <v>507</v>
      </c>
      <c r="E1090" s="20" t="s">
        <v>18</v>
      </c>
    </row>
    <row r="1091">
      <c r="A1091" s="7">
        <v>41128</v>
      </c>
      <c r="B1091" s="15" t="s">
        <v>623</v>
      </c>
      <c r="C1091">
        <v>133.35</v>
      </c>
      <c r="D1091" s="20">
        <v>507</v>
      </c>
      <c r="E1091" s="20" t="s">
        <v>18</v>
      </c>
    </row>
    <row r="1092">
      <c r="A1092" s="7">
        <v>41130</v>
      </c>
      <c r="B1092" s="15" t="s">
        <v>976</v>
      </c>
      <c r="C1092">
        <v>-150.95</v>
      </c>
      <c r="D1092" s="20">
        <v>690</v>
      </c>
      <c r="E1092" s="20" t="s">
        <v>18</v>
      </c>
    </row>
    <row r="1093">
      <c r="A1093" s="7">
        <v>41136</v>
      </c>
      <c r="B1093" s="15" t="s">
        <v>977</v>
      </c>
      <c r="C1093">
        <v>200</v>
      </c>
      <c r="D1093" s="20">
        <v>561</v>
      </c>
      <c r="E1093" s="20" t="s">
        <v>18</v>
      </c>
    </row>
    <row r="1094">
      <c r="A1094" s="7">
        <v>41136</v>
      </c>
      <c r="B1094" s="15" t="s">
        <v>978</v>
      </c>
      <c r="C1094">
        <v>10</v>
      </c>
      <c r="D1094" s="20">
        <v>503</v>
      </c>
      <c r="E1094" s="20" t="s">
        <v>18</v>
      </c>
    </row>
    <row r="1095">
      <c r="A1095" s="7">
        <v>41141</v>
      </c>
      <c r="B1095" s="15" t="s">
        <v>979</v>
      </c>
      <c r="C1095">
        <v>120</v>
      </c>
      <c r="D1095" s="20">
        <v>561</v>
      </c>
      <c r="E1095" s="20" t="s">
        <v>18</v>
      </c>
    </row>
    <row r="1096">
      <c r="A1096" s="7">
        <v>41141</v>
      </c>
      <c r="B1096" s="15" t="s">
        <v>980</v>
      </c>
      <c r="C1096">
        <v>100</v>
      </c>
      <c r="D1096" s="20">
        <v>561</v>
      </c>
      <c r="E1096" s="20" t="s">
        <v>18</v>
      </c>
    </row>
    <row r="1097">
      <c r="A1097" s="7">
        <v>41142</v>
      </c>
      <c r="B1097" s="15" t="s">
        <v>981</v>
      </c>
      <c r="C1097">
        <v>35</v>
      </c>
      <c r="D1097" s="20">
        <v>541</v>
      </c>
      <c r="E1097" s="20" t="s">
        <v>18</v>
      </c>
    </row>
    <row r="1098">
      <c r="A1098" s="7">
        <v>41142</v>
      </c>
      <c r="B1098" s="15" t="s">
        <v>982</v>
      </c>
      <c r="C1098">
        <v>-440</v>
      </c>
      <c r="D1098" s="20">
        <v>641</v>
      </c>
      <c r="E1098" s="20" t="s">
        <v>18</v>
      </c>
    </row>
    <row r="1099">
      <c r="A1099" s="7">
        <v>41144</v>
      </c>
      <c r="B1099" s="15" t="s">
        <v>983</v>
      </c>
      <c r="C1099">
        <v>10</v>
      </c>
      <c r="D1099" s="20">
        <v>503</v>
      </c>
      <c r="E1099" s="20" t="s">
        <v>18</v>
      </c>
    </row>
    <row r="1100">
      <c r="A1100" s="7">
        <v>41144</v>
      </c>
      <c r="B1100" s="15" t="s">
        <v>984</v>
      </c>
      <c r="C1100">
        <v>10</v>
      </c>
      <c r="D1100" s="20">
        <v>503</v>
      </c>
      <c r="E1100" s="20" t="s">
        <v>18</v>
      </c>
    </row>
    <row r="1101">
      <c r="A1101" s="7">
        <v>41146</v>
      </c>
      <c r="B1101" s="15" t="s">
        <v>985</v>
      </c>
      <c r="C1101">
        <v>25</v>
      </c>
      <c r="D1101" s="20">
        <v>586</v>
      </c>
      <c r="E1101" s="20" t="s">
        <v>18</v>
      </c>
    </row>
    <row r="1102">
      <c r="A1102" s="7">
        <v>41148</v>
      </c>
      <c r="B1102" s="15" t="s">
        <v>986</v>
      </c>
      <c r="C1102">
        <v>25</v>
      </c>
      <c r="D1102" s="20">
        <v>541</v>
      </c>
      <c r="E1102" s="20" t="s">
        <v>18</v>
      </c>
    </row>
    <row r="1103">
      <c r="A1103" s="7">
        <v>41148</v>
      </c>
      <c r="B1103" s="15" t="s">
        <v>987</v>
      </c>
      <c r="C1103">
        <v>170</v>
      </c>
      <c r="D1103" s="20">
        <v>203</v>
      </c>
      <c r="E1103" s="20" t="s">
        <v>18</v>
      </c>
    </row>
    <row r="1104">
      <c r="A1104" s="7">
        <v>41148</v>
      </c>
      <c r="B1104" s="15" t="s">
        <v>988</v>
      </c>
      <c r="C1104">
        <v>220</v>
      </c>
      <c r="D1104" s="20">
        <v>561</v>
      </c>
      <c r="E1104" s="20" t="s">
        <v>18</v>
      </c>
    </row>
    <row r="1105">
      <c r="A1105" s="7">
        <v>41148</v>
      </c>
      <c r="B1105" s="15" t="s">
        <v>989</v>
      </c>
      <c r="C1105">
        <v>100</v>
      </c>
      <c r="D1105" s="20">
        <v>561</v>
      </c>
      <c r="E1105" s="20" t="s">
        <v>18</v>
      </c>
    </row>
    <row r="1106">
      <c r="A1106" s="7">
        <v>41148</v>
      </c>
      <c r="B1106" s="15" t="s">
        <v>990</v>
      </c>
      <c r="C1106">
        <v>25</v>
      </c>
      <c r="D1106" s="20">
        <v>586</v>
      </c>
      <c r="E1106" s="20" t="s">
        <v>18</v>
      </c>
    </row>
    <row r="1107">
      <c r="A1107" s="7">
        <v>41149</v>
      </c>
      <c r="B1107" s="15" t="s">
        <v>991</v>
      </c>
      <c r="C1107">
        <v>10</v>
      </c>
      <c r="D1107" s="20">
        <v>503</v>
      </c>
      <c r="E1107" s="20" t="s">
        <v>18</v>
      </c>
    </row>
    <row r="1108">
      <c r="A1108" s="7">
        <v>41149</v>
      </c>
      <c r="B1108" s="15" t="s">
        <v>992</v>
      </c>
      <c r="C1108">
        <v>10</v>
      </c>
      <c r="D1108" s="20">
        <v>503</v>
      </c>
      <c r="E1108" s="20" t="s">
        <v>18</v>
      </c>
    </row>
    <row r="1109">
      <c r="A1109" s="7">
        <v>41149</v>
      </c>
      <c r="B1109" s="15" t="s">
        <v>993</v>
      </c>
      <c r="C1109">
        <v>100</v>
      </c>
      <c r="D1109" s="20">
        <v>561</v>
      </c>
      <c r="E1109" s="20" t="s">
        <v>18</v>
      </c>
    </row>
    <row r="1110">
      <c r="A1110" s="7">
        <v>41150</v>
      </c>
      <c r="B1110" s="15" t="s">
        <v>994</v>
      </c>
      <c r="C1110">
        <v>200</v>
      </c>
      <c r="D1110" s="20">
        <v>561</v>
      </c>
      <c r="E1110" s="20" t="s">
        <v>18</v>
      </c>
    </row>
    <row r="1111">
      <c r="A1111" s="7">
        <v>41150</v>
      </c>
      <c r="B1111" s="15" t="s">
        <v>995</v>
      </c>
      <c r="C1111">
        <v>50</v>
      </c>
      <c r="D1111" s="20">
        <v>586</v>
      </c>
      <c r="E1111" s="20" t="s">
        <v>18</v>
      </c>
    </row>
    <row r="1112">
      <c r="A1112" s="7">
        <v>41150</v>
      </c>
      <c r="B1112" s="15" t="s">
        <v>996</v>
      </c>
      <c r="C1112">
        <v>100</v>
      </c>
      <c r="D1112" s="20">
        <v>561</v>
      </c>
      <c r="E1112" s="20" t="s">
        <v>18</v>
      </c>
    </row>
    <row r="1113">
      <c r="A1113" s="7">
        <v>41151</v>
      </c>
      <c r="B1113" s="15" t="s">
        <v>997</v>
      </c>
      <c r="C1113">
        <v>10</v>
      </c>
      <c r="D1113" s="20">
        <v>503</v>
      </c>
      <c r="E1113" s="20" t="s">
        <v>18</v>
      </c>
    </row>
    <row r="1114">
      <c r="A1114" s="7">
        <v>41151</v>
      </c>
      <c r="B1114" s="15" t="s">
        <v>998</v>
      </c>
      <c r="C1114">
        <v>35</v>
      </c>
      <c r="D1114" s="20">
        <v>586</v>
      </c>
      <c r="E1114" s="20" t="s">
        <v>18</v>
      </c>
    </row>
    <row r="1115">
      <c r="A1115" s="7">
        <v>41151</v>
      </c>
      <c r="B1115" s="15" t="s">
        <v>999</v>
      </c>
      <c r="C1115">
        <v>35</v>
      </c>
      <c r="D1115" s="20">
        <v>586</v>
      </c>
      <c r="E1115" s="20" t="s">
        <v>18</v>
      </c>
    </row>
    <row r="1116">
      <c r="A1116" s="7">
        <v>41151</v>
      </c>
      <c r="B1116" s="15" t="s">
        <v>1000</v>
      </c>
      <c r="C1116">
        <v>25</v>
      </c>
      <c r="D1116" s="20">
        <v>586</v>
      </c>
      <c r="E1116" s="20" t="s">
        <v>18</v>
      </c>
    </row>
    <row r="1117">
      <c r="A1117" s="7">
        <v>41152</v>
      </c>
      <c r="B1117" s="15" t="s">
        <v>1001</v>
      </c>
      <c r="C1117">
        <v>100</v>
      </c>
      <c r="D1117" s="20">
        <v>561</v>
      </c>
      <c r="E1117" s="20" t="s">
        <v>18</v>
      </c>
    </row>
    <row r="1118">
      <c r="A1118" s="7">
        <v>41155</v>
      </c>
      <c r="B1118" s="15" t="s">
        <v>1002</v>
      </c>
      <c r="C1118">
        <v>25</v>
      </c>
      <c r="D1118" s="20">
        <v>586</v>
      </c>
      <c r="E1118" s="20" t="s">
        <v>18</v>
      </c>
    </row>
    <row r="1119">
      <c r="A1119" s="7">
        <v>41155</v>
      </c>
      <c r="B1119" s="15" t="s">
        <v>1003</v>
      </c>
      <c r="C1119">
        <v>-693</v>
      </c>
      <c r="D1119" s="20">
        <v>686</v>
      </c>
      <c r="E1119" s="20" t="s">
        <v>18</v>
      </c>
    </row>
    <row r="1120">
      <c r="A1120" s="7">
        <v>41156</v>
      </c>
      <c r="B1120" s="15" t="s">
        <v>1004</v>
      </c>
      <c r="C1120">
        <v>25</v>
      </c>
      <c r="D1120" s="20">
        <v>586</v>
      </c>
      <c r="E1120" s="20" t="s">
        <v>18</v>
      </c>
    </row>
    <row r="1121">
      <c r="A1121" s="7">
        <v>41156</v>
      </c>
      <c r="B1121" s="15" t="s">
        <v>910</v>
      </c>
      <c r="C1121">
        <v>125</v>
      </c>
      <c r="D1121" s="20">
        <v>561</v>
      </c>
      <c r="E1121" s="20" t="s">
        <v>18</v>
      </c>
    </row>
    <row r="1122">
      <c r="A1122" s="7">
        <v>41156</v>
      </c>
      <c r="B1122" s="15" t="s">
        <v>1005</v>
      </c>
      <c r="C1122">
        <v>35</v>
      </c>
      <c r="D1122" s="20">
        <v>586</v>
      </c>
      <c r="E1122" s="20" t="s">
        <v>18</v>
      </c>
    </row>
    <row r="1123">
      <c r="A1123" s="7">
        <v>41156</v>
      </c>
      <c r="B1123" s="15" t="s">
        <v>1006</v>
      </c>
      <c r="C1123">
        <v>25</v>
      </c>
      <c r="D1123" s="20">
        <v>586</v>
      </c>
      <c r="E1123" s="20" t="s">
        <v>18</v>
      </c>
    </row>
    <row r="1124">
      <c r="A1124" s="7">
        <v>41156</v>
      </c>
      <c r="B1124" s="15" t="s">
        <v>1007</v>
      </c>
      <c r="C1124">
        <v>25</v>
      </c>
      <c r="D1124" s="20">
        <v>586</v>
      </c>
      <c r="E1124" s="20" t="s">
        <v>18</v>
      </c>
    </row>
    <row r="1125">
      <c r="A1125" s="7">
        <v>41157</v>
      </c>
      <c r="B1125" s="15" t="s">
        <v>1008</v>
      </c>
      <c r="C1125">
        <v>35</v>
      </c>
      <c r="D1125" s="20">
        <v>586</v>
      </c>
      <c r="E1125" s="20" t="s">
        <v>18</v>
      </c>
    </row>
    <row r="1126">
      <c r="A1126" s="7">
        <v>41157</v>
      </c>
      <c r="B1126" s="15" t="s">
        <v>1009</v>
      </c>
      <c r="C1126">
        <v>35</v>
      </c>
      <c r="D1126" s="20">
        <v>586</v>
      </c>
      <c r="E1126" s="20" t="s">
        <v>18</v>
      </c>
    </row>
    <row r="1127">
      <c r="A1127" s="7">
        <v>41157</v>
      </c>
      <c r="B1127" s="15" t="s">
        <v>1010</v>
      </c>
      <c r="C1127">
        <v>25</v>
      </c>
      <c r="D1127" s="20">
        <v>586</v>
      </c>
      <c r="E1127" s="20" t="s">
        <v>18</v>
      </c>
    </row>
    <row r="1128">
      <c r="A1128" s="7">
        <v>41157</v>
      </c>
      <c r="B1128" s="15" t="s">
        <v>1011</v>
      </c>
      <c r="C1128">
        <v>240</v>
      </c>
      <c r="D1128" s="20">
        <v>561</v>
      </c>
      <c r="E1128" s="20" t="s">
        <v>18</v>
      </c>
    </row>
    <row r="1129">
      <c r="A1129" s="7">
        <v>41158</v>
      </c>
      <c r="B1129" s="15" t="s">
        <v>1012</v>
      </c>
      <c r="C1129">
        <v>25</v>
      </c>
      <c r="D1129" s="20">
        <v>586</v>
      </c>
      <c r="E1129" s="20" t="s">
        <v>18</v>
      </c>
    </row>
    <row r="1130">
      <c r="A1130" s="7">
        <v>41158</v>
      </c>
      <c r="B1130" s="15" t="s">
        <v>1013</v>
      </c>
      <c r="C1130">
        <v>110</v>
      </c>
      <c r="D1130" s="20">
        <v>561</v>
      </c>
      <c r="E1130" s="20" t="s">
        <v>18</v>
      </c>
    </row>
    <row r="1131">
      <c r="A1131" s="7">
        <v>41158</v>
      </c>
      <c r="B1131" s="15" t="s">
        <v>1014</v>
      </c>
      <c r="C1131">
        <v>35</v>
      </c>
      <c r="D1131" s="20">
        <v>586</v>
      </c>
      <c r="E1131" s="20" t="s">
        <v>18</v>
      </c>
    </row>
    <row r="1132">
      <c r="A1132" s="7">
        <v>41158</v>
      </c>
      <c r="B1132" s="15" t="s">
        <v>1015</v>
      </c>
      <c r="C1132">
        <v>35</v>
      </c>
      <c r="D1132" s="20">
        <v>586</v>
      </c>
      <c r="E1132" s="20" t="s">
        <v>18</v>
      </c>
    </row>
    <row r="1133">
      <c r="A1133" s="7">
        <v>41158</v>
      </c>
      <c r="B1133" s="15" t="s">
        <v>1016</v>
      </c>
      <c r="C1133">
        <v>25</v>
      </c>
      <c r="D1133" s="20">
        <v>586</v>
      </c>
      <c r="E1133" s="20" t="s">
        <v>18</v>
      </c>
    </row>
    <row r="1134">
      <c r="A1134" s="7">
        <v>41158</v>
      </c>
      <c r="B1134" s="15" t="s">
        <v>1017</v>
      </c>
      <c r="C1134">
        <v>10</v>
      </c>
      <c r="D1134" s="20">
        <v>503</v>
      </c>
      <c r="E1134" s="20" t="s">
        <v>18</v>
      </c>
    </row>
    <row r="1135">
      <c r="A1135" s="7">
        <v>41158</v>
      </c>
      <c r="B1135" s="15" t="s">
        <v>1018</v>
      </c>
      <c r="C1135">
        <v>100</v>
      </c>
      <c r="D1135" s="20">
        <v>561</v>
      </c>
      <c r="E1135" s="20" t="s">
        <v>18</v>
      </c>
    </row>
    <row r="1136">
      <c r="A1136" s="7">
        <v>41158</v>
      </c>
      <c r="B1136" s="15" t="s">
        <v>1019</v>
      </c>
      <c r="C1136">
        <v>25</v>
      </c>
      <c r="D1136" s="20">
        <v>586</v>
      </c>
      <c r="E1136" s="20" t="s">
        <v>18</v>
      </c>
    </row>
    <row r="1137">
      <c r="A1137" s="7">
        <v>41158</v>
      </c>
      <c r="B1137" s="15" t="s">
        <v>1020</v>
      </c>
      <c r="C1137">
        <v>35</v>
      </c>
      <c r="D1137" s="20">
        <v>586</v>
      </c>
      <c r="E1137" s="20" t="s">
        <v>18</v>
      </c>
    </row>
    <row r="1138">
      <c r="A1138" s="7">
        <v>41158</v>
      </c>
      <c r="B1138" s="15" t="s">
        <v>1021</v>
      </c>
      <c r="C1138">
        <v>25</v>
      </c>
      <c r="D1138" s="20">
        <v>586</v>
      </c>
      <c r="E1138" s="20" t="s">
        <v>18</v>
      </c>
    </row>
    <row r="1139">
      <c r="A1139" s="7">
        <v>41158</v>
      </c>
      <c r="B1139" s="15" t="s">
        <v>1022</v>
      </c>
      <c r="C1139">
        <v>110</v>
      </c>
      <c r="D1139" s="20">
        <v>561</v>
      </c>
      <c r="E1139" s="20" t="s">
        <v>18</v>
      </c>
    </row>
    <row r="1140">
      <c r="A1140" s="7">
        <v>41158</v>
      </c>
      <c r="B1140" s="15" t="s">
        <v>1023</v>
      </c>
      <c r="C1140">
        <v>25</v>
      </c>
      <c r="D1140" s="20">
        <v>586</v>
      </c>
      <c r="E1140" s="20" t="s">
        <v>18</v>
      </c>
    </row>
    <row r="1141">
      <c r="A1141" s="7">
        <v>41158</v>
      </c>
      <c r="B1141" s="15" t="s">
        <v>1024</v>
      </c>
      <c r="C1141">
        <v>10</v>
      </c>
      <c r="D1141" s="20">
        <v>503</v>
      </c>
      <c r="E1141" s="20" t="s">
        <v>18</v>
      </c>
    </row>
    <row r="1142">
      <c r="A1142" s="7">
        <v>41158</v>
      </c>
      <c r="B1142" s="15" t="s">
        <v>1025</v>
      </c>
      <c r="C1142">
        <v>110</v>
      </c>
      <c r="D1142" s="20">
        <v>561</v>
      </c>
      <c r="E1142" s="20" t="s">
        <v>18</v>
      </c>
    </row>
    <row r="1143">
      <c r="A1143" s="7">
        <v>41158</v>
      </c>
      <c r="B1143" s="15" t="s">
        <v>1026</v>
      </c>
      <c r="C1143">
        <v>35</v>
      </c>
      <c r="D1143" s="20">
        <v>586</v>
      </c>
      <c r="E1143" s="20" t="s">
        <v>18</v>
      </c>
    </row>
    <row r="1144">
      <c r="A1144" s="7">
        <v>41158</v>
      </c>
      <c r="B1144" s="15" t="s">
        <v>1027</v>
      </c>
      <c r="C1144">
        <v>35</v>
      </c>
      <c r="D1144" s="20">
        <v>586</v>
      </c>
      <c r="E1144" s="20" t="s">
        <v>18</v>
      </c>
    </row>
    <row r="1145">
      <c r="A1145" s="7">
        <v>41158</v>
      </c>
      <c r="B1145" s="15" t="s">
        <v>1028</v>
      </c>
      <c r="C1145">
        <v>110</v>
      </c>
      <c r="D1145" s="20">
        <v>561</v>
      </c>
      <c r="E1145" s="20" t="s">
        <v>18</v>
      </c>
    </row>
    <row r="1146">
      <c r="A1146" s="7">
        <v>41159</v>
      </c>
      <c r="B1146" s="15" t="s">
        <v>1029</v>
      </c>
      <c r="C1146">
        <v>30</v>
      </c>
      <c r="D1146" s="20">
        <v>584</v>
      </c>
      <c r="E1146" s="20" t="s">
        <v>18</v>
      </c>
    </row>
    <row r="1147">
      <c r="A1147" s="7">
        <v>41159</v>
      </c>
      <c r="B1147" s="15" t="s">
        <v>1030</v>
      </c>
      <c r="C1147">
        <v>25</v>
      </c>
      <c r="D1147" s="20">
        <v>586</v>
      </c>
      <c r="E1147" s="20" t="s">
        <v>18</v>
      </c>
    </row>
    <row r="1148">
      <c r="A1148" s="7">
        <v>41159</v>
      </c>
      <c r="B1148" s="15" t="s">
        <v>1031</v>
      </c>
      <c r="C1148">
        <v>120</v>
      </c>
      <c r="D1148" s="20">
        <v>561</v>
      </c>
      <c r="E1148" s="20" t="s">
        <v>18</v>
      </c>
    </row>
    <row r="1149">
      <c r="A1149" s="7">
        <v>41162</v>
      </c>
      <c r="B1149" s="15" t="s">
        <v>1032</v>
      </c>
      <c r="C1149">
        <v>110</v>
      </c>
      <c r="D1149" s="20">
        <v>561</v>
      </c>
      <c r="E1149" s="20" t="s">
        <v>18</v>
      </c>
    </row>
    <row r="1150">
      <c r="A1150" s="7">
        <v>41162</v>
      </c>
      <c r="B1150" s="15" t="s">
        <v>1033</v>
      </c>
      <c r="C1150">
        <v>370</v>
      </c>
      <c r="D1150" s="20">
        <v>586</v>
      </c>
      <c r="E1150" s="20" t="s">
        <v>18</v>
      </c>
    </row>
    <row r="1151">
      <c r="A1151" s="7">
        <v>41162</v>
      </c>
      <c r="B1151" s="15" t="s">
        <v>1034</v>
      </c>
      <c r="C1151">
        <v>120</v>
      </c>
      <c r="D1151" s="20">
        <v>561</v>
      </c>
      <c r="E1151" s="20" t="s">
        <v>18</v>
      </c>
    </row>
    <row r="1152">
      <c r="A1152" s="7">
        <v>41162</v>
      </c>
      <c r="B1152" s="15" t="s">
        <v>1035</v>
      </c>
      <c r="C1152">
        <v>100</v>
      </c>
      <c r="D1152" s="20">
        <v>561</v>
      </c>
      <c r="E1152" s="20" t="s">
        <v>18</v>
      </c>
    </row>
    <row r="1153">
      <c r="A1153" s="7">
        <v>41162</v>
      </c>
      <c r="B1153" s="15" t="s">
        <v>1036</v>
      </c>
      <c r="C1153">
        <v>100</v>
      </c>
      <c r="D1153" s="20">
        <v>561</v>
      </c>
      <c r="E1153" s="20" t="s">
        <v>18</v>
      </c>
    </row>
    <row r="1154">
      <c r="A1154" s="7">
        <v>41163</v>
      </c>
      <c r="B1154" s="15" t="s">
        <v>1037</v>
      </c>
      <c r="C1154">
        <v>120</v>
      </c>
      <c r="D1154" s="20">
        <v>561</v>
      </c>
      <c r="E1154" s="20" t="s">
        <v>18</v>
      </c>
    </row>
    <row r="1155">
      <c r="A1155" s="7">
        <v>41163</v>
      </c>
      <c r="B1155" s="15" t="s">
        <v>1038</v>
      </c>
      <c r="C1155">
        <v>100</v>
      </c>
      <c r="D1155" s="20">
        <v>561</v>
      </c>
      <c r="E1155" s="20" t="s">
        <v>18</v>
      </c>
    </row>
    <row r="1156">
      <c r="A1156" s="7">
        <v>41163</v>
      </c>
      <c r="B1156" s="15" t="s">
        <v>1039</v>
      </c>
      <c r="C1156">
        <v>120</v>
      </c>
      <c r="D1156" s="20">
        <v>561</v>
      </c>
      <c r="E1156" t="s">
        <v>18</v>
      </c>
    </row>
    <row r="1157">
      <c r="A1157" s="7">
        <v>41163</v>
      </c>
      <c r="B1157" s="15" t="s">
        <v>1040</v>
      </c>
      <c r="C1157">
        <v>120</v>
      </c>
      <c r="D1157" s="20">
        <v>561</v>
      </c>
      <c r="E1157" t="s">
        <v>18</v>
      </c>
    </row>
    <row r="1158">
      <c r="A1158" s="7">
        <v>41163</v>
      </c>
      <c r="B1158" s="15" t="s">
        <v>1041</v>
      </c>
      <c r="C1158">
        <v>10</v>
      </c>
      <c r="D1158" s="20">
        <v>503</v>
      </c>
      <c r="E1158" t="s">
        <v>18</v>
      </c>
    </row>
    <row r="1159">
      <c r="A1159" s="7">
        <v>41163</v>
      </c>
      <c r="B1159" s="15" t="s">
        <v>1042</v>
      </c>
      <c r="C1159">
        <v>120</v>
      </c>
      <c r="D1159" s="20">
        <v>561</v>
      </c>
      <c r="E1159" t="s">
        <v>18</v>
      </c>
    </row>
    <row r="1160">
      <c r="A1160" s="7">
        <v>41163</v>
      </c>
      <c r="B1160" s="15" t="s">
        <v>1043</v>
      </c>
      <c r="C1160">
        <v>120</v>
      </c>
      <c r="D1160" s="20">
        <v>561</v>
      </c>
      <c r="E1160" t="s">
        <v>18</v>
      </c>
    </row>
    <row r="1161">
      <c r="A1161" s="7">
        <v>41163</v>
      </c>
      <c r="B1161" s="15" t="s">
        <v>1044</v>
      </c>
      <c r="C1161">
        <v>120</v>
      </c>
      <c r="D1161" s="20">
        <v>561</v>
      </c>
      <c r="E1161" t="s">
        <v>18</v>
      </c>
    </row>
    <row r="1162">
      <c r="A1162" s="7">
        <v>41163</v>
      </c>
      <c r="B1162" s="15" t="s">
        <v>1045</v>
      </c>
      <c r="C1162">
        <v>10</v>
      </c>
      <c r="D1162" s="20">
        <v>503</v>
      </c>
      <c r="E1162" t="s">
        <v>18</v>
      </c>
    </row>
    <row r="1163">
      <c r="A1163" s="7">
        <v>41164</v>
      </c>
      <c r="B1163" s="15" t="s">
        <v>1046</v>
      </c>
      <c r="C1163">
        <v>120</v>
      </c>
      <c r="D1163" s="20">
        <v>561</v>
      </c>
      <c r="E1163" t="s">
        <v>18</v>
      </c>
    </row>
    <row r="1164">
      <c r="A1164" s="7">
        <v>41164</v>
      </c>
      <c r="B1164" s="15" t="s">
        <v>1047</v>
      </c>
      <c r="C1164">
        <v>230</v>
      </c>
      <c r="D1164" s="20">
        <v>561</v>
      </c>
      <c r="E1164" t="s">
        <v>18</v>
      </c>
    </row>
    <row r="1165">
      <c r="A1165" s="7">
        <v>41164</v>
      </c>
      <c r="B1165" s="15" t="s">
        <v>1048</v>
      </c>
      <c r="C1165">
        <v>110</v>
      </c>
      <c r="D1165" s="20">
        <v>561</v>
      </c>
      <c r="E1165" t="s">
        <v>18</v>
      </c>
    </row>
    <row r="1166">
      <c r="A1166" s="7">
        <v>41164</v>
      </c>
      <c r="B1166" s="15" t="s">
        <v>1049</v>
      </c>
      <c r="C1166">
        <v>120</v>
      </c>
      <c r="D1166" s="20">
        <v>561</v>
      </c>
      <c r="E1166" t="s">
        <v>18</v>
      </c>
    </row>
    <row r="1167">
      <c r="A1167" s="7">
        <v>41164</v>
      </c>
      <c r="B1167" s="15" t="s">
        <v>1050</v>
      </c>
      <c r="C1167">
        <v>125</v>
      </c>
      <c r="D1167" s="20">
        <v>561</v>
      </c>
      <c r="E1167" t="s">
        <v>18</v>
      </c>
    </row>
    <row r="1168">
      <c r="A1168" s="7">
        <v>41164</v>
      </c>
      <c r="B1168" s="15" t="s">
        <v>1051</v>
      </c>
      <c r="C1168">
        <v>10</v>
      </c>
      <c r="D1168" s="20">
        <v>561</v>
      </c>
      <c r="E1168" t="s">
        <v>18</v>
      </c>
    </row>
    <row r="1169">
      <c r="A1169" s="7">
        <v>41164</v>
      </c>
      <c r="B1169" s="15" t="s">
        <v>1052</v>
      </c>
      <c r="C1169">
        <v>100</v>
      </c>
      <c r="D1169" s="20">
        <v>561</v>
      </c>
      <c r="E1169" t="s">
        <v>18</v>
      </c>
    </row>
    <row r="1170">
      <c r="A1170" s="7">
        <v>41164</v>
      </c>
      <c r="B1170" s="15" t="s">
        <v>1053</v>
      </c>
      <c r="C1170">
        <v>100</v>
      </c>
      <c r="D1170" s="20">
        <v>561</v>
      </c>
      <c r="E1170" t="s">
        <v>18</v>
      </c>
    </row>
    <row r="1171">
      <c r="A1171" s="7">
        <v>41164</v>
      </c>
      <c r="B1171" s="15" t="s">
        <v>1054</v>
      </c>
      <c r="C1171">
        <v>25</v>
      </c>
      <c r="D1171" s="20">
        <v>584</v>
      </c>
      <c r="E1171" t="s">
        <v>18</v>
      </c>
    </row>
    <row r="1172">
      <c r="A1172" s="7">
        <v>41164</v>
      </c>
      <c r="B1172" s="15" t="s">
        <v>1055</v>
      </c>
      <c r="C1172">
        <v>100</v>
      </c>
      <c r="D1172" s="20">
        <v>561</v>
      </c>
      <c r="E1172" t="s">
        <v>18</v>
      </c>
    </row>
    <row r="1173">
      <c r="A1173" s="7">
        <v>41165</v>
      </c>
      <c r="B1173" s="15" t="s">
        <v>1056</v>
      </c>
      <c r="C1173">
        <v>100</v>
      </c>
      <c r="D1173" s="20">
        <v>561</v>
      </c>
      <c r="E1173" t="s">
        <v>18</v>
      </c>
    </row>
    <row r="1174">
      <c r="A1174" s="7">
        <v>41165</v>
      </c>
      <c r="B1174" s="15" t="s">
        <v>1057</v>
      </c>
      <c r="C1174">
        <v>100</v>
      </c>
      <c r="D1174" s="20">
        <v>561</v>
      </c>
      <c r="E1174" t="s">
        <v>18</v>
      </c>
    </row>
    <row r="1175">
      <c r="A1175" s="7">
        <v>41165</v>
      </c>
      <c r="B1175" s="15" t="s">
        <v>1058</v>
      </c>
      <c r="C1175">
        <v>220</v>
      </c>
      <c r="D1175" s="20">
        <v>561</v>
      </c>
      <c r="E1175" t="s">
        <v>18</v>
      </c>
    </row>
    <row r="1176">
      <c r="A1176" s="7">
        <v>41165</v>
      </c>
      <c r="B1176" s="15" t="s">
        <v>1059</v>
      </c>
      <c r="C1176">
        <v>20</v>
      </c>
      <c r="D1176" s="20">
        <v>584</v>
      </c>
      <c r="E1176" t="s">
        <v>18</v>
      </c>
    </row>
    <row r="1177">
      <c r="A1177" s="7">
        <v>41165</v>
      </c>
      <c r="B1177" s="15" t="s">
        <v>1060</v>
      </c>
      <c r="C1177">
        <v>110</v>
      </c>
      <c r="D1177" s="20">
        <v>561</v>
      </c>
      <c r="E1177" t="s">
        <v>18</v>
      </c>
    </row>
    <row r="1178">
      <c r="A1178" s="7">
        <v>41165</v>
      </c>
      <c r="B1178" s="15" t="s">
        <v>1061</v>
      </c>
      <c r="C1178">
        <v>120</v>
      </c>
      <c r="D1178" s="20">
        <v>561</v>
      </c>
      <c r="E1178" t="s">
        <v>18</v>
      </c>
    </row>
    <row r="1179">
      <c r="A1179" s="7">
        <v>41165</v>
      </c>
      <c r="B1179" s="15" t="s">
        <v>1062</v>
      </c>
      <c r="C1179">
        <v>110</v>
      </c>
      <c r="D1179" s="20">
        <v>561</v>
      </c>
      <c r="E1179" t="s">
        <v>18</v>
      </c>
    </row>
    <row r="1180">
      <c r="A1180" s="7">
        <v>41165</v>
      </c>
      <c r="B1180" s="15" t="s">
        <v>1063</v>
      </c>
      <c r="C1180">
        <v>120</v>
      </c>
      <c r="D1180" s="20">
        <v>561</v>
      </c>
      <c r="E1180" t="s">
        <v>18</v>
      </c>
    </row>
    <row r="1181">
      <c r="A1181" s="7">
        <v>41165</v>
      </c>
      <c r="B1181" s="15" t="s">
        <v>1064</v>
      </c>
      <c r="C1181">
        <v>220</v>
      </c>
      <c r="D1181" s="20">
        <v>561</v>
      </c>
      <c r="E1181" t="s">
        <v>18</v>
      </c>
    </row>
    <row r="1182">
      <c r="A1182" s="7">
        <v>41165</v>
      </c>
      <c r="B1182" s="15" t="s">
        <v>1065</v>
      </c>
      <c r="C1182">
        <v>220</v>
      </c>
      <c r="D1182" s="20">
        <v>561</v>
      </c>
      <c r="E1182" t="s">
        <v>18</v>
      </c>
    </row>
    <row r="1183">
      <c r="A1183" s="7">
        <v>41165</v>
      </c>
      <c r="B1183" s="15" t="s">
        <v>1066</v>
      </c>
      <c r="C1183">
        <v>100</v>
      </c>
      <c r="D1183" s="20">
        <v>561</v>
      </c>
      <c r="E1183" t="s">
        <v>18</v>
      </c>
    </row>
    <row r="1184">
      <c r="A1184" s="7">
        <v>41165</v>
      </c>
      <c r="B1184" s="15" t="s">
        <v>1067</v>
      </c>
      <c r="C1184">
        <v>100</v>
      </c>
      <c r="D1184" s="20">
        <v>561</v>
      </c>
      <c r="E1184" t="s">
        <v>18</v>
      </c>
    </row>
    <row r="1185">
      <c r="A1185" s="7">
        <v>41165</v>
      </c>
      <c r="B1185" s="15" t="s">
        <v>1068</v>
      </c>
      <c r="C1185">
        <v>110</v>
      </c>
      <c r="D1185" s="20">
        <v>561</v>
      </c>
      <c r="E1185" t="s">
        <v>18</v>
      </c>
    </row>
    <row r="1186">
      <c r="A1186" s="7">
        <v>41165</v>
      </c>
      <c r="B1186" s="15" t="s">
        <v>1069</v>
      </c>
      <c r="C1186">
        <v>120</v>
      </c>
      <c r="D1186" s="20">
        <v>561</v>
      </c>
      <c r="E1186" t="s">
        <v>18</v>
      </c>
    </row>
    <row r="1187">
      <c r="A1187" s="7">
        <v>41166</v>
      </c>
      <c r="B1187" s="15" t="s">
        <v>1070</v>
      </c>
      <c r="C1187">
        <v>110</v>
      </c>
      <c r="D1187" s="20">
        <v>561</v>
      </c>
      <c r="E1187" t="s">
        <v>18</v>
      </c>
    </row>
    <row r="1188">
      <c r="A1188" s="7">
        <v>41166</v>
      </c>
      <c r="B1188" s="15" t="s">
        <v>1071</v>
      </c>
      <c r="C1188">
        <v>210</v>
      </c>
      <c r="D1188" s="20">
        <v>561</v>
      </c>
      <c r="E1188" t="s">
        <v>18</v>
      </c>
    </row>
    <row r="1189">
      <c r="A1189" s="7">
        <v>41166</v>
      </c>
      <c r="B1189" s="15" t="s">
        <v>1072</v>
      </c>
      <c r="C1189">
        <v>120</v>
      </c>
      <c r="D1189" s="20">
        <v>561</v>
      </c>
      <c r="E1189" t="s">
        <v>18</v>
      </c>
    </row>
    <row r="1190">
      <c r="A1190" s="7">
        <v>41166</v>
      </c>
      <c r="B1190" s="15" t="s">
        <v>1073</v>
      </c>
      <c r="C1190">
        <v>120</v>
      </c>
      <c r="D1190" s="20">
        <v>561</v>
      </c>
      <c r="E1190" t="s">
        <v>18</v>
      </c>
    </row>
    <row r="1191">
      <c r="A1191" s="7">
        <v>41166</v>
      </c>
      <c r="B1191" s="15" t="s">
        <v>1074</v>
      </c>
      <c r="C1191">
        <v>2000</v>
      </c>
      <c r="D1191" s="20">
        <v>501</v>
      </c>
      <c r="E1191" t="s">
        <v>18</v>
      </c>
    </row>
    <row r="1192">
      <c r="A1192" s="7">
        <v>41166</v>
      </c>
      <c r="B1192" s="15" t="s">
        <v>1075</v>
      </c>
      <c r="C1192">
        <v>100</v>
      </c>
      <c r="D1192" s="20">
        <v>561</v>
      </c>
      <c r="E1192" t="s">
        <v>18</v>
      </c>
    </row>
    <row r="1193">
      <c r="A1193" s="7">
        <v>41166</v>
      </c>
      <c r="B1193" s="15" t="s">
        <v>1076</v>
      </c>
      <c r="C1193">
        <v>360</v>
      </c>
      <c r="D1193" s="20">
        <v>561</v>
      </c>
      <c r="E1193" t="s">
        <v>18</v>
      </c>
    </row>
    <row r="1194">
      <c r="A1194" s="7">
        <v>41166</v>
      </c>
      <c r="B1194" s="15" t="s">
        <v>1077</v>
      </c>
      <c r="C1194">
        <v>120</v>
      </c>
      <c r="D1194" s="20">
        <v>561</v>
      </c>
      <c r="E1194" t="s">
        <v>18</v>
      </c>
    </row>
    <row r="1195">
      <c r="A1195" s="7">
        <v>41166</v>
      </c>
      <c r="B1195" s="15" t="s">
        <v>1078</v>
      </c>
      <c r="C1195">
        <v>100</v>
      </c>
      <c r="D1195" s="20">
        <v>561</v>
      </c>
      <c r="E1195" t="s">
        <v>18</v>
      </c>
    </row>
    <row r="1196">
      <c r="A1196" s="7">
        <v>41166</v>
      </c>
      <c r="B1196" s="15" t="s">
        <v>1079</v>
      </c>
      <c r="C1196">
        <v>110</v>
      </c>
      <c r="D1196" s="20">
        <v>561</v>
      </c>
      <c r="E1196" t="s">
        <v>18</v>
      </c>
    </row>
    <row r="1197">
      <c r="A1197" s="7">
        <v>41166</v>
      </c>
      <c r="B1197" s="15" t="s">
        <v>1080</v>
      </c>
      <c r="C1197">
        <v>120</v>
      </c>
      <c r="D1197" s="20">
        <v>561</v>
      </c>
      <c r="E1197" t="s">
        <v>18</v>
      </c>
    </row>
    <row r="1198">
      <c r="A1198" s="7">
        <v>41166</v>
      </c>
      <c r="B1198" s="15" t="s">
        <v>1081</v>
      </c>
      <c r="C1198">
        <v>360</v>
      </c>
      <c r="D1198" s="20">
        <v>561</v>
      </c>
      <c r="E1198" t="s">
        <v>18</v>
      </c>
    </row>
    <row r="1199">
      <c r="A1199" s="7">
        <v>41166</v>
      </c>
      <c r="B1199" s="15" t="s">
        <v>1082</v>
      </c>
      <c r="C1199">
        <v>110</v>
      </c>
      <c r="D1199" s="20">
        <v>561</v>
      </c>
      <c r="E1199" t="s">
        <v>18</v>
      </c>
    </row>
    <row r="1200">
      <c r="A1200" s="7">
        <v>41166</v>
      </c>
      <c r="B1200" s="15" t="s">
        <v>1083</v>
      </c>
      <c r="C1200">
        <v>230</v>
      </c>
      <c r="D1200" s="20">
        <v>561</v>
      </c>
      <c r="E1200" t="s">
        <v>18</v>
      </c>
    </row>
    <row r="1201">
      <c r="A1201" s="7">
        <v>41166</v>
      </c>
      <c r="B1201" s="15" t="s">
        <v>1084</v>
      </c>
      <c r="C1201">
        <v>230</v>
      </c>
      <c r="D1201" s="20">
        <v>561</v>
      </c>
      <c r="E1201" t="s">
        <v>18</v>
      </c>
    </row>
    <row r="1202">
      <c r="A1202" s="7">
        <v>41166</v>
      </c>
      <c r="B1202" s="15" t="s">
        <v>1085</v>
      </c>
      <c r="C1202">
        <v>110</v>
      </c>
      <c r="D1202" s="20">
        <v>561</v>
      </c>
      <c r="E1202" t="s">
        <v>18</v>
      </c>
    </row>
    <row r="1203">
      <c r="A1203" s="7">
        <v>41166</v>
      </c>
      <c r="B1203" s="15" t="s">
        <v>1086</v>
      </c>
      <c r="C1203">
        <v>120</v>
      </c>
      <c r="D1203" s="20">
        <v>561</v>
      </c>
      <c r="E1203" t="s">
        <v>18</v>
      </c>
    </row>
    <row r="1204">
      <c r="A1204" s="7">
        <v>41166</v>
      </c>
      <c r="B1204" s="15" t="s">
        <v>1087</v>
      </c>
      <c r="C1204">
        <v>100</v>
      </c>
      <c r="D1204" s="20">
        <v>561</v>
      </c>
      <c r="E1204" t="s">
        <v>18</v>
      </c>
    </row>
    <row r="1205">
      <c r="A1205" s="7">
        <v>41166</v>
      </c>
      <c r="B1205" s="15" t="s">
        <v>1088</v>
      </c>
      <c r="C1205">
        <v>110</v>
      </c>
      <c r="D1205" s="20">
        <v>561</v>
      </c>
      <c r="E1205" t="s">
        <v>18</v>
      </c>
    </row>
    <row r="1206">
      <c r="A1206" s="7">
        <v>41166</v>
      </c>
      <c r="B1206" s="15" t="s">
        <v>1089</v>
      </c>
      <c r="C1206">
        <v>100</v>
      </c>
      <c r="D1206" s="20">
        <v>561</v>
      </c>
      <c r="E1206" t="s">
        <v>18</v>
      </c>
    </row>
    <row r="1207">
      <c r="A1207" s="7">
        <v>41166</v>
      </c>
      <c r="B1207" s="15" t="s">
        <v>1090</v>
      </c>
      <c r="C1207">
        <v>120</v>
      </c>
      <c r="D1207" s="20">
        <v>561</v>
      </c>
      <c r="E1207" t="s">
        <v>18</v>
      </c>
    </row>
    <row r="1208">
      <c r="A1208" s="7">
        <v>41166</v>
      </c>
      <c r="B1208" s="15" t="s">
        <v>1091</v>
      </c>
      <c r="C1208">
        <v>120</v>
      </c>
      <c r="D1208" s="20">
        <v>561</v>
      </c>
      <c r="E1208" t="s">
        <v>18</v>
      </c>
    </row>
    <row r="1209">
      <c r="A1209" s="7">
        <v>41166</v>
      </c>
      <c r="B1209" s="15" t="s">
        <v>1092</v>
      </c>
      <c r="C1209">
        <v>220</v>
      </c>
      <c r="D1209" s="20">
        <v>561</v>
      </c>
      <c r="E1209" t="s">
        <v>18</v>
      </c>
    </row>
    <row r="1210">
      <c r="A1210" s="7">
        <v>41166</v>
      </c>
      <c r="B1210" s="15" t="s">
        <v>1093</v>
      </c>
      <c r="C1210">
        <v>120</v>
      </c>
      <c r="D1210" s="20">
        <v>561</v>
      </c>
      <c r="E1210" t="s">
        <v>18</v>
      </c>
    </row>
    <row r="1211">
      <c r="A1211" s="7">
        <v>41166</v>
      </c>
      <c r="B1211" s="15" t="s">
        <v>1094</v>
      </c>
      <c r="C1211">
        <v>120</v>
      </c>
      <c r="D1211" s="20">
        <v>561</v>
      </c>
      <c r="E1211" t="s">
        <v>18</v>
      </c>
    </row>
    <row r="1212">
      <c r="A1212" s="7">
        <v>41166</v>
      </c>
      <c r="B1212" s="15" t="s">
        <v>1095</v>
      </c>
      <c r="C1212">
        <v>120</v>
      </c>
      <c r="D1212" s="20">
        <v>561</v>
      </c>
      <c r="E1212" t="s">
        <v>18</v>
      </c>
    </row>
    <row r="1213">
      <c r="A1213" s="7">
        <v>41166</v>
      </c>
      <c r="B1213" s="15" t="s">
        <v>882</v>
      </c>
      <c r="C1213">
        <v>200</v>
      </c>
      <c r="D1213" s="20">
        <v>561</v>
      </c>
      <c r="E1213" t="s">
        <v>18</v>
      </c>
    </row>
    <row r="1214">
      <c r="A1214" s="7">
        <v>41166</v>
      </c>
      <c r="B1214" s="15" t="s">
        <v>1096</v>
      </c>
      <c r="C1214">
        <v>30</v>
      </c>
      <c r="D1214" s="20">
        <v>584</v>
      </c>
      <c r="E1214" t="s">
        <v>18</v>
      </c>
    </row>
    <row r="1215">
      <c r="A1215" s="7">
        <v>41167</v>
      </c>
      <c r="B1215" s="15" t="s">
        <v>1097</v>
      </c>
      <c r="C1215">
        <v>220</v>
      </c>
      <c r="D1215" s="20">
        <v>561</v>
      </c>
      <c r="E1215" t="s">
        <v>18</v>
      </c>
    </row>
    <row r="1216">
      <c r="A1216" s="7">
        <v>41167</v>
      </c>
      <c r="B1216" s="15" t="s">
        <v>1098</v>
      </c>
      <c r="C1216">
        <v>100</v>
      </c>
      <c r="D1216" s="20">
        <v>561</v>
      </c>
      <c r="E1216" t="s">
        <v>18</v>
      </c>
    </row>
    <row r="1217">
      <c r="A1217" s="7">
        <v>41167</v>
      </c>
      <c r="B1217" s="15" t="s">
        <v>1099</v>
      </c>
      <c r="C1217">
        <v>120</v>
      </c>
      <c r="D1217" s="20">
        <v>561</v>
      </c>
      <c r="E1217" t="s">
        <v>18</v>
      </c>
    </row>
    <row r="1218">
      <c r="A1218" s="7">
        <v>41167</v>
      </c>
      <c r="B1218" s="15" t="s">
        <v>1100</v>
      </c>
      <c r="C1218">
        <v>110</v>
      </c>
      <c r="D1218" s="20">
        <v>561</v>
      </c>
      <c r="E1218" t="s">
        <v>18</v>
      </c>
    </row>
    <row r="1219">
      <c r="A1219" s="7">
        <v>41167</v>
      </c>
      <c r="B1219" s="15" t="s">
        <v>1101</v>
      </c>
      <c r="C1219">
        <v>120</v>
      </c>
      <c r="D1219" s="20">
        <v>561</v>
      </c>
      <c r="E1219" t="s">
        <v>18</v>
      </c>
    </row>
    <row r="1220">
      <c r="A1220" s="7">
        <v>41167</v>
      </c>
      <c r="B1220" s="15" t="s">
        <v>1102</v>
      </c>
      <c r="C1220">
        <v>200</v>
      </c>
      <c r="D1220" s="20">
        <v>561</v>
      </c>
      <c r="E1220" t="s">
        <v>18</v>
      </c>
    </row>
    <row r="1221">
      <c r="A1221" s="7">
        <v>41169</v>
      </c>
      <c r="B1221" s="15" t="s">
        <v>1103</v>
      </c>
      <c r="C1221">
        <v>6500</v>
      </c>
      <c r="D1221" s="20">
        <v>203</v>
      </c>
      <c r="E1221" t="s">
        <v>18</v>
      </c>
    </row>
    <row r="1222">
      <c r="A1222" s="7">
        <v>41169</v>
      </c>
      <c r="B1222" s="15" t="s">
        <v>1104</v>
      </c>
      <c r="C1222">
        <v>42.48</v>
      </c>
      <c r="D1222" s="20">
        <v>502</v>
      </c>
      <c r="E1222" t="s">
        <v>18</v>
      </c>
    </row>
    <row r="1223">
      <c r="A1223" s="7">
        <v>41169</v>
      </c>
      <c r="B1223" s="15" t="s">
        <v>1105</v>
      </c>
      <c r="C1223">
        <v>230</v>
      </c>
      <c r="D1223" s="20">
        <v>561</v>
      </c>
      <c r="E1223" t="s">
        <v>18</v>
      </c>
    </row>
    <row r="1224">
      <c r="A1224" s="7">
        <v>41169</v>
      </c>
      <c r="B1224" s="15" t="s">
        <v>1106</v>
      </c>
      <c r="C1224">
        <v>130</v>
      </c>
      <c r="D1224" s="20">
        <v>561</v>
      </c>
      <c r="E1224" t="s">
        <v>18</v>
      </c>
    </row>
    <row r="1225">
      <c r="A1225" s="7">
        <v>41169</v>
      </c>
      <c r="B1225" s="15" t="s">
        <v>1107</v>
      </c>
      <c r="C1225">
        <v>200</v>
      </c>
      <c r="D1225" s="20">
        <v>561</v>
      </c>
      <c r="E1225" t="s">
        <v>18</v>
      </c>
    </row>
    <row r="1226">
      <c r="A1226" s="7">
        <v>41169</v>
      </c>
      <c r="B1226" s="15" t="s">
        <v>1108</v>
      </c>
      <c r="C1226">
        <v>100</v>
      </c>
      <c r="D1226" s="20">
        <v>561</v>
      </c>
      <c r="E1226" t="s">
        <v>18</v>
      </c>
    </row>
    <row r="1227">
      <c r="A1227" s="7">
        <v>41169</v>
      </c>
      <c r="B1227" s="15" t="s">
        <v>1109</v>
      </c>
      <c r="C1227">
        <v>60</v>
      </c>
      <c r="D1227" s="20">
        <v>584</v>
      </c>
      <c r="E1227" t="s">
        <v>18</v>
      </c>
    </row>
    <row r="1228">
      <c r="A1228" s="7">
        <v>41169</v>
      </c>
      <c r="B1228" s="15" t="s">
        <v>1110</v>
      </c>
      <c r="C1228">
        <v>110</v>
      </c>
      <c r="D1228" s="20">
        <v>561</v>
      </c>
      <c r="E1228" t="s">
        <v>18</v>
      </c>
    </row>
    <row r="1229">
      <c r="A1229" s="7">
        <v>41170</v>
      </c>
      <c r="B1229" s="15" t="s">
        <v>1111</v>
      </c>
      <c r="C1229">
        <v>120</v>
      </c>
      <c r="D1229" s="20">
        <v>561</v>
      </c>
      <c r="E1229" t="s">
        <v>18</v>
      </c>
    </row>
    <row r="1230">
      <c r="A1230" s="7">
        <v>41170</v>
      </c>
      <c r="B1230" s="15" t="s">
        <v>1112</v>
      </c>
      <c r="C1230">
        <v>120</v>
      </c>
      <c r="D1230" s="20">
        <v>561</v>
      </c>
      <c r="E1230" t="s">
        <v>18</v>
      </c>
    </row>
    <row r="1231">
      <c r="A1231" s="7">
        <v>41170</v>
      </c>
      <c r="B1231" s="15" t="s">
        <v>1113</v>
      </c>
      <c r="C1231">
        <v>200</v>
      </c>
      <c r="D1231" s="20">
        <v>561</v>
      </c>
      <c r="E1231" t="s">
        <v>18</v>
      </c>
    </row>
    <row r="1232">
      <c r="A1232" s="7">
        <v>41170</v>
      </c>
      <c r="B1232" s="15" t="s">
        <v>1114</v>
      </c>
      <c r="C1232">
        <v>130</v>
      </c>
      <c r="D1232" s="20">
        <v>561</v>
      </c>
      <c r="E1232" t="s">
        <v>18</v>
      </c>
    </row>
    <row r="1233">
      <c r="A1233" s="7">
        <v>41171</v>
      </c>
      <c r="B1233" s="15" t="s">
        <v>1115</v>
      </c>
      <c r="C1233">
        <v>-2100</v>
      </c>
      <c r="D1233" s="20">
        <v>684</v>
      </c>
      <c r="E1233" t="s">
        <v>18</v>
      </c>
    </row>
    <row r="1234">
      <c r="A1234" s="7">
        <v>41171</v>
      </c>
      <c r="B1234" s="15" t="s">
        <v>1116</v>
      </c>
      <c r="C1234">
        <v>100</v>
      </c>
      <c r="D1234" s="20">
        <v>561</v>
      </c>
      <c r="E1234" t="s">
        <v>18</v>
      </c>
    </row>
    <row r="1235">
      <c r="A1235" s="7">
        <v>41171</v>
      </c>
      <c r="B1235" s="15" t="s">
        <v>1117</v>
      </c>
      <c r="C1235">
        <v>130</v>
      </c>
      <c r="D1235" s="20">
        <v>561</v>
      </c>
      <c r="E1235" t="s">
        <v>18</v>
      </c>
    </row>
    <row r="1236">
      <c r="A1236" s="7">
        <v>41171</v>
      </c>
      <c r="B1236" s="15" t="s">
        <v>1118</v>
      </c>
      <c r="C1236">
        <v>110</v>
      </c>
      <c r="D1236" s="20">
        <v>561</v>
      </c>
      <c r="E1236" t="s">
        <v>18</v>
      </c>
    </row>
    <row r="1237">
      <c r="A1237" s="7">
        <v>41171</v>
      </c>
      <c r="B1237" s="15" t="s">
        <v>1119</v>
      </c>
      <c r="C1237">
        <v>25</v>
      </c>
      <c r="D1237" s="20">
        <v>584</v>
      </c>
      <c r="E1237" t="s">
        <v>18</v>
      </c>
    </row>
    <row r="1238">
      <c r="A1238" s="7">
        <v>41172</v>
      </c>
      <c r="B1238" s="15" t="s">
        <v>1120</v>
      </c>
      <c r="C1238">
        <v>260</v>
      </c>
      <c r="D1238" s="20">
        <v>561</v>
      </c>
      <c r="E1238" t="s">
        <v>18</v>
      </c>
    </row>
    <row r="1239">
      <c r="A1239" s="7">
        <v>41172</v>
      </c>
      <c r="B1239" s="15" t="s">
        <v>1121</v>
      </c>
      <c r="C1239">
        <v>110</v>
      </c>
      <c r="D1239" s="20">
        <v>561</v>
      </c>
      <c r="E1239" t="s">
        <v>18</v>
      </c>
    </row>
    <row r="1240">
      <c r="A1240" s="7">
        <v>41172</v>
      </c>
      <c r="B1240" s="15" t="s">
        <v>1122</v>
      </c>
      <c r="C1240">
        <v>260</v>
      </c>
      <c r="D1240" s="20">
        <v>561</v>
      </c>
      <c r="E1240" t="s">
        <v>18</v>
      </c>
    </row>
    <row r="1241">
      <c r="A1241" s="7">
        <v>41172</v>
      </c>
      <c r="B1241" s="15" t="s">
        <v>1123</v>
      </c>
      <c r="C1241">
        <v>130</v>
      </c>
      <c r="D1241" s="20">
        <v>561</v>
      </c>
      <c r="E1241" t="s">
        <v>18</v>
      </c>
    </row>
    <row r="1242">
      <c r="A1242" s="7">
        <v>41172</v>
      </c>
      <c r="B1242" s="15" t="s">
        <v>1124</v>
      </c>
      <c r="C1242">
        <v>-599.5</v>
      </c>
      <c r="D1242" s="20">
        <v>663</v>
      </c>
      <c r="E1242" t="s">
        <v>18</v>
      </c>
    </row>
    <row r="1243">
      <c r="A1243" s="7">
        <v>41172</v>
      </c>
      <c r="B1243" s="15" t="s">
        <v>1125</v>
      </c>
      <c r="C1243">
        <v>120</v>
      </c>
      <c r="D1243" s="20">
        <v>561</v>
      </c>
      <c r="E1243" t="s">
        <v>18</v>
      </c>
    </row>
    <row r="1244">
      <c r="A1244" s="7">
        <v>41172</v>
      </c>
      <c r="B1244" s="15" t="s">
        <v>1126</v>
      </c>
      <c r="C1244">
        <v>130</v>
      </c>
      <c r="D1244" s="20">
        <v>561</v>
      </c>
      <c r="E1244" t="s">
        <v>18</v>
      </c>
    </row>
    <row r="1245">
      <c r="A1245" s="7">
        <v>41172</v>
      </c>
      <c r="B1245" s="15" t="s">
        <v>1127</v>
      </c>
      <c r="C1245">
        <v>220</v>
      </c>
      <c r="D1245" s="20">
        <v>561</v>
      </c>
      <c r="E1245" t="s">
        <v>18</v>
      </c>
    </row>
    <row r="1246">
      <c r="A1246" s="7">
        <v>41172</v>
      </c>
      <c r="B1246" s="15" t="s">
        <v>1128</v>
      </c>
      <c r="C1246">
        <v>260</v>
      </c>
      <c r="D1246" s="20">
        <v>561</v>
      </c>
      <c r="E1246" t="s">
        <v>18</v>
      </c>
    </row>
    <row r="1247">
      <c r="A1247" s="7">
        <v>41173</v>
      </c>
      <c r="B1247" s="15" t="s">
        <v>1129</v>
      </c>
      <c r="C1247">
        <v>130</v>
      </c>
      <c r="D1247" s="20">
        <v>561</v>
      </c>
      <c r="E1247" t="s">
        <v>18</v>
      </c>
    </row>
    <row r="1248">
      <c r="A1248" s="7">
        <v>41173</v>
      </c>
      <c r="B1248" s="15" t="s">
        <v>1130</v>
      </c>
      <c r="C1248">
        <v>130</v>
      </c>
      <c r="D1248" s="20">
        <v>561</v>
      </c>
      <c r="E1248" t="s">
        <v>18</v>
      </c>
    </row>
    <row r="1249">
      <c r="A1249" s="7">
        <v>41173</v>
      </c>
      <c r="B1249" s="15" t="s">
        <v>1131</v>
      </c>
      <c r="C1249">
        <v>130</v>
      </c>
      <c r="D1249" s="20">
        <v>561</v>
      </c>
      <c r="E1249" t="s">
        <v>18</v>
      </c>
    </row>
    <row r="1250">
      <c r="A1250" s="7">
        <v>41173</v>
      </c>
      <c r="B1250" s="15" t="s">
        <v>1132</v>
      </c>
      <c r="C1250">
        <v>120</v>
      </c>
      <c r="D1250" s="20">
        <v>561</v>
      </c>
      <c r="E1250" t="s">
        <v>18</v>
      </c>
    </row>
    <row r="1251">
      <c r="A1251" s="7">
        <v>41173</v>
      </c>
      <c r="B1251" s="15" t="s">
        <v>1133</v>
      </c>
      <c r="C1251">
        <v>120</v>
      </c>
      <c r="D1251" s="20">
        <v>561</v>
      </c>
      <c r="E1251" t="s">
        <v>18</v>
      </c>
    </row>
    <row r="1252">
      <c r="A1252" s="7">
        <v>41173</v>
      </c>
      <c r="B1252" s="15" t="s">
        <v>1134</v>
      </c>
      <c r="C1252">
        <v>130</v>
      </c>
      <c r="D1252" s="20">
        <v>561</v>
      </c>
      <c r="E1252" t="s">
        <v>18</v>
      </c>
    </row>
    <row r="1253">
      <c r="A1253" s="7">
        <v>41173</v>
      </c>
      <c r="B1253" s="15" t="s">
        <v>1135</v>
      </c>
      <c r="C1253">
        <v>110</v>
      </c>
      <c r="D1253" s="20">
        <v>561</v>
      </c>
      <c r="E1253" t="s">
        <v>18</v>
      </c>
    </row>
    <row r="1254">
      <c r="A1254" s="7">
        <v>41173</v>
      </c>
      <c r="B1254" s="15" t="s">
        <v>1136</v>
      </c>
      <c r="C1254">
        <v>30</v>
      </c>
      <c r="D1254" s="20">
        <v>584</v>
      </c>
      <c r="E1254" t="s">
        <v>18</v>
      </c>
    </row>
    <row r="1255">
      <c r="A1255" s="7">
        <v>41173</v>
      </c>
      <c r="B1255" s="15" t="s">
        <v>1137</v>
      </c>
      <c r="C1255">
        <v>30</v>
      </c>
      <c r="D1255" s="20">
        <v>584</v>
      </c>
      <c r="E1255" t="s">
        <v>18</v>
      </c>
    </row>
    <row r="1256">
      <c r="A1256" s="7">
        <v>41173</v>
      </c>
      <c r="B1256" s="15" t="s">
        <v>1138</v>
      </c>
      <c r="C1256">
        <v>30</v>
      </c>
      <c r="D1256" s="20">
        <v>584</v>
      </c>
      <c r="E1256" t="s">
        <v>18</v>
      </c>
    </row>
    <row r="1257">
      <c r="A1257" s="7">
        <v>41173</v>
      </c>
      <c r="B1257" s="15" t="s">
        <v>1139</v>
      </c>
      <c r="C1257">
        <v>260</v>
      </c>
      <c r="D1257" s="20">
        <v>561</v>
      </c>
      <c r="E1257" t="s">
        <v>18</v>
      </c>
    </row>
    <row r="1258">
      <c r="A1258" s="7">
        <v>41173</v>
      </c>
      <c r="B1258" s="15" t="s">
        <v>1140</v>
      </c>
      <c r="C1258">
        <v>110</v>
      </c>
      <c r="D1258" s="20">
        <v>561</v>
      </c>
      <c r="E1258" t="s">
        <v>18</v>
      </c>
    </row>
    <row r="1259">
      <c r="A1259" s="7">
        <v>41173</v>
      </c>
      <c r="B1259" s="15" t="s">
        <v>1141</v>
      </c>
      <c r="C1259">
        <v>120</v>
      </c>
      <c r="D1259" s="20">
        <v>561</v>
      </c>
      <c r="E1259" t="s">
        <v>18</v>
      </c>
    </row>
    <row r="1260">
      <c r="A1260" s="7">
        <v>41173</v>
      </c>
      <c r="B1260" s="15" t="s">
        <v>1142</v>
      </c>
      <c r="C1260">
        <v>390</v>
      </c>
      <c r="D1260" s="20">
        <v>561</v>
      </c>
      <c r="E1260" t="s">
        <v>18</v>
      </c>
    </row>
    <row r="1261">
      <c r="A1261" s="7">
        <v>41173</v>
      </c>
      <c r="B1261" s="15" t="s">
        <v>1143</v>
      </c>
      <c r="C1261">
        <v>220</v>
      </c>
      <c r="D1261" s="20">
        <v>561</v>
      </c>
      <c r="E1261" t="s">
        <v>18</v>
      </c>
    </row>
    <row r="1262">
      <c r="A1262" s="7">
        <v>41173</v>
      </c>
      <c r="B1262" s="15" t="s">
        <v>1144</v>
      </c>
      <c r="C1262">
        <v>130</v>
      </c>
      <c r="D1262" s="20">
        <v>561</v>
      </c>
      <c r="E1262" t="s">
        <v>18</v>
      </c>
    </row>
    <row r="1263">
      <c r="A1263" s="7">
        <v>41173</v>
      </c>
      <c r="B1263" s="15" t="s">
        <v>1145</v>
      </c>
      <c r="C1263">
        <v>130</v>
      </c>
      <c r="D1263" s="20">
        <v>561</v>
      </c>
      <c r="E1263" t="s">
        <v>18</v>
      </c>
    </row>
    <row r="1264">
      <c r="A1264" s="7">
        <v>41173</v>
      </c>
      <c r="B1264" s="15" t="s">
        <v>1041</v>
      </c>
      <c r="C1264">
        <v>110</v>
      </c>
      <c r="D1264" s="20">
        <v>561</v>
      </c>
      <c r="E1264" t="s">
        <v>18</v>
      </c>
    </row>
    <row r="1265">
      <c r="A1265" s="7">
        <v>41173</v>
      </c>
      <c r="B1265" s="15" t="s">
        <v>1146</v>
      </c>
      <c r="C1265">
        <v>110</v>
      </c>
      <c r="D1265" s="20">
        <v>561</v>
      </c>
      <c r="E1265" t="s">
        <v>18</v>
      </c>
    </row>
    <row r="1266">
      <c r="A1266" s="7">
        <v>41174</v>
      </c>
      <c r="B1266" s="15" t="s">
        <v>1147</v>
      </c>
      <c r="C1266">
        <v>130</v>
      </c>
      <c r="D1266" s="20">
        <v>561</v>
      </c>
      <c r="E1266" t="s">
        <v>18</v>
      </c>
    </row>
    <row r="1267">
      <c r="A1267" s="7">
        <v>41176</v>
      </c>
      <c r="B1267" s="15" t="s">
        <v>1148</v>
      </c>
      <c r="C1267">
        <v>25</v>
      </c>
      <c r="D1267" s="20">
        <v>584</v>
      </c>
      <c r="E1267" t="s">
        <v>18</v>
      </c>
    </row>
    <row r="1268">
      <c r="A1268" s="7">
        <v>41176</v>
      </c>
      <c r="B1268" s="15" t="s">
        <v>1149</v>
      </c>
      <c r="C1268">
        <v>-70</v>
      </c>
      <c r="D1268" s="20">
        <v>607</v>
      </c>
      <c r="E1268" t="s">
        <v>18</v>
      </c>
    </row>
    <row r="1269">
      <c r="A1269" s="7">
        <v>41176</v>
      </c>
      <c r="B1269" s="15" t="s">
        <v>1150</v>
      </c>
      <c r="C1269">
        <v>260</v>
      </c>
      <c r="D1269" s="20">
        <v>561</v>
      </c>
      <c r="E1269" t="s">
        <v>18</v>
      </c>
    </row>
    <row r="1270">
      <c r="A1270" s="7">
        <v>41176</v>
      </c>
      <c r="B1270" s="15" t="s">
        <v>1151</v>
      </c>
      <c r="C1270">
        <v>130</v>
      </c>
      <c r="D1270" s="20">
        <v>561</v>
      </c>
      <c r="E1270" t="s">
        <v>18</v>
      </c>
    </row>
    <row r="1271">
      <c r="A1271" s="7">
        <v>41176</v>
      </c>
      <c r="B1271" s="15" t="s">
        <v>1152</v>
      </c>
      <c r="C1271">
        <v>110</v>
      </c>
      <c r="D1271" s="20">
        <v>561</v>
      </c>
      <c r="E1271" t="s">
        <v>18</v>
      </c>
    </row>
    <row r="1272">
      <c r="A1272" s="7">
        <v>41176</v>
      </c>
      <c r="B1272" s="15" t="s">
        <v>1153</v>
      </c>
      <c r="C1272">
        <v>110</v>
      </c>
      <c r="D1272" s="20">
        <v>561</v>
      </c>
      <c r="E1272" t="s">
        <v>18</v>
      </c>
    </row>
    <row r="1273">
      <c r="A1273" s="7">
        <v>41177</v>
      </c>
      <c r="B1273" s="15" t="s">
        <v>1154</v>
      </c>
      <c r="C1273">
        <v>-250</v>
      </c>
      <c r="D1273" s="20">
        <v>607</v>
      </c>
      <c r="E1273" t="s">
        <v>18</v>
      </c>
    </row>
    <row r="1274">
      <c r="A1274" s="7">
        <v>41177</v>
      </c>
      <c r="B1274" s="15" t="s">
        <v>1155</v>
      </c>
      <c r="C1274">
        <v>10</v>
      </c>
      <c r="D1274" s="20">
        <v>503</v>
      </c>
      <c r="E1274" t="s">
        <v>18</v>
      </c>
    </row>
    <row r="1275">
      <c r="A1275" s="7">
        <v>41177</v>
      </c>
      <c r="B1275" s="15" t="s">
        <v>1156</v>
      </c>
      <c r="C1275">
        <v>130</v>
      </c>
      <c r="D1275" s="20">
        <v>561</v>
      </c>
      <c r="E1275" t="s">
        <v>18</v>
      </c>
    </row>
    <row r="1276">
      <c r="A1276" s="7">
        <v>41177</v>
      </c>
      <c r="B1276" s="15" t="s">
        <v>1157</v>
      </c>
      <c r="C1276">
        <v>865</v>
      </c>
      <c r="D1276" s="20">
        <v>584</v>
      </c>
      <c r="E1276" t="s">
        <v>18</v>
      </c>
    </row>
    <row r="1277">
      <c r="A1277" s="7">
        <v>41177</v>
      </c>
      <c r="B1277" s="15" t="s">
        <v>1158</v>
      </c>
      <c r="C1277">
        <v>220</v>
      </c>
      <c r="D1277" s="20">
        <v>561</v>
      </c>
      <c r="E1277" t="s">
        <v>18</v>
      </c>
    </row>
    <row r="1278">
      <c r="A1278" s="7">
        <v>41178</v>
      </c>
      <c r="B1278" s="15" t="s">
        <v>1159</v>
      </c>
      <c r="C1278">
        <v>130</v>
      </c>
      <c r="D1278" s="20">
        <v>561</v>
      </c>
      <c r="E1278" t="s">
        <v>18</v>
      </c>
    </row>
    <row r="1279">
      <c r="A1279" s="7">
        <v>41178</v>
      </c>
      <c r="B1279" s="15" t="s">
        <v>1160</v>
      </c>
      <c r="C1279">
        <v>10</v>
      </c>
      <c r="D1279" s="20">
        <v>503</v>
      </c>
      <c r="E1279" t="s">
        <v>18</v>
      </c>
    </row>
    <row r="1280">
      <c r="A1280" s="7">
        <v>41179</v>
      </c>
      <c r="B1280" s="15" t="s">
        <v>1161</v>
      </c>
      <c r="C1280">
        <v>130</v>
      </c>
      <c r="D1280" s="20">
        <v>561</v>
      </c>
      <c r="E1280" t="s">
        <v>18</v>
      </c>
    </row>
    <row r="1281">
      <c r="A1281" s="7">
        <v>41179</v>
      </c>
      <c r="B1281" s="15" t="s">
        <v>1162</v>
      </c>
      <c r="C1281">
        <v>260</v>
      </c>
      <c r="D1281" s="20">
        <v>561</v>
      </c>
      <c r="E1281" t="s">
        <v>18</v>
      </c>
    </row>
    <row r="1282">
      <c r="A1282" s="7">
        <v>41180</v>
      </c>
      <c r="B1282" s="15" t="s">
        <v>1163</v>
      </c>
      <c r="C1282">
        <v>110</v>
      </c>
      <c r="D1282" s="20">
        <v>561</v>
      </c>
      <c r="E1282" t="s">
        <v>18</v>
      </c>
    </row>
    <row r="1283">
      <c r="A1283" s="7">
        <v>41180</v>
      </c>
      <c r="B1283" s="15" t="s">
        <v>1164</v>
      </c>
      <c r="C1283">
        <v>110</v>
      </c>
      <c r="D1283" s="20">
        <v>561</v>
      </c>
      <c r="E1283" t="s">
        <v>18</v>
      </c>
    </row>
    <row r="1284">
      <c r="A1284" s="7">
        <v>41180</v>
      </c>
      <c r="B1284" s="15" t="s">
        <v>1165</v>
      </c>
      <c r="C1284">
        <v>110</v>
      </c>
      <c r="D1284" s="20">
        <v>561</v>
      </c>
      <c r="E1284" t="s">
        <v>18</v>
      </c>
    </row>
    <row r="1285">
      <c r="A1285" s="7">
        <v>41182</v>
      </c>
      <c r="B1285" s="15" t="s">
        <v>268</v>
      </c>
      <c r="C1285">
        <v>0.2</v>
      </c>
      <c r="D1285" s="20">
        <v>502</v>
      </c>
      <c r="E1285" t="s">
        <v>18</v>
      </c>
    </row>
    <row r="1286">
      <c r="A1286" s="7">
        <v>41184</v>
      </c>
      <c r="B1286" s="15" t="s">
        <v>1166</v>
      </c>
      <c r="C1286">
        <v>260</v>
      </c>
      <c r="D1286" s="20">
        <v>561</v>
      </c>
      <c r="E1286" t="s">
        <v>18</v>
      </c>
    </row>
    <row r="1287">
      <c r="A1287" s="7">
        <v>41186</v>
      </c>
      <c r="B1287" s="15" t="s">
        <v>1167</v>
      </c>
      <c r="C1287">
        <v>110</v>
      </c>
      <c r="D1287" s="20">
        <v>561</v>
      </c>
      <c r="E1287" t="s">
        <v>18</v>
      </c>
    </row>
    <row r="1288">
      <c r="A1288" s="7">
        <v>41186</v>
      </c>
      <c r="B1288" s="15" t="s">
        <v>1168</v>
      </c>
      <c r="C1288">
        <v>110</v>
      </c>
      <c r="D1288" s="20">
        <v>561</v>
      </c>
      <c r="E1288" t="s">
        <v>18</v>
      </c>
    </row>
    <row r="1289">
      <c r="A1289" s="7">
        <v>41186</v>
      </c>
      <c r="B1289" s="15" t="s">
        <v>1169</v>
      </c>
      <c r="C1289">
        <v>120</v>
      </c>
      <c r="D1289" s="20">
        <v>561</v>
      </c>
      <c r="E1289" t="s">
        <v>18</v>
      </c>
    </row>
    <row r="1290">
      <c r="A1290" s="7">
        <v>41187</v>
      </c>
      <c r="B1290" s="15" t="s">
        <v>1170</v>
      </c>
      <c r="C1290">
        <v>110</v>
      </c>
      <c r="D1290" s="20">
        <v>561</v>
      </c>
      <c r="E1290" t="s">
        <v>18</v>
      </c>
    </row>
    <row r="1291">
      <c r="A1291" s="7">
        <v>41187</v>
      </c>
      <c r="B1291" s="15" t="s">
        <v>1171</v>
      </c>
      <c r="C1291">
        <v>-3.4</v>
      </c>
      <c r="D1291" s="20">
        <v>602</v>
      </c>
      <c r="E1291" t="s">
        <v>18</v>
      </c>
    </row>
    <row r="1292">
      <c r="A1292" s="7">
        <v>41187</v>
      </c>
      <c r="B1292" s="15" t="s">
        <v>1172</v>
      </c>
      <c r="C1292">
        <v>-17300</v>
      </c>
      <c r="D1292" s="20">
        <v>661</v>
      </c>
      <c r="E1292" t="s">
        <v>18</v>
      </c>
    </row>
    <row r="1293">
      <c r="A1293" s="7">
        <v>41187</v>
      </c>
      <c r="B1293" s="15" t="s">
        <v>1173</v>
      </c>
      <c r="C1293">
        <v>-653.55</v>
      </c>
      <c r="D1293" s="20">
        <v>663</v>
      </c>
      <c r="E1293" t="s">
        <v>18</v>
      </c>
    </row>
    <row r="1294">
      <c r="A1294" s="7">
        <v>41190</v>
      </c>
      <c r="B1294" s="15" t="s">
        <v>1174</v>
      </c>
      <c r="C1294">
        <v>-200</v>
      </c>
      <c r="D1294" s="20">
        <v>665</v>
      </c>
      <c r="E1294" t="s">
        <v>18</v>
      </c>
    </row>
    <row r="1295">
      <c r="A1295" s="7">
        <v>41192</v>
      </c>
      <c r="B1295" s="15" t="s">
        <v>1175</v>
      </c>
      <c r="C1295">
        <v>-62.8</v>
      </c>
      <c r="D1295" s="20">
        <v>609</v>
      </c>
      <c r="E1295" t="s">
        <v>18</v>
      </c>
    </row>
    <row r="1296">
      <c r="A1296" s="7">
        <v>41197</v>
      </c>
      <c r="B1296" s="15" t="s">
        <v>1176</v>
      </c>
      <c r="C1296">
        <v>-41.85</v>
      </c>
      <c r="D1296" s="20">
        <v>665</v>
      </c>
      <c r="E1296" t="s">
        <v>18</v>
      </c>
    </row>
    <row r="1297">
      <c r="A1297" s="7">
        <v>41204</v>
      </c>
      <c r="B1297" s="15" t="s">
        <v>1177</v>
      </c>
      <c r="C1297">
        <v>-280</v>
      </c>
      <c r="D1297" s="20">
        <v>665</v>
      </c>
      <c r="E1297" t="s">
        <v>18</v>
      </c>
    </row>
    <row r="1298">
      <c r="A1298" s="7">
        <v>41206</v>
      </c>
      <c r="B1298" s="15" t="s">
        <v>1178</v>
      </c>
      <c r="C1298">
        <v>280</v>
      </c>
      <c r="D1298" s="20">
        <v>665</v>
      </c>
      <c r="E1298" t="s">
        <v>18</v>
      </c>
    </row>
    <row r="1299">
      <c r="A1299" s="7">
        <v>41221</v>
      </c>
      <c r="B1299" s="15" t="s">
        <v>1179</v>
      </c>
      <c r="C1299">
        <v>-10000</v>
      </c>
      <c r="D1299" s="20">
        <v>203</v>
      </c>
      <c r="E1299" t="s">
        <v>18</v>
      </c>
    </row>
    <row r="1300">
      <c r="A1300" s="7">
        <v>41225</v>
      </c>
      <c r="B1300" s="15" t="s">
        <v>1180</v>
      </c>
      <c r="C1300">
        <v>-45.01</v>
      </c>
      <c r="D1300" s="20">
        <v>561</v>
      </c>
      <c r="E1300" t="s">
        <v>18</v>
      </c>
    </row>
    <row r="1301">
      <c r="A1301" s="7">
        <v>41225</v>
      </c>
      <c r="B1301" s="15" t="s">
        <v>1181</v>
      </c>
      <c r="C1301">
        <v>-280</v>
      </c>
      <c r="D1301" s="20">
        <v>665</v>
      </c>
      <c r="E1301" t="s">
        <v>18</v>
      </c>
    </row>
    <row r="1302">
      <c r="A1302" s="7">
        <v>41241</v>
      </c>
      <c r="B1302" s="15" t="s">
        <v>1182</v>
      </c>
      <c r="C1302">
        <v>-98.5</v>
      </c>
      <c r="D1302" s="20">
        <v>561</v>
      </c>
      <c r="E1302" t="s">
        <v>18</v>
      </c>
    </row>
    <row r="1303">
      <c r="A1303" s="7">
        <v>41260</v>
      </c>
      <c r="B1303" s="15" t="s">
        <v>910</v>
      </c>
      <c r="C1303">
        <v>10</v>
      </c>
      <c r="D1303" s="20">
        <v>503</v>
      </c>
      <c r="E1303" t="s">
        <v>18</v>
      </c>
    </row>
    <row r="1304">
      <c r="A1304" s="7">
        <v>41274</v>
      </c>
      <c r="B1304" s="15" t="s">
        <v>268</v>
      </c>
      <c r="C1304">
        <v>0.15</v>
      </c>
      <c r="D1304" s="20">
        <v>502</v>
      </c>
      <c r="E1304" t="s">
        <v>18</v>
      </c>
    </row>
    <row r="1305">
      <c r="A1305" s="7">
        <v>41304</v>
      </c>
      <c r="B1305" s="15" t="s">
        <v>1183</v>
      </c>
      <c r="C1305">
        <v>1000</v>
      </c>
      <c r="D1305" s="20">
        <v>505</v>
      </c>
      <c r="E1305" t="s">
        <v>18</v>
      </c>
    </row>
    <row r="1306">
      <c r="A1306" s="7">
        <v>41312</v>
      </c>
      <c r="B1306" s="15" t="s">
        <v>1184</v>
      </c>
      <c r="C1306">
        <v>10000</v>
      </c>
      <c r="D1306" s="20">
        <v>203</v>
      </c>
      <c r="E1306" t="s">
        <v>18</v>
      </c>
    </row>
    <row r="1307">
      <c r="A1307" s="7">
        <v>41312</v>
      </c>
      <c r="B1307" s="15" t="s">
        <v>1104</v>
      </c>
      <c r="C1307">
        <v>60.87</v>
      </c>
      <c r="D1307" s="20">
        <v>502</v>
      </c>
      <c r="E1307" t="s">
        <v>18</v>
      </c>
    </row>
    <row r="1308">
      <c r="A1308" s="7">
        <v>41324</v>
      </c>
      <c r="B1308" s="15" t="s">
        <v>1185</v>
      </c>
      <c r="C1308">
        <v>10</v>
      </c>
      <c r="D1308" s="20">
        <v>503</v>
      </c>
      <c r="E1308" t="s">
        <v>18</v>
      </c>
    </row>
    <row r="1309">
      <c r="A1309" s="7">
        <v>41325</v>
      </c>
      <c r="B1309" s="15" t="s">
        <v>1186</v>
      </c>
      <c r="C1309">
        <v>-101.5</v>
      </c>
      <c r="D1309" s="20">
        <v>688</v>
      </c>
      <c r="E1309" t="s">
        <v>18</v>
      </c>
    </row>
    <row r="1310">
      <c r="A1310" s="7">
        <v>41325</v>
      </c>
      <c r="B1310" s="15" t="s">
        <v>1187</v>
      </c>
      <c r="C1310">
        <v>10</v>
      </c>
      <c r="D1310" s="20">
        <v>503</v>
      </c>
      <c r="E1310" t="s">
        <v>18</v>
      </c>
    </row>
    <row r="1311">
      <c r="A1311" s="7">
        <v>41325</v>
      </c>
      <c r="B1311" s="15" t="s">
        <v>1188</v>
      </c>
      <c r="C1311">
        <v>290</v>
      </c>
      <c r="D1311" s="20">
        <v>503</v>
      </c>
      <c r="E1311" t="s">
        <v>18</v>
      </c>
    </row>
    <row r="1312">
      <c r="A1312" s="7">
        <v>41325</v>
      </c>
      <c r="B1312" s="15" t="s">
        <v>1189</v>
      </c>
      <c r="C1312">
        <v>10</v>
      </c>
      <c r="D1312" s="20">
        <v>503</v>
      </c>
      <c r="E1312" t="s">
        <v>18</v>
      </c>
    </row>
    <row r="1313">
      <c r="A1313" s="7">
        <v>41327</v>
      </c>
      <c r="B1313" s="15" t="s">
        <v>1190</v>
      </c>
      <c r="C1313">
        <v>25</v>
      </c>
      <c r="D1313" s="20">
        <v>581</v>
      </c>
      <c r="E1313" t="s">
        <v>18</v>
      </c>
    </row>
    <row r="1314">
      <c r="A1314" s="7">
        <v>41328</v>
      </c>
      <c r="B1314" s="15" t="s">
        <v>1191</v>
      </c>
      <c r="C1314">
        <v>25</v>
      </c>
      <c r="D1314" s="20">
        <v>581</v>
      </c>
      <c r="E1314" t="s">
        <v>18</v>
      </c>
    </row>
    <row r="1315">
      <c r="A1315" s="7">
        <v>41330</v>
      </c>
      <c r="B1315" s="15" t="s">
        <v>1192</v>
      </c>
      <c r="C1315">
        <v>10</v>
      </c>
      <c r="D1315" s="20">
        <v>503</v>
      </c>
      <c r="E1315" t="s">
        <v>18</v>
      </c>
    </row>
    <row r="1316">
      <c r="A1316" s="7">
        <v>41331</v>
      </c>
      <c r="B1316" s="15" t="s">
        <v>1193</v>
      </c>
      <c r="C1316">
        <v>25</v>
      </c>
      <c r="D1316" s="20">
        <v>581</v>
      </c>
      <c r="E1316" t="s">
        <v>18</v>
      </c>
    </row>
    <row r="1317">
      <c r="A1317" s="7">
        <v>41331</v>
      </c>
      <c r="B1317" s="15" t="s">
        <v>1194</v>
      </c>
      <c r="C1317">
        <v>1400</v>
      </c>
      <c r="D1317" s="20">
        <v>505</v>
      </c>
      <c r="E1317" t="s">
        <v>18</v>
      </c>
    </row>
    <row r="1318">
      <c r="A1318" s="7">
        <v>41331</v>
      </c>
      <c r="B1318" s="15" t="s">
        <v>1195</v>
      </c>
      <c r="C1318">
        <v>35</v>
      </c>
      <c r="D1318" s="20">
        <v>581</v>
      </c>
      <c r="E1318" t="s">
        <v>18</v>
      </c>
    </row>
    <row r="1319">
      <c r="A1319" s="7">
        <v>41331</v>
      </c>
      <c r="B1319" s="15" t="s">
        <v>1196</v>
      </c>
      <c r="C1319">
        <v>60</v>
      </c>
      <c r="D1319" s="20">
        <v>581</v>
      </c>
      <c r="E1319" t="s">
        <v>18</v>
      </c>
    </row>
    <row r="1320">
      <c r="A1320" s="7">
        <v>41333</v>
      </c>
      <c r="B1320" s="15" t="s">
        <v>1197</v>
      </c>
      <c r="C1320">
        <v>35</v>
      </c>
      <c r="D1320" s="20">
        <v>581</v>
      </c>
      <c r="E1320" t="s">
        <v>18</v>
      </c>
    </row>
    <row r="1321">
      <c r="A1321" s="7">
        <v>41333</v>
      </c>
      <c r="B1321" s="15" t="s">
        <v>1198</v>
      </c>
      <c r="C1321">
        <v>40</v>
      </c>
      <c r="D1321" s="20">
        <v>551</v>
      </c>
      <c r="E1321" t="s">
        <v>18</v>
      </c>
    </row>
    <row r="1322">
      <c r="A1322" s="7">
        <v>41333</v>
      </c>
      <c r="B1322" s="15" t="s">
        <v>1199</v>
      </c>
      <c r="C1322">
        <v>10</v>
      </c>
      <c r="D1322" s="20">
        <v>503</v>
      </c>
      <c r="E1322" t="s">
        <v>18</v>
      </c>
    </row>
    <row r="1323">
      <c r="A1323" s="7">
        <v>41333</v>
      </c>
      <c r="B1323" s="15" t="s">
        <v>1200</v>
      </c>
      <c r="C1323">
        <v>10</v>
      </c>
      <c r="D1323" s="20">
        <v>503</v>
      </c>
      <c r="E1323" t="s">
        <v>18</v>
      </c>
    </row>
    <row r="1324">
      <c r="A1324" s="7">
        <v>41333</v>
      </c>
      <c r="B1324" s="15" t="s">
        <v>1201</v>
      </c>
      <c r="C1324">
        <v>25</v>
      </c>
      <c r="D1324" s="20">
        <v>581</v>
      </c>
      <c r="E1324" t="s">
        <v>18</v>
      </c>
    </row>
    <row r="1325">
      <c r="A1325" s="7">
        <v>41334</v>
      </c>
      <c r="B1325" s="15" t="s">
        <v>1202</v>
      </c>
      <c r="C1325">
        <v>10</v>
      </c>
      <c r="D1325" s="20">
        <v>503</v>
      </c>
      <c r="E1325" t="s">
        <v>18</v>
      </c>
    </row>
    <row r="1326">
      <c r="A1326" s="7">
        <v>41337</v>
      </c>
      <c r="B1326" s="15" t="s">
        <v>1203</v>
      </c>
      <c r="C1326">
        <v>75</v>
      </c>
      <c r="D1326" s="20">
        <v>551</v>
      </c>
      <c r="E1326" t="s">
        <v>18</v>
      </c>
    </row>
    <row r="1327">
      <c r="A1327" s="7">
        <v>41337</v>
      </c>
      <c r="B1327" s="15" t="s">
        <v>1204</v>
      </c>
      <c r="C1327">
        <v>10</v>
      </c>
      <c r="D1327" s="20">
        <v>503</v>
      </c>
      <c r="E1327" t="s">
        <v>18</v>
      </c>
    </row>
    <row r="1328">
      <c r="A1328" s="7">
        <v>41337</v>
      </c>
      <c r="B1328" s="15" t="s">
        <v>1205</v>
      </c>
      <c r="C1328">
        <v>-40</v>
      </c>
      <c r="D1328" s="20">
        <v>651</v>
      </c>
      <c r="E1328" t="s">
        <v>18</v>
      </c>
    </row>
    <row r="1329">
      <c r="A1329" s="7">
        <v>41337</v>
      </c>
      <c r="B1329" s="15" t="s">
        <v>1206</v>
      </c>
      <c r="C1329">
        <v>-175</v>
      </c>
      <c r="D1329" s="20">
        <v>651</v>
      </c>
      <c r="E1329" t="s">
        <v>18</v>
      </c>
    </row>
    <row r="1330">
      <c r="A1330" s="7">
        <v>41337</v>
      </c>
      <c r="B1330" s="15" t="s">
        <v>1207</v>
      </c>
      <c r="C1330">
        <v>-100</v>
      </c>
      <c r="D1330" s="20">
        <v>651</v>
      </c>
      <c r="E1330" t="s">
        <v>18</v>
      </c>
    </row>
    <row r="1331">
      <c r="A1331" s="7">
        <v>41337</v>
      </c>
      <c r="B1331" s="15" t="s">
        <v>1208</v>
      </c>
      <c r="C1331">
        <v>-120</v>
      </c>
      <c r="D1331" s="20">
        <v>651</v>
      </c>
      <c r="E1331" t="s">
        <v>18</v>
      </c>
    </row>
    <row r="1332">
      <c r="A1332" s="7">
        <v>41337</v>
      </c>
      <c r="B1332" s="15" t="s">
        <v>1209</v>
      </c>
      <c r="C1332">
        <v>-80</v>
      </c>
      <c r="D1332" s="20">
        <v>651</v>
      </c>
      <c r="E1332" t="s">
        <v>18</v>
      </c>
    </row>
    <row r="1333">
      <c r="A1333" s="7">
        <v>41337</v>
      </c>
      <c r="B1333" s="15" t="s">
        <v>1210</v>
      </c>
      <c r="C1333">
        <v>745</v>
      </c>
      <c r="D1333" s="20">
        <v>551</v>
      </c>
      <c r="E1333" t="s">
        <v>18</v>
      </c>
    </row>
    <row r="1334">
      <c r="A1334" s="7">
        <v>41337</v>
      </c>
      <c r="B1334" s="15" t="s">
        <v>1211</v>
      </c>
      <c r="C1334">
        <v>10</v>
      </c>
      <c r="D1334" s="20">
        <v>503</v>
      </c>
      <c r="E1334" t="s">
        <v>18</v>
      </c>
    </row>
    <row r="1335">
      <c r="A1335" s="7">
        <v>41338</v>
      </c>
      <c r="B1335" s="15" t="s">
        <v>1212</v>
      </c>
      <c r="C1335">
        <v>-75</v>
      </c>
      <c r="D1335" s="20">
        <v>651</v>
      </c>
      <c r="E1335" t="s">
        <v>18</v>
      </c>
    </row>
    <row r="1336">
      <c r="A1336" s="7">
        <v>41339</v>
      </c>
      <c r="B1336" s="15" t="s">
        <v>1213</v>
      </c>
      <c r="C1336">
        <v>10</v>
      </c>
      <c r="D1336" s="20">
        <v>503</v>
      </c>
      <c r="E1336" t="s">
        <v>18</v>
      </c>
    </row>
    <row r="1337">
      <c r="A1337" s="7">
        <v>41339</v>
      </c>
      <c r="B1337" s="15" t="s">
        <v>1214</v>
      </c>
      <c r="C1337">
        <v>-100</v>
      </c>
      <c r="D1337" s="20">
        <v>651</v>
      </c>
      <c r="E1337" t="s">
        <v>18</v>
      </c>
    </row>
    <row r="1338">
      <c r="A1338" s="7">
        <v>41341</v>
      </c>
      <c r="B1338" s="15" t="s">
        <v>1215</v>
      </c>
      <c r="C1338">
        <v>-175</v>
      </c>
      <c r="D1338" s="20">
        <v>651</v>
      </c>
      <c r="E1338" t="s">
        <v>18</v>
      </c>
    </row>
    <row r="1339">
      <c r="A1339" s="7">
        <v>41341</v>
      </c>
      <c r="B1339" s="15" t="s">
        <v>1216</v>
      </c>
      <c r="C1339">
        <v>10</v>
      </c>
      <c r="D1339" s="20">
        <v>503</v>
      </c>
      <c r="E1339" t="s">
        <v>18</v>
      </c>
    </row>
    <row r="1340">
      <c r="A1340" s="7">
        <v>41344</v>
      </c>
      <c r="B1340" s="15" t="s">
        <v>1217</v>
      </c>
      <c r="C1340">
        <v>-26.47</v>
      </c>
      <c r="D1340" s="20">
        <v>608</v>
      </c>
      <c r="E1340" t="s">
        <v>18</v>
      </c>
    </row>
    <row r="1341">
      <c r="A1341" s="7">
        <v>41344</v>
      </c>
      <c r="B1341" s="15" t="s">
        <v>1218</v>
      </c>
      <c r="C1341">
        <v>-20</v>
      </c>
      <c r="D1341" s="20">
        <v>651</v>
      </c>
      <c r="E1341" t="s">
        <v>18</v>
      </c>
    </row>
    <row r="1342">
      <c r="A1342" s="7">
        <v>41345</v>
      </c>
      <c r="B1342" s="15" t="s">
        <v>1219</v>
      </c>
      <c r="C1342">
        <v>-76.37</v>
      </c>
      <c r="D1342" s="20">
        <v>685</v>
      </c>
      <c r="E1342" t="s">
        <v>18</v>
      </c>
    </row>
    <row r="1343">
      <c r="A1343" s="7">
        <v>41346</v>
      </c>
      <c r="B1343" s="15" t="s">
        <v>1220</v>
      </c>
      <c r="C1343">
        <v>67</v>
      </c>
      <c r="D1343" s="20">
        <v>585</v>
      </c>
      <c r="E1343" t="s">
        <v>18</v>
      </c>
    </row>
    <row r="1344">
      <c r="A1344" s="7">
        <v>41346</v>
      </c>
      <c r="B1344" s="15" t="s">
        <v>1221</v>
      </c>
      <c r="C1344">
        <v>10</v>
      </c>
      <c r="D1344" s="20">
        <v>503</v>
      </c>
      <c r="E1344" t="s">
        <v>18</v>
      </c>
    </row>
    <row r="1345">
      <c r="A1345" s="7">
        <v>41354</v>
      </c>
      <c r="B1345" s="15" t="s">
        <v>1222</v>
      </c>
      <c r="C1345">
        <v>25</v>
      </c>
      <c r="D1345" s="20">
        <v>586</v>
      </c>
      <c r="E1345" t="s">
        <v>18</v>
      </c>
    </row>
    <row r="1346">
      <c r="A1346" s="7">
        <v>41355</v>
      </c>
      <c r="B1346" s="15" t="s">
        <v>1223</v>
      </c>
      <c r="C1346">
        <v>25</v>
      </c>
      <c r="D1346" s="20">
        <v>586</v>
      </c>
      <c r="E1346" t="s">
        <v>18</v>
      </c>
    </row>
    <row r="1347">
      <c r="A1347" s="7">
        <v>41358</v>
      </c>
      <c r="B1347" s="15" t="s">
        <v>1224</v>
      </c>
      <c r="C1347">
        <v>-20</v>
      </c>
      <c r="D1347" s="20">
        <v>685</v>
      </c>
      <c r="E1347" t="s">
        <v>18</v>
      </c>
    </row>
    <row r="1348">
      <c r="A1348" s="7">
        <v>41358</v>
      </c>
      <c r="B1348" s="15" t="s">
        <v>910</v>
      </c>
      <c r="C1348">
        <v>25</v>
      </c>
      <c r="D1348" s="20">
        <v>586</v>
      </c>
      <c r="E1348" t="s">
        <v>18</v>
      </c>
    </row>
    <row r="1349">
      <c r="A1349" s="7">
        <v>41360</v>
      </c>
      <c r="B1349" s="15" t="s">
        <v>1225</v>
      </c>
      <c r="C1349">
        <v>173.35</v>
      </c>
      <c r="D1349" s="20">
        <v>585</v>
      </c>
      <c r="E1349" t="s">
        <v>18</v>
      </c>
    </row>
    <row r="1350">
      <c r="A1350" s="7">
        <v>41360</v>
      </c>
      <c r="B1350" s="15" t="s">
        <v>1226</v>
      </c>
      <c r="C1350">
        <v>-89.74</v>
      </c>
      <c r="D1350" s="20">
        <v>685</v>
      </c>
      <c r="E1350" t="s">
        <v>18</v>
      </c>
    </row>
    <row r="1351">
      <c r="A1351" s="7">
        <v>41360</v>
      </c>
      <c r="B1351" s="15" t="s">
        <v>1227</v>
      </c>
      <c r="C1351">
        <v>35</v>
      </c>
      <c r="D1351" s="20">
        <v>586</v>
      </c>
      <c r="E1351" t="s">
        <v>18</v>
      </c>
    </row>
    <row r="1352">
      <c r="A1352" s="7">
        <v>41360</v>
      </c>
      <c r="B1352" s="15" t="s">
        <v>1228</v>
      </c>
      <c r="C1352">
        <v>35</v>
      </c>
      <c r="D1352" s="20">
        <v>586</v>
      </c>
      <c r="E1352" t="s">
        <v>18</v>
      </c>
    </row>
    <row r="1353">
      <c r="A1353" s="7">
        <v>41362</v>
      </c>
      <c r="B1353" s="15" t="s">
        <v>1229</v>
      </c>
      <c r="C1353">
        <v>35</v>
      </c>
      <c r="D1353" s="20">
        <v>586</v>
      </c>
      <c r="E1353" t="s">
        <v>18</v>
      </c>
    </row>
    <row r="1354">
      <c r="A1354" s="7">
        <v>41364</v>
      </c>
      <c r="B1354" s="15" t="s">
        <v>268</v>
      </c>
      <c r="C1354">
        <v>0.2</v>
      </c>
      <c r="D1354" s="20">
        <v>502</v>
      </c>
      <c r="E1354" t="s">
        <v>18</v>
      </c>
    </row>
    <row r="1355">
      <c r="A1355" s="7">
        <v>41366</v>
      </c>
      <c r="B1355" s="15" t="s">
        <v>1230</v>
      </c>
      <c r="C1355">
        <v>25</v>
      </c>
      <c r="D1355" s="20">
        <v>586</v>
      </c>
      <c r="E1355" t="s">
        <v>18</v>
      </c>
    </row>
    <row r="1356">
      <c r="A1356" s="7">
        <v>41366</v>
      </c>
      <c r="B1356" s="15" t="s">
        <v>1231</v>
      </c>
      <c r="C1356">
        <v>10</v>
      </c>
      <c r="D1356" s="20">
        <v>503</v>
      </c>
      <c r="E1356" t="s">
        <v>18</v>
      </c>
    </row>
    <row r="1357">
      <c r="A1357" s="7">
        <v>41366</v>
      </c>
      <c r="B1357" s="15" t="s">
        <v>1232</v>
      </c>
      <c r="C1357">
        <v>7</v>
      </c>
      <c r="D1357" s="20">
        <v>585</v>
      </c>
      <c r="E1357" t="s">
        <v>18</v>
      </c>
    </row>
    <row r="1358">
      <c r="A1358" s="7">
        <v>41366</v>
      </c>
      <c r="B1358" s="15" t="s">
        <v>1233</v>
      </c>
      <c r="C1358">
        <v>35</v>
      </c>
      <c r="D1358" s="20">
        <v>586</v>
      </c>
      <c r="E1358" t="s">
        <v>18</v>
      </c>
    </row>
    <row r="1359">
      <c r="A1359" s="7">
        <v>41367</v>
      </c>
      <c r="B1359" s="15" t="s">
        <v>1234</v>
      </c>
      <c r="C1359">
        <v>192.75</v>
      </c>
      <c r="D1359" s="20">
        <v>585</v>
      </c>
      <c r="E1359" t="s">
        <v>18</v>
      </c>
    </row>
    <row r="1360">
      <c r="A1360" s="7">
        <v>41368</v>
      </c>
      <c r="B1360" s="15" t="s">
        <v>815</v>
      </c>
      <c r="C1360">
        <v>25</v>
      </c>
      <c r="D1360" s="20">
        <v>586</v>
      </c>
      <c r="E1360" t="s">
        <v>18</v>
      </c>
    </row>
    <row r="1361">
      <c r="A1361" s="7">
        <v>41368</v>
      </c>
      <c r="B1361" s="15" t="s">
        <v>1235</v>
      </c>
      <c r="C1361">
        <v>35</v>
      </c>
      <c r="D1361" s="20">
        <v>586</v>
      </c>
      <c r="E1361" t="s">
        <v>18</v>
      </c>
    </row>
    <row r="1362">
      <c r="A1362" s="7">
        <v>41368</v>
      </c>
      <c r="B1362" s="15" t="s">
        <v>1236</v>
      </c>
      <c r="C1362">
        <v>-550</v>
      </c>
      <c r="D1362" s="20">
        <v>686</v>
      </c>
      <c r="E1362" t="s">
        <v>18</v>
      </c>
    </row>
    <row r="1363">
      <c r="A1363" s="7">
        <v>41368</v>
      </c>
      <c r="B1363" s="15" t="s">
        <v>1237</v>
      </c>
      <c r="C1363">
        <v>-112.37</v>
      </c>
      <c r="D1363" s="20">
        <v>685</v>
      </c>
      <c r="E1363" t="s">
        <v>18</v>
      </c>
    </row>
    <row r="1364">
      <c r="A1364" s="7">
        <v>41368</v>
      </c>
      <c r="B1364" s="15" t="s">
        <v>1238</v>
      </c>
      <c r="C1364">
        <v>85</v>
      </c>
      <c r="D1364" s="20">
        <v>586</v>
      </c>
      <c r="E1364" t="s">
        <v>18</v>
      </c>
    </row>
    <row r="1365">
      <c r="A1365" s="7">
        <v>41369</v>
      </c>
      <c r="B1365" s="15" t="s">
        <v>1239</v>
      </c>
      <c r="C1365">
        <v>25</v>
      </c>
      <c r="D1365" s="20">
        <v>586</v>
      </c>
      <c r="E1365" t="s">
        <v>18</v>
      </c>
    </row>
    <row r="1366">
      <c r="A1366" s="7">
        <v>41372</v>
      </c>
      <c r="B1366" s="15" t="s">
        <v>1240</v>
      </c>
      <c r="C1366">
        <v>25</v>
      </c>
      <c r="D1366" s="20">
        <v>586</v>
      </c>
      <c r="E1366" t="s">
        <v>18</v>
      </c>
    </row>
    <row r="1367">
      <c r="A1367" s="7">
        <v>41372</v>
      </c>
      <c r="B1367" s="15" t="s">
        <v>1241</v>
      </c>
      <c r="C1367">
        <v>10</v>
      </c>
      <c r="D1367" s="20">
        <v>586</v>
      </c>
      <c r="E1367" t="s">
        <v>18</v>
      </c>
    </row>
    <row r="1368">
      <c r="A1368" s="7">
        <v>41372</v>
      </c>
      <c r="B1368" s="15" t="s">
        <v>1242</v>
      </c>
      <c r="C1368">
        <v>25</v>
      </c>
      <c r="D1368" s="20">
        <v>586</v>
      </c>
      <c r="E1368" t="s">
        <v>18</v>
      </c>
    </row>
    <row r="1369">
      <c r="A1369" s="7">
        <v>41372</v>
      </c>
      <c r="B1369" s="15" t="s">
        <v>1243</v>
      </c>
      <c r="C1369">
        <v>70</v>
      </c>
      <c r="D1369" s="20">
        <v>586</v>
      </c>
      <c r="E1369" t="s">
        <v>18</v>
      </c>
    </row>
    <row r="1370">
      <c r="A1370" s="7">
        <v>41372</v>
      </c>
      <c r="B1370" s="15" t="s">
        <v>1244</v>
      </c>
      <c r="C1370">
        <v>35</v>
      </c>
      <c r="D1370" s="20">
        <v>586</v>
      </c>
      <c r="E1370" t="s">
        <v>18</v>
      </c>
    </row>
    <row r="1371">
      <c r="A1371" s="7">
        <v>41372</v>
      </c>
      <c r="B1371" s="15" t="s">
        <v>1245</v>
      </c>
      <c r="C1371">
        <v>35</v>
      </c>
      <c r="D1371" s="20">
        <v>586</v>
      </c>
      <c r="E1371" t="s">
        <v>18</v>
      </c>
    </row>
    <row r="1372">
      <c r="A1372" s="7">
        <v>41373</v>
      </c>
      <c r="B1372" s="15" t="s">
        <v>1246</v>
      </c>
      <c r="C1372">
        <v>35</v>
      </c>
      <c r="D1372" s="20">
        <v>586</v>
      </c>
      <c r="E1372" t="s">
        <v>18</v>
      </c>
    </row>
    <row r="1373">
      <c r="A1373" s="7">
        <v>41373</v>
      </c>
      <c r="B1373" s="15" t="s">
        <v>1247</v>
      </c>
      <c r="C1373">
        <v>35</v>
      </c>
      <c r="D1373" s="20">
        <v>586</v>
      </c>
      <c r="E1373" t="s">
        <v>18</v>
      </c>
    </row>
    <row r="1374">
      <c r="A1374" s="7">
        <v>41373</v>
      </c>
      <c r="B1374" s="15" t="s">
        <v>1248</v>
      </c>
      <c r="C1374">
        <v>20</v>
      </c>
      <c r="D1374" s="20">
        <v>586</v>
      </c>
      <c r="E1374" t="s">
        <v>18</v>
      </c>
    </row>
    <row r="1375">
      <c r="A1375" s="7">
        <v>41373</v>
      </c>
      <c r="B1375" s="15" t="s">
        <v>1232</v>
      </c>
      <c r="C1375">
        <v>9</v>
      </c>
      <c r="D1375" s="20">
        <v>585</v>
      </c>
      <c r="E1375" t="s">
        <v>18</v>
      </c>
    </row>
    <row r="1376">
      <c r="A1376" s="7">
        <v>41373</v>
      </c>
      <c r="B1376" s="15" t="s">
        <v>1249</v>
      </c>
      <c r="C1376">
        <v>25</v>
      </c>
      <c r="D1376" s="20">
        <v>586</v>
      </c>
      <c r="E1376" t="s">
        <v>18</v>
      </c>
    </row>
    <row r="1377">
      <c r="A1377" s="7">
        <v>41374</v>
      </c>
      <c r="B1377" s="15" t="s">
        <v>1250</v>
      </c>
      <c r="C1377">
        <v>35</v>
      </c>
      <c r="D1377" s="20">
        <v>586</v>
      </c>
      <c r="E1377" t="s">
        <v>18</v>
      </c>
    </row>
    <row r="1378">
      <c r="A1378" s="7">
        <v>41374</v>
      </c>
      <c r="B1378" s="15" t="s">
        <v>1251</v>
      </c>
      <c r="C1378">
        <v>35</v>
      </c>
      <c r="D1378" s="20">
        <v>586</v>
      </c>
      <c r="E1378" t="s">
        <v>18</v>
      </c>
    </row>
    <row r="1379">
      <c r="A1379" s="7">
        <v>41375</v>
      </c>
      <c r="B1379" s="15" t="s">
        <v>1252</v>
      </c>
      <c r="C1379">
        <v>-25</v>
      </c>
      <c r="D1379" s="20">
        <v>586</v>
      </c>
      <c r="E1379" t="s">
        <v>18</v>
      </c>
    </row>
    <row r="1380">
      <c r="A1380" s="7">
        <v>41375</v>
      </c>
      <c r="B1380" s="15" t="s">
        <v>1253</v>
      </c>
      <c r="C1380">
        <v>35</v>
      </c>
      <c r="D1380" s="20">
        <v>586</v>
      </c>
      <c r="E1380" t="s">
        <v>18</v>
      </c>
    </row>
    <row r="1381">
      <c r="A1381" s="7">
        <v>41375</v>
      </c>
      <c r="B1381" s="15" t="s">
        <v>1254</v>
      </c>
      <c r="C1381">
        <v>35</v>
      </c>
      <c r="D1381" s="20">
        <v>586</v>
      </c>
      <c r="E1381" t="s">
        <v>18</v>
      </c>
    </row>
    <row r="1382">
      <c r="A1382" s="7">
        <v>41375</v>
      </c>
      <c r="B1382" s="15" t="s">
        <v>1255</v>
      </c>
      <c r="C1382">
        <v>110</v>
      </c>
      <c r="D1382" s="20">
        <v>586</v>
      </c>
      <c r="E1382" t="s">
        <v>18</v>
      </c>
    </row>
    <row r="1383">
      <c r="A1383" s="7">
        <v>41375</v>
      </c>
      <c r="B1383" s="15" t="s">
        <v>1234</v>
      </c>
      <c r="C1383">
        <v>177</v>
      </c>
      <c r="D1383" s="20">
        <v>585</v>
      </c>
      <c r="E1383" t="s">
        <v>18</v>
      </c>
    </row>
    <row r="1384">
      <c r="A1384" s="7">
        <v>41376</v>
      </c>
      <c r="B1384" s="15" t="s">
        <v>1256</v>
      </c>
      <c r="C1384">
        <v>10</v>
      </c>
      <c r="D1384" s="20">
        <v>503</v>
      </c>
      <c r="E1384" t="s">
        <v>18</v>
      </c>
    </row>
    <row r="1385">
      <c r="A1385" s="7">
        <v>41376</v>
      </c>
      <c r="B1385" s="15" t="s">
        <v>1257</v>
      </c>
      <c r="C1385">
        <v>35</v>
      </c>
      <c r="D1385" s="20">
        <v>586</v>
      </c>
      <c r="E1385" t="s">
        <v>18</v>
      </c>
    </row>
    <row r="1386">
      <c r="A1386" s="7">
        <v>41376</v>
      </c>
      <c r="B1386" s="15" t="s">
        <v>1258</v>
      </c>
      <c r="C1386">
        <v>35</v>
      </c>
      <c r="D1386" s="20">
        <v>586</v>
      </c>
      <c r="E1386" t="s">
        <v>18</v>
      </c>
    </row>
    <row r="1387">
      <c r="A1387" s="7">
        <v>41376</v>
      </c>
      <c r="B1387" s="15" t="s">
        <v>1259</v>
      </c>
      <c r="C1387">
        <v>25</v>
      </c>
      <c r="D1387" s="20">
        <v>586</v>
      </c>
      <c r="E1387" t="s">
        <v>18</v>
      </c>
    </row>
    <row r="1388">
      <c r="A1388" s="7">
        <v>41376</v>
      </c>
      <c r="B1388" s="15" t="s">
        <v>1260</v>
      </c>
      <c r="C1388">
        <v>35</v>
      </c>
      <c r="D1388" s="20">
        <v>586</v>
      </c>
      <c r="E1388" t="s">
        <v>18</v>
      </c>
    </row>
    <row r="1389">
      <c r="A1389" s="7">
        <v>41379</v>
      </c>
      <c r="B1389" s="15" t="s">
        <v>1261</v>
      </c>
      <c r="C1389">
        <v>120</v>
      </c>
      <c r="D1389" s="20">
        <v>586</v>
      </c>
      <c r="E1389" t="s">
        <v>18</v>
      </c>
    </row>
    <row r="1390">
      <c r="A1390" s="7">
        <v>41381</v>
      </c>
      <c r="B1390" s="15" t="s">
        <v>1262</v>
      </c>
      <c r="C1390">
        <v>1200</v>
      </c>
      <c r="D1390" s="20">
        <v>505</v>
      </c>
      <c r="E1390" t="s">
        <v>18</v>
      </c>
    </row>
    <row r="1391">
      <c r="A1391" s="7">
        <v>41383</v>
      </c>
      <c r="B1391" s="15" t="s">
        <v>1263</v>
      </c>
      <c r="C1391">
        <v>-70</v>
      </c>
      <c r="D1391" s="20">
        <v>686</v>
      </c>
      <c r="E1391" t="s">
        <v>18</v>
      </c>
    </row>
    <row r="1392">
      <c r="A1392" s="7">
        <v>41383</v>
      </c>
      <c r="B1392" s="15" t="s">
        <v>1264</v>
      </c>
      <c r="C1392">
        <v>-180</v>
      </c>
      <c r="D1392" s="20">
        <v>686</v>
      </c>
      <c r="E1392" t="s">
        <v>18</v>
      </c>
    </row>
    <row r="1393">
      <c r="A1393" s="7">
        <v>41383</v>
      </c>
      <c r="B1393" s="15" t="s">
        <v>1265</v>
      </c>
      <c r="C1393">
        <v>-151.44</v>
      </c>
      <c r="D1393" s="20">
        <v>685</v>
      </c>
      <c r="E1393" t="s">
        <v>18</v>
      </c>
    </row>
    <row r="1394">
      <c r="A1394" s="7">
        <v>41386</v>
      </c>
      <c r="B1394" s="15" t="s">
        <v>1266</v>
      </c>
      <c r="C1394">
        <v>-1421.8</v>
      </c>
      <c r="D1394" s="20">
        <v>607</v>
      </c>
      <c r="E1394" t="s">
        <v>18</v>
      </c>
    </row>
    <row r="1395">
      <c r="A1395" s="7">
        <v>41387</v>
      </c>
      <c r="B1395" s="15" t="s">
        <v>1267</v>
      </c>
      <c r="C1395">
        <v>-132.52</v>
      </c>
      <c r="D1395" s="20">
        <v>685</v>
      </c>
      <c r="E1395" t="s">
        <v>18</v>
      </c>
    </row>
    <row r="1396">
      <c r="A1396" s="7">
        <v>41387</v>
      </c>
      <c r="B1396" s="15" t="s">
        <v>1268</v>
      </c>
      <c r="C1396">
        <v>800</v>
      </c>
      <c r="D1396" s="20">
        <v>501</v>
      </c>
      <c r="E1396" t="s">
        <v>18</v>
      </c>
    </row>
    <row r="1397">
      <c r="A1397" s="7">
        <v>41393</v>
      </c>
      <c r="B1397" s="15" t="s">
        <v>1269</v>
      </c>
      <c r="C1397">
        <v>-10000</v>
      </c>
      <c r="D1397" s="20">
        <v>203</v>
      </c>
      <c r="E1397" t="s">
        <v>18</v>
      </c>
    </row>
    <row r="1398">
      <c r="A1398" s="7">
        <v>41394</v>
      </c>
      <c r="B1398" s="15" t="s">
        <v>1270</v>
      </c>
      <c r="C1398">
        <v>-41.03</v>
      </c>
      <c r="D1398" s="20">
        <v>685</v>
      </c>
      <c r="E1398" t="s">
        <v>18</v>
      </c>
    </row>
    <row r="1399">
      <c r="A1399" s="7">
        <v>41394</v>
      </c>
      <c r="B1399" s="15" t="s">
        <v>1271</v>
      </c>
      <c r="C1399">
        <v>-20.7</v>
      </c>
      <c r="D1399" s="20">
        <v>607</v>
      </c>
      <c r="E1399" t="s">
        <v>18</v>
      </c>
    </row>
    <row r="1400">
      <c r="A1400" s="7">
        <v>41394</v>
      </c>
      <c r="B1400" s="15" t="s">
        <v>1272</v>
      </c>
      <c r="C1400">
        <v>-66.29</v>
      </c>
      <c r="D1400" s="20">
        <v>706</v>
      </c>
      <c r="E1400" t="s">
        <v>18</v>
      </c>
    </row>
    <row r="1401">
      <c r="A1401" s="7">
        <v>41396</v>
      </c>
      <c r="B1401" s="15" t="s">
        <v>1273</v>
      </c>
      <c r="C1401">
        <v>-15.4</v>
      </c>
      <c r="D1401" s="20">
        <v>685</v>
      </c>
      <c r="E1401" t="s">
        <v>18</v>
      </c>
    </row>
    <row r="1402">
      <c r="A1402" s="7">
        <v>41396</v>
      </c>
      <c r="B1402" s="15" t="s">
        <v>1225</v>
      </c>
      <c r="C1402">
        <v>304.6</v>
      </c>
      <c r="D1402" s="20">
        <v>585</v>
      </c>
      <c r="E1402" t="s">
        <v>18</v>
      </c>
    </row>
    <row r="1403">
      <c r="A1403" s="7">
        <v>41396</v>
      </c>
      <c r="B1403" s="15" t="s">
        <v>1274</v>
      </c>
      <c r="C1403">
        <v>-190.89</v>
      </c>
      <c r="D1403" s="20">
        <v>607</v>
      </c>
      <c r="E1403" t="s">
        <v>18</v>
      </c>
    </row>
    <row r="1404">
      <c r="A1404" s="7">
        <v>41396</v>
      </c>
      <c r="B1404" s="15" t="s">
        <v>1275</v>
      </c>
      <c r="C1404">
        <v>-899.8</v>
      </c>
      <c r="D1404" s="20">
        <v>204</v>
      </c>
      <c r="E1404" t="s">
        <v>18</v>
      </c>
    </row>
    <row r="1405">
      <c r="A1405" s="7">
        <v>41396</v>
      </c>
      <c r="B1405" s="15" t="s">
        <v>1276</v>
      </c>
      <c r="C1405">
        <v>-1421.8</v>
      </c>
      <c r="D1405" s="20">
        <v>607</v>
      </c>
      <c r="E1405" t="s">
        <v>18</v>
      </c>
    </row>
    <row r="1406">
      <c r="A1406" s="7">
        <v>41402</v>
      </c>
      <c r="B1406" s="15" t="s">
        <v>1277</v>
      </c>
      <c r="C1406">
        <v>850</v>
      </c>
      <c r="D1406" s="20">
        <v>507</v>
      </c>
      <c r="E1406" t="s">
        <v>18</v>
      </c>
    </row>
    <row r="1407">
      <c r="A1407" s="7">
        <v>41404</v>
      </c>
      <c r="B1407" s="15" t="s">
        <v>1278</v>
      </c>
      <c r="C1407">
        <v>-1700</v>
      </c>
      <c r="D1407" s="20">
        <v>607</v>
      </c>
      <c r="E1407" t="s">
        <v>18</v>
      </c>
    </row>
    <row r="1408">
      <c r="A1408" s="7">
        <v>41405</v>
      </c>
      <c r="B1408" s="15" t="s">
        <v>1279</v>
      </c>
      <c r="C1408">
        <v>-89.4</v>
      </c>
      <c r="D1408" s="20">
        <v>685</v>
      </c>
      <c r="E1408" t="s">
        <v>18</v>
      </c>
    </row>
    <row r="1409">
      <c r="A1409" s="7">
        <v>41413</v>
      </c>
      <c r="B1409" s="15" t="s">
        <v>1280</v>
      </c>
      <c r="C1409">
        <v>-76.63</v>
      </c>
      <c r="D1409" s="20">
        <v>685</v>
      </c>
      <c r="E1409" t="s">
        <v>18</v>
      </c>
    </row>
    <row r="1410">
      <c r="A1410" s="7">
        <v>41413</v>
      </c>
      <c r="B1410" s="15" t="s">
        <v>1281</v>
      </c>
      <c r="C1410">
        <v>-28.08</v>
      </c>
      <c r="D1410" s="20">
        <v>685</v>
      </c>
      <c r="E1410" t="s">
        <v>18</v>
      </c>
    </row>
    <row r="1411">
      <c r="A1411" s="7">
        <v>41415</v>
      </c>
      <c r="B1411" s="15" t="s">
        <v>1282</v>
      </c>
      <c r="C1411">
        <v>5</v>
      </c>
      <c r="D1411" s="20">
        <v>584</v>
      </c>
      <c r="E1411" t="s">
        <v>18</v>
      </c>
    </row>
    <row r="1412">
      <c r="A1412" s="7">
        <v>41416</v>
      </c>
      <c r="B1412" s="15" t="s">
        <v>1283</v>
      </c>
      <c r="C1412">
        <v>10</v>
      </c>
      <c r="D1412" s="20">
        <v>584</v>
      </c>
      <c r="E1412" t="s">
        <v>18</v>
      </c>
    </row>
    <row r="1413">
      <c r="A1413" s="7">
        <v>41416</v>
      </c>
      <c r="B1413" s="15" t="s">
        <v>1284</v>
      </c>
      <c r="C1413">
        <v>619.65</v>
      </c>
      <c r="D1413" s="20">
        <v>585</v>
      </c>
      <c r="E1413" t="s">
        <v>18</v>
      </c>
    </row>
    <row r="1414">
      <c r="A1414" s="7">
        <v>41416</v>
      </c>
      <c r="B1414" s="15" t="s">
        <v>1285</v>
      </c>
      <c r="C1414">
        <v>5</v>
      </c>
      <c r="D1414" s="20">
        <v>584</v>
      </c>
      <c r="E1414" t="s">
        <v>18</v>
      </c>
    </row>
    <row r="1415">
      <c r="A1415" s="7">
        <v>41416</v>
      </c>
      <c r="B1415" s="15" t="s">
        <v>1286</v>
      </c>
      <c r="C1415">
        <v>10</v>
      </c>
      <c r="D1415" s="20">
        <v>584</v>
      </c>
      <c r="E1415" t="s">
        <v>18</v>
      </c>
    </row>
    <row r="1416">
      <c r="A1416" s="7">
        <v>41416</v>
      </c>
      <c r="B1416" s="15" t="s">
        <v>1287</v>
      </c>
      <c r="C1416">
        <v>10</v>
      </c>
      <c r="D1416" s="20">
        <v>584</v>
      </c>
      <c r="E1416" t="s">
        <v>18</v>
      </c>
    </row>
    <row r="1417">
      <c r="A1417" s="7">
        <v>41416</v>
      </c>
      <c r="B1417" s="15" t="s">
        <v>1288</v>
      </c>
      <c r="C1417">
        <v>-41.5</v>
      </c>
      <c r="D1417" s="20">
        <v>691</v>
      </c>
      <c r="E1417" t="s">
        <v>18</v>
      </c>
    </row>
    <row r="1418">
      <c r="A1418" s="7">
        <v>41416</v>
      </c>
      <c r="B1418" s="15" t="s">
        <v>1289</v>
      </c>
      <c r="C1418">
        <v>-38.95</v>
      </c>
      <c r="D1418" s="20">
        <v>685</v>
      </c>
      <c r="E1418" t="s">
        <v>18</v>
      </c>
    </row>
    <row r="1419">
      <c r="A1419" s="7">
        <v>41416</v>
      </c>
      <c r="B1419" s="15" t="s">
        <v>1290</v>
      </c>
      <c r="C1419">
        <v>-142.48</v>
      </c>
      <c r="D1419" s="20">
        <v>685</v>
      </c>
      <c r="E1419" t="s">
        <v>18</v>
      </c>
    </row>
    <row r="1420">
      <c r="A1420" s="7">
        <v>41416</v>
      </c>
      <c r="B1420" s="15" t="s">
        <v>1291</v>
      </c>
      <c r="C1420">
        <v>-8.37</v>
      </c>
      <c r="D1420" s="20">
        <v>685</v>
      </c>
      <c r="E1420" t="s">
        <v>18</v>
      </c>
    </row>
    <row r="1421">
      <c r="A1421" s="7">
        <v>41422</v>
      </c>
      <c r="B1421" s="15" t="s">
        <v>1292</v>
      </c>
      <c r="C1421">
        <v>5</v>
      </c>
      <c r="D1421" s="20">
        <v>584</v>
      </c>
      <c r="E1421" t="s">
        <v>18</v>
      </c>
    </row>
    <row r="1422">
      <c r="A1422" s="7">
        <v>41422</v>
      </c>
      <c r="B1422" s="15" t="s">
        <v>1293</v>
      </c>
      <c r="C1422">
        <v>-42.57</v>
      </c>
      <c r="D1422" s="20">
        <v>685</v>
      </c>
      <c r="E1422" t="s">
        <v>18</v>
      </c>
    </row>
    <row r="1423">
      <c r="A1423" s="7">
        <v>41422</v>
      </c>
      <c r="B1423" s="15" t="s">
        <v>1294</v>
      </c>
      <c r="C1423">
        <v>100</v>
      </c>
      <c r="D1423" s="20">
        <v>591</v>
      </c>
      <c r="E1423" t="s">
        <v>18</v>
      </c>
    </row>
    <row r="1424">
      <c r="A1424" s="7">
        <v>41429</v>
      </c>
      <c r="B1424" s="15" t="s">
        <v>1295</v>
      </c>
      <c r="C1424">
        <v>10</v>
      </c>
      <c r="D1424" s="20">
        <v>584</v>
      </c>
      <c r="E1424" t="s">
        <v>18</v>
      </c>
    </row>
    <row r="1425">
      <c r="A1425" s="7">
        <v>41429</v>
      </c>
      <c r="B1425" s="15" t="s">
        <v>1296</v>
      </c>
      <c r="C1425">
        <v>5</v>
      </c>
      <c r="D1425" s="20">
        <v>584</v>
      </c>
      <c r="E1425" t="s">
        <v>18</v>
      </c>
    </row>
    <row r="1426">
      <c r="A1426" s="7">
        <v>41430</v>
      </c>
      <c r="B1426" s="15" t="s">
        <v>1297</v>
      </c>
      <c r="C1426">
        <v>10</v>
      </c>
      <c r="D1426" s="20">
        <v>584</v>
      </c>
      <c r="E1426" t="s">
        <v>18</v>
      </c>
    </row>
    <row r="1427">
      <c r="A1427" s="7">
        <v>41431</v>
      </c>
      <c r="B1427" s="15" t="s">
        <v>1298</v>
      </c>
      <c r="C1427">
        <v>1421.8</v>
      </c>
      <c r="D1427" s="20">
        <v>607</v>
      </c>
      <c r="E1427" t="s">
        <v>18</v>
      </c>
    </row>
    <row r="1428">
      <c r="A1428" s="7">
        <v>41455</v>
      </c>
      <c r="B1428" t="s">
        <v>268</v>
      </c>
      <c r="C1428">
        <v>0.99</v>
      </c>
      <c r="D1428" s="20">
        <v>502</v>
      </c>
      <c r="E1428" t="s">
        <v>18</v>
      </c>
    </row>
    <row r="1429">
      <c r="A1429" s="7"/>
      <c r="B1429" s="15"/>
      <c r="D1429" s="20"/>
    </row>
    <row r="1430">
      <c r="A1430" s="7"/>
      <c r="B1430" s="15"/>
      <c r="D1430" s="20"/>
    </row>
    <row r="1431">
      <c r="A1431" s="7"/>
      <c r="B1431" s="15"/>
      <c r="D1431" s="20"/>
    </row>
    <row r="1432">
      <c r="A1432" s="7"/>
      <c r="B1432" s="15"/>
      <c r="D1432" s="20"/>
    </row>
    <row r="1433">
      <c r="A1433" s="7"/>
      <c r="B1433" s="15"/>
      <c r="D1433" s="20"/>
    </row>
    <row r="1434">
      <c r="A1434" s="7"/>
      <c r="B1434" s="15"/>
      <c r="D1434" s="20"/>
    </row>
    <row r="1435">
      <c r="A1435" s="7"/>
      <c r="B1435" s="15"/>
      <c r="D1435" s="20"/>
    </row>
    <row r="1436">
      <c r="A1436" s="7"/>
      <c r="B1436" s="15"/>
      <c r="D1436" s="20"/>
    </row>
    <row r="1437">
      <c r="A1437" s="7"/>
      <c r="B1437" s="15"/>
      <c r="D1437" s="20"/>
    </row>
    <row r="1438">
      <c r="A1438" s="7"/>
      <c r="B1438" s="15"/>
      <c r="D1438" s="20"/>
    </row>
    <row r="1439">
      <c r="A1439" s="7"/>
      <c r="B1439" s="15"/>
      <c r="D1439" s="20"/>
    </row>
    <row r="1440">
      <c r="A1440" s="7"/>
      <c r="B1440" s="15"/>
      <c r="D1440" s="20"/>
    </row>
    <row r="1441">
      <c r="A1441" s="7"/>
      <c r="B1441" s="15"/>
      <c r="D1441" s="20"/>
    </row>
    <row r="1442">
      <c r="A1442" s="7"/>
      <c r="B1442" s="15"/>
      <c r="D1442" s="20"/>
    </row>
    <row r="1443">
      <c r="A1443" s="7"/>
      <c r="B1443" s="15"/>
      <c r="D1443" s="20"/>
    </row>
    <row r="1444">
      <c r="A1444" s="7"/>
      <c r="B1444" s="15"/>
      <c r="D1444" s="20"/>
    </row>
    <row r="1445">
      <c r="A1445" s="7"/>
      <c r="B1445" s="15"/>
      <c r="D1445" s="20"/>
    </row>
    <row r="1446">
      <c r="A1446" s="7"/>
      <c r="B1446" s="15"/>
      <c r="D1446" s="20"/>
    </row>
    <row r="1447">
      <c r="A1447" s="7"/>
      <c r="B1447" s="15"/>
      <c r="D1447" s="20"/>
    </row>
    <row r="1448">
      <c r="A1448" s="7"/>
      <c r="B1448" s="15"/>
      <c r="D1448" s="20"/>
    </row>
    <row r="1449">
      <c r="A1449" s="7"/>
      <c r="B1449" s="15"/>
      <c r="D1449" s="20"/>
    </row>
    <row r="1450">
      <c r="A1450" s="7"/>
      <c r="B1450" s="15"/>
      <c r="D1450" s="20"/>
    </row>
    <row r="1451">
      <c r="A1451" s="7"/>
      <c r="B1451" s="15"/>
      <c r="D1451" s="20"/>
    </row>
    <row r="1452">
      <c r="A1452" s="7"/>
      <c r="B1452" s="15"/>
      <c r="D1452" s="20"/>
    </row>
    <row r="1453">
      <c r="A1453" s="7"/>
      <c r="B1453" s="15"/>
      <c r="D1453" s="20"/>
    </row>
    <row r="1454">
      <c r="A1454" s="7"/>
      <c r="B1454" s="15"/>
      <c r="D1454" s="20"/>
    </row>
    <row r="1455">
      <c r="A1455" s="7"/>
      <c r="B1455" s="15"/>
      <c r="D1455" s="20"/>
    </row>
    <row r="1456">
      <c r="A1456" s="7"/>
      <c r="B1456" s="15"/>
      <c r="D1456" s="20"/>
    </row>
    <row r="1457">
      <c r="A1457" s="7"/>
      <c r="B1457" s="15"/>
      <c r="D1457" s="20"/>
    </row>
    <row r="1458">
      <c r="A1458" s="7"/>
      <c r="B1458" s="15"/>
      <c r="D1458" s="20"/>
    </row>
    <row r="1459">
      <c r="A1459" s="7"/>
      <c r="B1459" s="15"/>
      <c r="D1459" s="20"/>
    </row>
    <row r="1460">
      <c r="A1460" s="7"/>
      <c r="B1460" s="15"/>
      <c r="D1460" s="20"/>
    </row>
    <row r="1461">
      <c r="A1461" s="7"/>
      <c r="B1461" s="15"/>
      <c r="D1461" s="20"/>
    </row>
    <row r="1462">
      <c r="A1462" s="7"/>
      <c r="B1462" s="15"/>
      <c r="D1462" s="20"/>
    </row>
    <row r="1463">
      <c r="A1463" s="7"/>
      <c r="B1463" s="15"/>
      <c r="D1463" s="20"/>
    </row>
    <row r="1464">
      <c r="A1464" s="7"/>
      <c r="B1464" s="15"/>
      <c r="D1464" s="20"/>
    </row>
    <row r="1465">
      <c r="A1465" s="7"/>
      <c r="B1465" s="15"/>
      <c r="D1465" s="20"/>
    </row>
    <row r="1466">
      <c r="A1466" s="7"/>
      <c r="B1466" s="15"/>
      <c r="D1466" s="20"/>
    </row>
    <row r="1467">
      <c r="A1467" s="7"/>
      <c r="B1467" s="15"/>
      <c r="D1467" s="20"/>
    </row>
    <row r="1468">
      <c r="A1468" s="7"/>
      <c r="B1468" s="15"/>
      <c r="D1468" s="20"/>
    </row>
    <row r="1469">
      <c r="A1469" s="7"/>
      <c r="B1469" s="15"/>
      <c r="D1469" s="20"/>
    </row>
    <row r="1470">
      <c r="A1470" s="7"/>
      <c r="B1470" s="15"/>
      <c r="D1470" s="20"/>
    </row>
    <row r="1471">
      <c r="A1471" s="7"/>
      <c r="B1471" s="15"/>
      <c r="D1471" s="20"/>
    </row>
    <row r="1472">
      <c r="A1472" s="7"/>
      <c r="B1472" s="15"/>
      <c r="D1472" s="20"/>
    </row>
    <row r="1473">
      <c r="A1473" s="7"/>
      <c r="B1473" s="15"/>
      <c r="D1473" s="20"/>
    </row>
    <row r="1474">
      <c r="A1474" s="7"/>
      <c r="B1474" s="15"/>
      <c r="D1474" s="20"/>
    </row>
    <row r="1475">
      <c r="A1475" s="7"/>
      <c r="B1475" s="15"/>
      <c r="D1475" s="20"/>
    </row>
    <row r="1476">
      <c r="A1476" s="7"/>
      <c r="B1476" s="15"/>
      <c r="D1476" s="20"/>
    </row>
    <row r="1477">
      <c r="A1477" s="7"/>
      <c r="B1477" s="15"/>
      <c r="D1477" s="20"/>
    </row>
    <row r="1478">
      <c r="A1478" s="7"/>
      <c r="B1478" s="15"/>
      <c r="D1478" s="20"/>
    </row>
    <row r="1479">
      <c r="A1479" s="7"/>
      <c r="B1479" s="15"/>
      <c r="D1479" s="20"/>
    </row>
    <row r="1480">
      <c r="A1480" s="7"/>
      <c r="B1480" s="15"/>
      <c r="D1480" s="20"/>
    </row>
    <row r="1481">
      <c r="A1481" s="7"/>
      <c r="B1481" s="15"/>
      <c r="D1481" s="20"/>
    </row>
    <row r="1482">
      <c r="A1482" s="7"/>
      <c r="B1482" s="15"/>
      <c r="D1482" s="20"/>
    </row>
    <row r="1483">
      <c r="A1483" s="7"/>
      <c r="B1483" s="15"/>
      <c r="D1483" s="20"/>
    </row>
    <row r="1484">
      <c r="A1484" s="7"/>
      <c r="B1484" s="15"/>
      <c r="D1484" s="20"/>
    </row>
    <row r="1485">
      <c r="A1485" s="7"/>
      <c r="B1485" s="15"/>
      <c r="D1485" s="20"/>
    </row>
    <row r="1486">
      <c r="A1486" s="7"/>
      <c r="B1486" s="15"/>
      <c r="D1486" s="20"/>
    </row>
    <row r="1487">
      <c r="A1487" s="7"/>
      <c r="B1487" s="15"/>
      <c r="D1487" s="20"/>
    </row>
    <row r="1488">
      <c r="A1488" s="7"/>
      <c r="B1488" s="15"/>
      <c r="D1488" s="20"/>
    </row>
    <row r="1489">
      <c r="A1489" s="7"/>
      <c r="B1489" s="15"/>
      <c r="D1489" s="20"/>
    </row>
    <row r="1490">
      <c r="A1490" s="7"/>
      <c r="B1490" s="15"/>
      <c r="D1490" s="20"/>
    </row>
    <row r="1491">
      <c r="A1491" s="7"/>
      <c r="B1491" s="15"/>
      <c r="D1491" s="20"/>
    </row>
    <row r="1492">
      <c r="A1492" s="7"/>
      <c r="B1492" s="15"/>
      <c r="D1492" s="20"/>
    </row>
    <row r="1493">
      <c r="A1493" s="7"/>
      <c r="B1493" s="15"/>
      <c r="D1493" s="20"/>
    </row>
    <row r="1494">
      <c r="A1494" s="7"/>
      <c r="B1494" s="15"/>
      <c r="D1494" s="20"/>
    </row>
    <row r="1495">
      <c r="A1495" s="7"/>
      <c r="B1495" s="15"/>
      <c r="D1495" s="20"/>
    </row>
    <row r="1496">
      <c r="A1496" s="7"/>
      <c r="B1496" s="15"/>
      <c r="D1496" s="20"/>
    </row>
    <row r="1497">
      <c r="A1497" s="7"/>
      <c r="B1497" s="15"/>
      <c r="D1497" s="20"/>
    </row>
    <row r="1498">
      <c r="A1498" s="7"/>
      <c r="B1498" s="15"/>
      <c r="D1498" s="20"/>
    </row>
    <row r="1499">
      <c r="A1499" s="7"/>
      <c r="B1499" s="15"/>
      <c r="D1499" s="20"/>
    </row>
    <row r="1500">
      <c r="A1500" s="7"/>
      <c r="B1500" s="15"/>
      <c r="D1500" s="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12.29"/>
    <col customWidth="1" min="2" max="2" width="50.71"/>
    <col customWidth="1" min="3" max="3" width="7.14"/>
    <col customWidth="1" min="4" max="4" width="5.29"/>
    <col customWidth="1" min="5" max="5" width="27.0"/>
    <col customWidth="1" min="6" max="6" width="24.86"/>
    <col customWidth="1" min="7" max="7" width="14.43"/>
    <col customWidth="1" min="8" max="8" width="8.57"/>
    <col customWidth="1" min="9" max="9" width="9.86"/>
    <col customWidth="1" min="10" max="10" width="12.0"/>
  </cols>
  <sheetData>
    <row r="1" ht="25.5" customHeight="1">
      <c r="A1" s="7" t="s">
        <v>94</v>
      </c>
      <c r="B1" s="5" t="s">
        <v>95</v>
      </c>
      <c r="C1" t="s">
        <v>96</v>
      </c>
      <c r="D1" s="5" t="s">
        <v>97</v>
      </c>
      <c r="E1" s="5" t="s">
        <v>98</v>
      </c>
      <c r="F1" s="5" t="s">
        <v>99</v>
      </c>
      <c r="G1" s="5" t="s">
        <v>100</v>
      </c>
      <c r="H1" s="5" t="s">
        <v>1299</v>
      </c>
      <c r="I1" s="5" t="s">
        <v>1300</v>
      </c>
      <c r="J1" s="5" t="s">
        <v>101</v>
      </c>
    </row>
    <row r="2">
      <c r="A2" s="7">
        <v>36497</v>
      </c>
      <c r="B2" t="s">
        <v>102</v>
      </c>
      <c r="D2">
        <v>901</v>
      </c>
      <c r="E2" t="s">
        <v>18</v>
      </c>
    </row>
    <row r="3">
      <c r="A3" s="7">
        <v>37072</v>
      </c>
      <c r="B3" t="s">
        <v>1301</v>
      </c>
      <c r="C3">
        <v>10230</v>
      </c>
      <c r="D3">
        <v>561</v>
      </c>
      <c r="E3" t="s">
        <v>16</v>
      </c>
    </row>
    <row r="4">
      <c r="A4" s="7">
        <v>37151</v>
      </c>
      <c r="B4" t="s">
        <v>1302</v>
      </c>
      <c r="C4">
        <v>100</v>
      </c>
      <c r="D4" s="20">
        <v>683</v>
      </c>
      <c r="E4" t="s">
        <v>26</v>
      </c>
    </row>
    <row r="5">
      <c r="A5" s="7">
        <v>37187</v>
      </c>
      <c r="B5" t="s">
        <v>1303</v>
      </c>
      <c r="C5">
        <v>50</v>
      </c>
      <c r="D5">
        <v>562</v>
      </c>
      <c r="E5" t="s">
        <v>19</v>
      </c>
    </row>
    <row r="6">
      <c r="A6" s="7">
        <v>37187</v>
      </c>
      <c r="B6" t="s">
        <v>1303</v>
      </c>
      <c r="C6">
        <v>150</v>
      </c>
      <c r="D6">
        <v>562</v>
      </c>
      <c r="E6" t="s">
        <v>19</v>
      </c>
    </row>
    <row r="7">
      <c r="A7" s="7">
        <v>37195</v>
      </c>
      <c r="B7" t="s">
        <v>251</v>
      </c>
      <c r="C7">
        <v>0.01</v>
      </c>
      <c r="D7">
        <v>502</v>
      </c>
      <c r="E7" t="s">
        <v>19</v>
      </c>
    </row>
    <row r="8">
      <c r="A8" s="7">
        <v>37225</v>
      </c>
      <c r="B8" t="s">
        <v>251</v>
      </c>
      <c r="C8">
        <v>0.03</v>
      </c>
      <c r="D8">
        <v>502</v>
      </c>
      <c r="E8" t="s">
        <v>19</v>
      </c>
    </row>
    <row r="9">
      <c r="A9" s="7">
        <v>37228</v>
      </c>
      <c r="B9" t="s">
        <v>1304</v>
      </c>
      <c r="C9">
        <v>200</v>
      </c>
      <c r="D9">
        <v>562</v>
      </c>
      <c r="E9" t="s">
        <v>19</v>
      </c>
    </row>
    <row r="10">
      <c r="A10" s="7">
        <v>37228</v>
      </c>
      <c r="B10" t="s">
        <v>1305</v>
      </c>
      <c r="C10">
        <v>200</v>
      </c>
      <c r="D10">
        <v>562</v>
      </c>
      <c r="E10" t="s">
        <v>19</v>
      </c>
    </row>
    <row r="11">
      <c r="A11" s="7">
        <v>37228</v>
      </c>
      <c r="B11" t="s">
        <v>1306</v>
      </c>
      <c r="C11">
        <v>200</v>
      </c>
      <c r="D11">
        <v>562</v>
      </c>
      <c r="E11" t="s">
        <v>19</v>
      </c>
    </row>
    <row r="12">
      <c r="A12" s="7">
        <v>37256</v>
      </c>
      <c r="B12" t="s">
        <v>251</v>
      </c>
      <c r="C12">
        <v>0.06</v>
      </c>
      <c r="D12">
        <v>502</v>
      </c>
      <c r="E12" t="s">
        <v>19</v>
      </c>
    </row>
    <row r="13">
      <c r="A13" s="7">
        <v>37271</v>
      </c>
      <c r="B13" t="s">
        <v>1307</v>
      </c>
      <c r="C13">
        <v>500</v>
      </c>
      <c r="D13">
        <v>562</v>
      </c>
      <c r="E13" t="s">
        <v>19</v>
      </c>
    </row>
    <row r="14">
      <c r="A14" s="7">
        <v>37272</v>
      </c>
      <c r="B14" t="s">
        <v>1308</v>
      </c>
      <c r="C14">
        <v>50</v>
      </c>
      <c r="D14">
        <v>562</v>
      </c>
      <c r="E14" t="s">
        <v>19</v>
      </c>
    </row>
    <row r="15">
      <c r="A15" s="7">
        <v>37272</v>
      </c>
      <c r="B15" t="s">
        <v>1309</v>
      </c>
      <c r="C15">
        <v>200</v>
      </c>
      <c r="D15">
        <v>562</v>
      </c>
      <c r="E15" t="s">
        <v>19</v>
      </c>
    </row>
    <row r="16">
      <c r="A16" s="7">
        <v>37272</v>
      </c>
      <c r="B16" t="s">
        <v>1310</v>
      </c>
      <c r="C16">
        <v>200</v>
      </c>
      <c r="D16">
        <v>562</v>
      </c>
      <c r="E16" t="s">
        <v>19</v>
      </c>
    </row>
    <row r="17">
      <c r="A17" s="7">
        <v>37287</v>
      </c>
      <c r="B17" t="s">
        <v>251</v>
      </c>
      <c r="C17">
        <v>0.06</v>
      </c>
      <c r="D17">
        <v>502</v>
      </c>
      <c r="E17" t="s">
        <v>19</v>
      </c>
    </row>
    <row r="18">
      <c r="A18" s="7">
        <v>37315</v>
      </c>
      <c r="B18" t="s">
        <v>251</v>
      </c>
      <c r="C18">
        <v>0.07</v>
      </c>
      <c r="D18">
        <v>502</v>
      </c>
      <c r="E18" t="s">
        <v>19</v>
      </c>
    </row>
    <row r="19">
      <c r="A19" s="7">
        <v>37346</v>
      </c>
      <c r="B19" t="s">
        <v>251</v>
      </c>
      <c r="C19">
        <v>0.08</v>
      </c>
      <c r="D19">
        <v>502</v>
      </c>
      <c r="E19" t="s">
        <v>19</v>
      </c>
    </row>
    <row r="20">
      <c r="A20" s="7">
        <v>37356</v>
      </c>
      <c r="B20" t="s">
        <v>1311</v>
      </c>
      <c r="C20">
        <v>90</v>
      </c>
      <c r="D20">
        <v>561</v>
      </c>
      <c r="E20" t="s">
        <v>19</v>
      </c>
    </row>
    <row r="21">
      <c r="A21" s="7">
        <v>37365</v>
      </c>
      <c r="B21" t="s">
        <v>1303</v>
      </c>
      <c r="C21">
        <v>80</v>
      </c>
      <c r="D21">
        <v>562</v>
      </c>
      <c r="E21" t="s">
        <v>19</v>
      </c>
    </row>
    <row r="22">
      <c r="A22" s="7">
        <v>37376</v>
      </c>
      <c r="B22" t="s">
        <v>251</v>
      </c>
      <c r="C22">
        <v>0.08</v>
      </c>
      <c r="D22">
        <v>502</v>
      </c>
      <c r="E22" t="s">
        <v>19</v>
      </c>
    </row>
    <row r="23">
      <c r="A23" s="7">
        <v>37407</v>
      </c>
      <c r="B23" t="s">
        <v>251</v>
      </c>
      <c r="C23">
        <v>0.09</v>
      </c>
      <c r="D23">
        <v>502</v>
      </c>
      <c r="E23" t="s">
        <v>19</v>
      </c>
    </row>
    <row r="24">
      <c r="A24" s="7">
        <v>37419</v>
      </c>
      <c r="B24" t="s">
        <v>1303</v>
      </c>
      <c r="C24">
        <v>30</v>
      </c>
      <c r="D24">
        <v>562</v>
      </c>
      <c r="E24" t="s">
        <v>19</v>
      </c>
    </row>
    <row r="25">
      <c r="A25" s="7">
        <v>37437</v>
      </c>
      <c r="B25" t="s">
        <v>251</v>
      </c>
      <c r="C25">
        <v>0.05</v>
      </c>
      <c r="D25">
        <v>502</v>
      </c>
      <c r="E25" t="s">
        <v>19</v>
      </c>
    </row>
    <row r="26">
      <c r="A26" s="7">
        <v>37468</v>
      </c>
      <c r="B26" t="s">
        <v>251</v>
      </c>
      <c r="C26">
        <v>0.03</v>
      </c>
      <c r="D26">
        <v>502</v>
      </c>
      <c r="E26" t="s">
        <v>19</v>
      </c>
    </row>
    <row r="27">
      <c r="A27" s="7">
        <v>37499</v>
      </c>
      <c r="B27" t="s">
        <v>251</v>
      </c>
      <c r="C27">
        <v>0.03</v>
      </c>
      <c r="D27">
        <v>502</v>
      </c>
      <c r="E27" t="s">
        <v>19</v>
      </c>
    </row>
    <row r="28">
      <c r="A28" s="7">
        <v>37503</v>
      </c>
      <c r="B28" t="s">
        <v>1312</v>
      </c>
      <c r="C28">
        <v>24</v>
      </c>
      <c r="D28">
        <v>588</v>
      </c>
      <c r="E28" t="s">
        <v>19</v>
      </c>
    </row>
    <row r="29">
      <c r="A29" s="7">
        <v>37503</v>
      </c>
      <c r="B29" t="s">
        <v>1313</v>
      </c>
      <c r="C29">
        <v>15</v>
      </c>
      <c r="D29">
        <v>588</v>
      </c>
      <c r="E29" t="s">
        <v>19</v>
      </c>
    </row>
    <row r="30">
      <c r="A30" s="7">
        <v>37512</v>
      </c>
      <c r="B30" t="s">
        <v>1314</v>
      </c>
      <c r="C30">
        <v>16</v>
      </c>
      <c r="D30">
        <v>588</v>
      </c>
      <c r="E30" t="s">
        <v>19</v>
      </c>
    </row>
    <row r="31">
      <c r="A31" s="7">
        <v>37529</v>
      </c>
      <c r="B31" t="s">
        <v>1315</v>
      </c>
      <c r="C31">
        <v>0.03</v>
      </c>
      <c r="D31">
        <v>502</v>
      </c>
      <c r="E31" t="s">
        <v>19</v>
      </c>
    </row>
    <row r="32">
      <c r="A32" s="7">
        <v>37560</v>
      </c>
      <c r="B32" t="s">
        <v>1316</v>
      </c>
      <c r="C32">
        <v>0.03</v>
      </c>
      <c r="D32">
        <v>502</v>
      </c>
      <c r="E32" t="s">
        <v>19</v>
      </c>
    </row>
    <row r="33">
      <c r="A33" s="7">
        <v>37590</v>
      </c>
      <c r="B33" t="s">
        <v>1317</v>
      </c>
      <c r="C33">
        <v>0.03</v>
      </c>
      <c r="D33">
        <v>502</v>
      </c>
      <c r="E33" t="s">
        <v>19</v>
      </c>
    </row>
    <row r="34">
      <c r="A34" s="7">
        <v>37621</v>
      </c>
      <c r="B34" t="s">
        <v>1318</v>
      </c>
      <c r="C34">
        <v>0.03</v>
      </c>
      <c r="D34">
        <v>502</v>
      </c>
      <c r="E34" t="s">
        <v>19</v>
      </c>
    </row>
    <row r="35">
      <c r="A35" s="7">
        <v>37652</v>
      </c>
      <c r="B35" t="s">
        <v>251</v>
      </c>
      <c r="C35">
        <v>0.03</v>
      </c>
      <c r="D35">
        <v>502</v>
      </c>
      <c r="E35" t="s">
        <v>19</v>
      </c>
    </row>
    <row r="36">
      <c r="A36" s="7">
        <v>37680</v>
      </c>
      <c r="B36" t="s">
        <v>251</v>
      </c>
      <c r="C36">
        <v>0.03</v>
      </c>
      <c r="D36">
        <v>502</v>
      </c>
      <c r="E36" t="s">
        <v>19</v>
      </c>
    </row>
    <row r="37">
      <c r="A37" s="7">
        <v>37711</v>
      </c>
      <c r="B37" t="s">
        <v>251</v>
      </c>
      <c r="C37">
        <v>0.03</v>
      </c>
      <c r="D37">
        <v>502</v>
      </c>
      <c r="E37" t="s">
        <v>19</v>
      </c>
    </row>
    <row r="38">
      <c r="A38" s="7">
        <v>37741</v>
      </c>
      <c r="B38" t="s">
        <v>251</v>
      </c>
      <c r="C38">
        <v>0.03</v>
      </c>
      <c r="D38">
        <v>502</v>
      </c>
      <c r="E38" t="s">
        <v>19</v>
      </c>
    </row>
    <row r="39">
      <c r="A39" s="7">
        <v>37772</v>
      </c>
      <c r="B39" t="s">
        <v>251</v>
      </c>
      <c r="C39">
        <v>0.03</v>
      </c>
      <c r="D39">
        <v>502</v>
      </c>
      <c r="E39" t="s">
        <v>19</v>
      </c>
    </row>
    <row r="40">
      <c r="A40" s="7">
        <v>37802</v>
      </c>
      <c r="B40" t="s">
        <v>251</v>
      </c>
      <c r="C40">
        <v>0.03</v>
      </c>
      <c r="D40">
        <v>502</v>
      </c>
      <c r="E40" t="s">
        <v>19</v>
      </c>
    </row>
    <row r="41">
      <c r="A41" s="7">
        <v>37833</v>
      </c>
      <c r="B41" t="s">
        <v>251</v>
      </c>
      <c r="C41">
        <v>0.03</v>
      </c>
      <c r="D41">
        <v>502</v>
      </c>
      <c r="E41" t="s">
        <v>19</v>
      </c>
    </row>
    <row r="42">
      <c r="A42" s="7">
        <v>37864</v>
      </c>
      <c r="B42" t="s">
        <v>251</v>
      </c>
      <c r="C42">
        <v>0.03</v>
      </c>
      <c r="D42">
        <v>502</v>
      </c>
      <c r="E42" t="s">
        <v>19</v>
      </c>
    </row>
    <row r="43">
      <c r="A43" s="7">
        <v>37894</v>
      </c>
      <c r="B43" t="s">
        <v>251</v>
      </c>
      <c r="C43">
        <v>0.01</v>
      </c>
      <c r="D43">
        <v>502</v>
      </c>
      <c r="E43" t="s">
        <v>19</v>
      </c>
    </row>
    <row r="44">
      <c r="A44" s="7">
        <v>38046</v>
      </c>
      <c r="B44" t="s">
        <v>251</v>
      </c>
      <c r="C44">
        <v>0.01</v>
      </c>
      <c r="D44">
        <v>502</v>
      </c>
      <c r="E44" t="s">
        <v>19</v>
      </c>
    </row>
    <row r="45">
      <c r="A45" s="7">
        <v>38199</v>
      </c>
      <c r="B45" t="s">
        <v>251</v>
      </c>
      <c r="C45">
        <v>0.01</v>
      </c>
      <c r="D45">
        <v>502</v>
      </c>
      <c r="E45" t="s">
        <v>19</v>
      </c>
    </row>
    <row r="46">
      <c r="A46" s="7">
        <v>38352</v>
      </c>
      <c r="B46" t="s">
        <v>251</v>
      </c>
      <c r="C46">
        <v>0.01</v>
      </c>
      <c r="D46">
        <v>502</v>
      </c>
      <c r="E46" t="s">
        <v>19</v>
      </c>
    </row>
    <row r="47">
      <c r="A47" s="7">
        <v>38533</v>
      </c>
      <c r="B47" t="s">
        <v>251</v>
      </c>
      <c r="C47">
        <v>0.01</v>
      </c>
      <c r="D47">
        <v>502</v>
      </c>
      <c r="E47" t="s">
        <v>19</v>
      </c>
    </row>
    <row r="48">
      <c r="A48" s="7">
        <v>38686</v>
      </c>
      <c r="B48" t="s">
        <v>251</v>
      </c>
      <c r="C48">
        <v>0.01</v>
      </c>
      <c r="D48">
        <v>502</v>
      </c>
      <c r="E48" t="s">
        <v>19</v>
      </c>
    </row>
    <row r="49">
      <c r="A49" s="7">
        <v>38868</v>
      </c>
      <c r="B49" t="s">
        <v>251</v>
      </c>
      <c r="C49">
        <v>0.01</v>
      </c>
      <c r="D49">
        <v>502</v>
      </c>
      <c r="E49" t="s">
        <v>19</v>
      </c>
    </row>
    <row r="50">
      <c r="A50" s="7">
        <v>39202</v>
      </c>
      <c r="B50" t="s">
        <v>1319</v>
      </c>
      <c r="C50">
        <v>50</v>
      </c>
      <c r="D50" s="20">
        <v>505</v>
      </c>
      <c r="E50" s="20" t="s">
        <v>25</v>
      </c>
    </row>
    <row r="51">
      <c r="A51" s="7">
        <v>39994</v>
      </c>
      <c r="B51" t="s">
        <v>1320</v>
      </c>
      <c r="C51">
        <v>1000</v>
      </c>
      <c r="D51">
        <v>505</v>
      </c>
      <c r="E51" t="s">
        <v>22</v>
      </c>
    </row>
    <row r="52">
      <c r="A52" s="7">
        <v>39994</v>
      </c>
      <c r="B52" t="s">
        <v>1321</v>
      </c>
      <c r="C52">
        <v>500</v>
      </c>
      <c r="D52">
        <v>505</v>
      </c>
      <c r="E52" t="s">
        <v>22</v>
      </c>
    </row>
    <row r="53">
      <c r="A53" s="7">
        <v>39994</v>
      </c>
      <c r="B53" t="s">
        <v>1322</v>
      </c>
      <c r="C53">
        <v>1926.05</v>
      </c>
      <c r="D53">
        <v>505</v>
      </c>
      <c r="E53" t="s">
        <v>22</v>
      </c>
    </row>
    <row r="54">
      <c r="A54" s="7">
        <v>40360</v>
      </c>
      <c r="B54" t="s">
        <v>1323</v>
      </c>
      <c r="C54">
        <v>120</v>
      </c>
      <c r="D54">
        <v>561</v>
      </c>
      <c r="E54" t="s">
        <v>35</v>
      </c>
    </row>
    <row r="55">
      <c r="A55" s="7">
        <v>40359</v>
      </c>
      <c r="B55" t="s">
        <v>1324</v>
      </c>
      <c r="C55">
        <v>100</v>
      </c>
      <c r="D55">
        <v>598</v>
      </c>
      <c r="E55" t="s">
        <v>23</v>
      </c>
    </row>
    <row r="56">
      <c r="A56" s="7">
        <v>40724</v>
      </c>
      <c r="B56" t="s">
        <v>1325</v>
      </c>
      <c r="C56">
        <v>-25</v>
      </c>
      <c r="D56">
        <v>651</v>
      </c>
      <c r="E56" s="4" t="s">
        <v>30</v>
      </c>
    </row>
    <row r="57">
      <c r="A57" s="7">
        <v>40724</v>
      </c>
      <c r="B57" t="s">
        <v>1326</v>
      </c>
      <c r="C57">
        <v>50</v>
      </c>
      <c r="D57">
        <v>598</v>
      </c>
      <c r="E57" t="s">
        <v>23</v>
      </c>
    </row>
    <row r="58">
      <c r="A58" s="7">
        <v>40725</v>
      </c>
      <c r="B58" t="s">
        <v>1323</v>
      </c>
      <c r="C58">
        <v>120</v>
      </c>
      <c r="D58">
        <v>305</v>
      </c>
      <c r="E58" t="s">
        <v>48</v>
      </c>
    </row>
    <row r="59">
      <c r="A59" s="7">
        <v>41144</v>
      </c>
      <c r="B59" t="s">
        <v>1327</v>
      </c>
      <c r="C59">
        <v>170</v>
      </c>
      <c r="D59">
        <v>541</v>
      </c>
      <c r="E59" s="20" t="s">
        <v>27</v>
      </c>
    </row>
    <row r="60">
      <c r="A60" s="7">
        <v>41188</v>
      </c>
      <c r="B60" t="s">
        <v>1328</v>
      </c>
      <c r="C60">
        <v>800</v>
      </c>
      <c r="D60">
        <v>152</v>
      </c>
      <c r="E60" s="20" t="s">
        <v>75</v>
      </c>
    </row>
    <row r="61">
      <c r="A61" s="7">
        <v>41455</v>
      </c>
      <c r="B61" t="s">
        <v>1329</v>
      </c>
      <c r="C61">
        <v>-31.55</v>
      </c>
      <c r="D61">
        <v>610</v>
      </c>
      <c r="E61" t="s">
        <v>29</v>
      </c>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c r="B210" s="15"/>
    </row>
    <row r="211">
      <c r="A211" s="7"/>
      <c r="B211" s="15"/>
    </row>
    <row r="212">
      <c r="A212" s="7"/>
      <c r="B212" s="15"/>
    </row>
    <row r="213">
      <c r="A213" s="7"/>
      <c r="B213" s="15"/>
    </row>
    <row r="214">
      <c r="A214" s="7"/>
      <c r="B214" s="15"/>
    </row>
    <row r="215">
      <c r="A215" s="7"/>
      <c r="B215" s="15"/>
    </row>
    <row r="216">
      <c r="A216" s="7"/>
      <c r="B216" s="15"/>
    </row>
    <row r="217">
      <c r="A217" s="7"/>
      <c r="B217" s="15"/>
    </row>
    <row r="218">
      <c r="A218" s="7"/>
      <c r="B218" s="15"/>
    </row>
    <row r="219">
      <c r="A219" s="7"/>
      <c r="B219" s="15"/>
    </row>
    <row r="220">
      <c r="A220" s="7"/>
      <c r="B220" s="15"/>
    </row>
    <row r="221">
      <c r="A221" s="7"/>
      <c r="B221" s="15"/>
    </row>
    <row r="222">
      <c r="A222" s="7"/>
      <c r="B222" s="15"/>
    </row>
    <row r="223">
      <c r="A223" s="7"/>
      <c r="B223" s="15"/>
    </row>
    <row r="224">
      <c r="A224" s="7"/>
      <c r="B224" s="15"/>
    </row>
    <row r="225">
      <c r="A225" s="7"/>
      <c r="B225" s="15"/>
    </row>
    <row r="226">
      <c r="A226" s="7"/>
      <c r="B226" s="15"/>
    </row>
    <row r="227">
      <c r="A227" s="7"/>
      <c r="B227" s="15"/>
    </row>
    <row r="228">
      <c r="A228" s="7"/>
      <c r="B228" s="15"/>
    </row>
    <row r="229">
      <c r="A229" s="7"/>
      <c r="B229" s="15"/>
    </row>
    <row r="230">
      <c r="A230" s="7"/>
      <c r="B230" s="15"/>
    </row>
    <row r="231">
      <c r="A231" s="7"/>
      <c r="B231" s="15"/>
    </row>
    <row r="232">
      <c r="A232" s="7"/>
      <c r="B232" s="15"/>
    </row>
    <row r="233">
      <c r="A233" s="7"/>
      <c r="B233" s="15"/>
    </row>
    <row r="234">
      <c r="A234" s="7"/>
      <c r="B234" s="15"/>
    </row>
    <row r="235">
      <c r="A235" s="7"/>
      <c r="B235" s="15"/>
    </row>
    <row r="236">
      <c r="A236" s="7"/>
      <c r="B236" s="15"/>
    </row>
    <row r="237">
      <c r="A237" s="7"/>
      <c r="B237" s="15"/>
    </row>
    <row r="238">
      <c r="A238" s="7"/>
      <c r="B238" s="15"/>
    </row>
    <row r="239">
      <c r="A239" s="7"/>
      <c r="B239" s="15"/>
    </row>
    <row r="240">
      <c r="A240" s="7"/>
      <c r="B240" s="15"/>
    </row>
    <row r="241">
      <c r="A241" s="7"/>
      <c r="B241" s="15"/>
    </row>
    <row r="242">
      <c r="A242" s="7"/>
      <c r="B242" s="15"/>
    </row>
    <row r="243">
      <c r="A243" s="7"/>
      <c r="B243" s="15"/>
    </row>
    <row r="244">
      <c r="A244" s="7"/>
      <c r="B244" s="15"/>
    </row>
    <row r="245">
      <c r="A245" s="7"/>
      <c r="B245" s="15"/>
    </row>
    <row r="246">
      <c r="A246" s="7"/>
      <c r="B246" s="15"/>
    </row>
    <row r="247">
      <c r="A247" s="7"/>
      <c r="B247" s="15"/>
    </row>
    <row r="248">
      <c r="A248" s="7"/>
      <c r="B248" s="15"/>
    </row>
    <row r="249">
      <c r="A249" s="7"/>
      <c r="B249" s="15"/>
    </row>
    <row r="250">
      <c r="A250" s="7"/>
      <c r="B250" s="15"/>
    </row>
    <row r="251">
      <c r="A251" s="7"/>
      <c r="B251" s="15"/>
    </row>
    <row r="252">
      <c r="A252" s="7"/>
      <c r="B252" s="15"/>
    </row>
    <row r="253">
      <c r="A253" s="7"/>
      <c r="B253" s="15"/>
    </row>
    <row r="254">
      <c r="A254" s="7"/>
      <c r="B254" s="15"/>
    </row>
    <row r="255">
      <c r="A255" s="7"/>
      <c r="B255" s="15"/>
    </row>
    <row r="256">
      <c r="A256" s="7"/>
      <c r="B256" s="15"/>
    </row>
    <row r="257">
      <c r="A257" s="7"/>
      <c r="B257" s="15"/>
    </row>
    <row r="258">
      <c r="A258" s="7"/>
      <c r="B258" s="15"/>
    </row>
    <row r="259">
      <c r="A259" s="7"/>
      <c r="B259" s="15"/>
    </row>
    <row r="260">
      <c r="A260" s="7"/>
      <c r="B260" s="15"/>
    </row>
    <row r="261">
      <c r="A261" s="7"/>
      <c r="B261" s="15"/>
    </row>
    <row r="262">
      <c r="A262" s="7"/>
      <c r="B262" s="15"/>
    </row>
    <row r="263">
      <c r="A263" s="7"/>
      <c r="B263" s="15"/>
    </row>
    <row r="264">
      <c r="A264" s="7"/>
      <c r="B264" s="15"/>
    </row>
    <row r="265">
      <c r="A265" s="7"/>
      <c r="B265" s="15"/>
    </row>
    <row r="266">
      <c r="A266" s="7"/>
      <c r="B266" s="15"/>
    </row>
    <row r="267">
      <c r="A267" s="7"/>
      <c r="B267" s="15"/>
    </row>
    <row r="268">
      <c r="A268" s="7"/>
      <c r="B268" s="15"/>
    </row>
    <row r="269">
      <c r="A269" s="7"/>
      <c r="B269" s="15"/>
    </row>
    <row r="270">
      <c r="A270" s="7"/>
      <c r="B270" s="15"/>
    </row>
    <row r="271">
      <c r="A271" s="7"/>
      <c r="B271" s="15"/>
    </row>
    <row r="272">
      <c r="A272" s="7"/>
      <c r="B272" s="15"/>
    </row>
    <row r="273">
      <c r="A273" s="7"/>
      <c r="B273" s="15"/>
    </row>
    <row r="274">
      <c r="A274" s="7"/>
      <c r="B274" s="15"/>
    </row>
    <row r="275">
      <c r="A275" s="7"/>
      <c r="B275" s="15"/>
    </row>
    <row r="276">
      <c r="A276" s="7"/>
      <c r="B276" s="15"/>
    </row>
    <row r="277">
      <c r="A277" s="7"/>
      <c r="B277" s="15"/>
    </row>
    <row r="278">
      <c r="A278" s="7"/>
      <c r="B278" s="15"/>
    </row>
    <row r="279">
      <c r="A279" s="7"/>
      <c r="B279" s="15"/>
    </row>
    <row r="280">
      <c r="A280" s="7"/>
      <c r="B280" s="15"/>
    </row>
    <row r="281">
      <c r="A281" s="7"/>
      <c r="B281" s="15"/>
    </row>
    <row r="282">
      <c r="A282" s="7"/>
      <c r="B282" s="15"/>
    </row>
    <row r="283">
      <c r="A283" s="7"/>
      <c r="B283" s="15"/>
    </row>
    <row r="284">
      <c r="A284" s="7"/>
      <c r="B284" s="15"/>
    </row>
    <row r="285">
      <c r="A285" s="7"/>
      <c r="B285" s="15"/>
    </row>
    <row r="286">
      <c r="A286" s="7"/>
      <c r="B286" s="15"/>
    </row>
    <row r="287">
      <c r="A287" s="7"/>
      <c r="B287" s="15"/>
    </row>
    <row r="288">
      <c r="A288" s="7"/>
      <c r="B288" s="15"/>
    </row>
    <row r="289">
      <c r="A289" s="7"/>
      <c r="B289" s="15"/>
    </row>
    <row r="290">
      <c r="A290" s="7"/>
      <c r="B290" s="15"/>
    </row>
    <row r="291">
      <c r="A291" s="7"/>
      <c r="B291" s="15"/>
    </row>
    <row r="292">
      <c r="A292" s="7"/>
      <c r="B292" s="15"/>
    </row>
    <row r="293">
      <c r="A293" s="7"/>
      <c r="B293" s="15"/>
    </row>
    <row r="294">
      <c r="A294" s="7"/>
      <c r="B294" s="15"/>
    </row>
    <row r="295">
      <c r="A295" s="7"/>
      <c r="B295" s="15"/>
    </row>
    <row r="296">
      <c r="A296" s="7"/>
      <c r="B296" s="15"/>
    </row>
    <row r="297">
      <c r="A297" s="7"/>
      <c r="B297" s="15"/>
    </row>
    <row r="298">
      <c r="A298" s="7"/>
      <c r="B298" s="15"/>
    </row>
    <row r="299">
      <c r="A299" s="7"/>
      <c r="B299" s="15"/>
    </row>
    <row r="300">
      <c r="A300" s="7"/>
      <c r="B300" s="15"/>
    </row>
    <row r="301">
      <c r="A301" s="7"/>
      <c r="B301" s="15"/>
    </row>
    <row r="302">
      <c r="A302" s="7"/>
      <c r="B302" s="15"/>
    </row>
    <row r="303">
      <c r="A303" s="7"/>
      <c r="B303" s="15"/>
    </row>
    <row r="304">
      <c r="A304" s="7"/>
      <c r="B304" s="15"/>
    </row>
    <row r="305">
      <c r="A305" s="7"/>
      <c r="B305" s="15"/>
    </row>
    <row r="306">
      <c r="A306" s="7"/>
      <c r="B306" s="15"/>
    </row>
    <row r="307">
      <c r="A307" s="7"/>
      <c r="B307" s="15"/>
    </row>
    <row r="308">
      <c r="A308" s="7"/>
      <c r="B308" s="15"/>
    </row>
    <row r="309">
      <c r="A309" s="7"/>
      <c r="B309" s="15"/>
    </row>
    <row r="310">
      <c r="A310" s="7"/>
      <c r="B310" s="15"/>
    </row>
    <row r="311">
      <c r="A311" s="7"/>
      <c r="B311" s="15"/>
    </row>
    <row r="312">
      <c r="A312" s="7"/>
      <c r="B312" s="15"/>
    </row>
    <row r="313">
      <c r="A313" s="7"/>
      <c r="B313" s="15"/>
    </row>
    <row r="314">
      <c r="A314" s="7"/>
      <c r="B314" s="15"/>
    </row>
    <row r="315">
      <c r="A315" s="7"/>
      <c r="B315" s="15"/>
    </row>
    <row r="316">
      <c r="A316" s="7"/>
      <c r="B316" s="15"/>
    </row>
    <row r="317">
      <c r="A317" s="7"/>
      <c r="B317" s="15"/>
    </row>
    <row r="318">
      <c r="A318" s="7"/>
      <c r="B318" s="15"/>
    </row>
    <row r="319">
      <c r="A319" s="7"/>
      <c r="B319" s="15"/>
    </row>
    <row r="320">
      <c r="A320" s="7"/>
      <c r="B320" s="15"/>
    </row>
    <row r="321">
      <c r="A321" s="7"/>
      <c r="B321" s="15"/>
    </row>
    <row r="322">
      <c r="A322" s="7"/>
      <c r="B322" s="15"/>
    </row>
    <row r="323">
      <c r="A323" s="7"/>
      <c r="B323" s="15"/>
    </row>
    <row r="324">
      <c r="A324" s="7"/>
      <c r="B324" s="15"/>
    </row>
    <row r="325">
      <c r="A325" s="7"/>
      <c r="B325" s="15"/>
    </row>
    <row r="326">
      <c r="A326" s="7"/>
      <c r="B326" s="15"/>
    </row>
    <row r="327">
      <c r="A327" s="7"/>
      <c r="B327" s="15"/>
    </row>
    <row r="328">
      <c r="A328" s="7"/>
      <c r="B328" s="15"/>
    </row>
    <row r="329">
      <c r="A329" s="7"/>
      <c r="B329" s="15"/>
    </row>
    <row r="330">
      <c r="A330" s="7"/>
      <c r="B330" s="15"/>
    </row>
    <row r="331">
      <c r="A331" s="7"/>
      <c r="B331" s="15"/>
    </row>
    <row r="332">
      <c r="A332" s="7"/>
      <c r="B332" s="15"/>
    </row>
    <row r="333">
      <c r="A333" s="7"/>
      <c r="B333" s="15"/>
    </row>
    <row r="334">
      <c r="A334" s="7"/>
      <c r="B334" s="15"/>
    </row>
    <row r="335">
      <c r="A335" s="7"/>
      <c r="B335" s="15"/>
    </row>
    <row r="336">
      <c r="A336" s="7"/>
      <c r="B336" s="15"/>
    </row>
    <row r="337">
      <c r="A337" s="7"/>
      <c r="B337" s="15"/>
    </row>
    <row r="338">
      <c r="A338" s="7"/>
      <c r="B338" s="15"/>
    </row>
    <row r="339">
      <c r="A339" s="7"/>
      <c r="B339" s="15"/>
    </row>
    <row r="340">
      <c r="A340" s="7"/>
      <c r="B340" s="15"/>
    </row>
    <row r="341">
      <c r="A341" s="7"/>
      <c r="B341" s="15"/>
    </row>
    <row r="342">
      <c r="A342" s="7"/>
      <c r="B342" s="15"/>
    </row>
    <row r="343">
      <c r="A343" s="7"/>
      <c r="B343" s="15"/>
    </row>
    <row r="344">
      <c r="A344" s="7"/>
      <c r="B344" s="15"/>
    </row>
    <row r="345">
      <c r="A345" s="7"/>
      <c r="B345" s="15"/>
    </row>
    <row r="346">
      <c r="A346" s="7"/>
      <c r="B346" s="15"/>
    </row>
    <row r="347">
      <c r="A347" s="7"/>
      <c r="B347" s="15"/>
    </row>
    <row r="348">
      <c r="A348" s="7"/>
      <c r="B348" s="15"/>
    </row>
    <row r="349">
      <c r="A349" s="7"/>
      <c r="B349" s="15"/>
    </row>
    <row r="350">
      <c r="A350" s="7"/>
      <c r="B350" s="15"/>
    </row>
    <row r="351">
      <c r="A351" s="7"/>
      <c r="B351" s="15"/>
    </row>
    <row r="352">
      <c r="A352" s="7"/>
      <c r="B352" s="15"/>
    </row>
    <row r="353">
      <c r="A353" s="7"/>
      <c r="B353" s="15"/>
    </row>
    <row r="354">
      <c r="A354" s="7"/>
      <c r="B354" s="15"/>
    </row>
    <row r="355">
      <c r="A355" s="7"/>
      <c r="B355" s="15"/>
    </row>
    <row r="356">
      <c r="A356" s="7"/>
      <c r="B356" s="15"/>
    </row>
    <row r="357">
      <c r="A357" s="7"/>
      <c r="B357" s="15"/>
    </row>
    <row r="358">
      <c r="A358" s="7"/>
      <c r="B358" s="15"/>
    </row>
    <row r="359">
      <c r="A359" s="7"/>
      <c r="B359" s="15"/>
    </row>
    <row r="360">
      <c r="A360" s="7"/>
      <c r="B360" s="15"/>
    </row>
    <row r="361">
      <c r="A361" s="7"/>
      <c r="B361" s="15"/>
    </row>
    <row r="362">
      <c r="A362" s="7"/>
      <c r="B362" s="15"/>
    </row>
    <row r="363">
      <c r="A363" s="7"/>
      <c r="B363" s="15"/>
    </row>
    <row r="364">
      <c r="A364" s="7"/>
      <c r="B364" s="15"/>
    </row>
    <row r="365">
      <c r="A365" s="7"/>
      <c r="B365" s="15"/>
    </row>
    <row r="366">
      <c r="A366" s="7"/>
      <c r="B366" s="15"/>
    </row>
    <row r="367">
      <c r="A367" s="7"/>
      <c r="B367" s="15"/>
    </row>
    <row r="368">
      <c r="A368" s="7"/>
      <c r="B368" s="15"/>
    </row>
    <row r="369">
      <c r="A369" s="7"/>
      <c r="B369" s="15"/>
    </row>
    <row r="370">
      <c r="A370" s="7"/>
      <c r="B370" s="15"/>
    </row>
    <row r="371">
      <c r="A371" s="7"/>
      <c r="B371" s="15"/>
    </row>
    <row r="372">
      <c r="A372" s="7"/>
      <c r="B372" s="15"/>
    </row>
    <row r="373">
      <c r="A373" s="7"/>
      <c r="B373" s="15"/>
    </row>
    <row r="374">
      <c r="A374" s="7"/>
      <c r="B374" s="15"/>
    </row>
    <row r="375">
      <c r="A375" s="7"/>
      <c r="B375" s="15"/>
    </row>
    <row r="376">
      <c r="A376" s="7"/>
      <c r="B376" s="15"/>
    </row>
    <row r="377">
      <c r="A377" s="7"/>
      <c r="B377" s="15"/>
    </row>
    <row r="378">
      <c r="A378" s="7"/>
      <c r="B378" s="15"/>
    </row>
    <row r="379">
      <c r="A379" s="7"/>
      <c r="B379" s="15"/>
    </row>
    <row r="380">
      <c r="A380" s="7"/>
      <c r="B380" s="15"/>
    </row>
    <row r="381">
      <c r="A381" s="7"/>
      <c r="B381" s="15"/>
    </row>
    <row r="382">
      <c r="A382" s="7"/>
      <c r="B382" s="15"/>
    </row>
    <row r="383">
      <c r="A383" s="7"/>
      <c r="B383" s="15"/>
    </row>
    <row r="384">
      <c r="A384" s="7"/>
      <c r="B384" s="15"/>
    </row>
    <row r="385">
      <c r="A385" s="7"/>
      <c r="B385" s="15"/>
    </row>
    <row r="386">
      <c r="A386" s="7"/>
      <c r="B386" s="15"/>
    </row>
    <row r="387">
      <c r="A387" s="7"/>
      <c r="B387" s="15"/>
    </row>
    <row r="388">
      <c r="A388" s="7"/>
      <c r="B388" s="15"/>
    </row>
    <row r="389">
      <c r="A389" s="7"/>
      <c r="B389" s="15"/>
    </row>
    <row r="390">
      <c r="A390" s="7"/>
      <c r="B390" s="15"/>
    </row>
    <row r="391">
      <c r="A391" s="7"/>
      <c r="B391" s="15"/>
    </row>
    <row r="392">
      <c r="A392" s="7"/>
      <c r="B392" s="15"/>
    </row>
    <row r="393">
      <c r="A393" s="7"/>
      <c r="B393" s="15"/>
    </row>
    <row r="394">
      <c r="A394" s="7"/>
      <c r="B394" s="15"/>
    </row>
    <row r="395">
      <c r="A395" s="7"/>
      <c r="B395" s="15"/>
    </row>
    <row r="396">
      <c r="A396" s="7"/>
      <c r="B396" s="15"/>
    </row>
    <row r="397">
      <c r="A397" s="7"/>
      <c r="B397" s="15"/>
    </row>
    <row r="398">
      <c r="A398" s="7"/>
      <c r="B398" s="15"/>
    </row>
    <row r="399">
      <c r="A399" s="7"/>
      <c r="B399" s="15"/>
    </row>
    <row r="400">
      <c r="A400" s="7"/>
      <c r="B400" s="15"/>
    </row>
    <row r="401">
      <c r="A401" s="7"/>
      <c r="B401" s="15"/>
    </row>
    <row r="402">
      <c r="A402" s="7"/>
      <c r="B402" s="15"/>
    </row>
    <row r="403">
      <c r="A403" s="7"/>
      <c r="B403" s="15"/>
    </row>
    <row r="404">
      <c r="A404" s="7"/>
      <c r="B404" s="15"/>
    </row>
    <row r="405">
      <c r="A405" s="7"/>
      <c r="B405" s="15"/>
    </row>
    <row r="406">
      <c r="A406" s="7"/>
      <c r="B406" s="15"/>
    </row>
    <row r="407">
      <c r="A407" s="7"/>
      <c r="B407" s="15"/>
    </row>
    <row r="408">
      <c r="A408" s="7"/>
      <c r="B408" s="15"/>
    </row>
    <row r="409">
      <c r="A409" s="7"/>
      <c r="B409" s="15"/>
    </row>
    <row r="410">
      <c r="A410" s="7"/>
      <c r="B410" s="15"/>
    </row>
    <row r="411">
      <c r="A411" s="7"/>
      <c r="B411" s="15"/>
    </row>
    <row r="412">
      <c r="A412" s="7"/>
      <c r="B412" s="15"/>
    </row>
    <row r="413">
      <c r="A413" s="7"/>
      <c r="B413" s="15"/>
    </row>
    <row r="414">
      <c r="A414" s="7"/>
      <c r="B414" s="15"/>
    </row>
    <row r="415">
      <c r="A415" s="7"/>
      <c r="B415" s="15"/>
    </row>
    <row r="416">
      <c r="A416" s="7"/>
      <c r="B416" s="15"/>
    </row>
    <row r="417">
      <c r="A417" s="7"/>
      <c r="B417" s="15"/>
    </row>
    <row r="418">
      <c r="A418" s="7"/>
      <c r="B418" s="15"/>
    </row>
    <row r="419">
      <c r="A419" s="7"/>
      <c r="B419" s="15"/>
    </row>
    <row r="420">
      <c r="A420" s="7"/>
      <c r="B420" s="15"/>
    </row>
    <row r="421">
      <c r="A421" s="7"/>
      <c r="B421" s="15"/>
    </row>
    <row r="422">
      <c r="A422" s="7"/>
      <c r="B422" s="15"/>
    </row>
    <row r="423">
      <c r="A423" s="7"/>
      <c r="B423" s="15"/>
    </row>
    <row r="424">
      <c r="A424" s="7"/>
      <c r="B424" s="15"/>
    </row>
    <row r="425">
      <c r="A425" s="7"/>
      <c r="B425" s="15"/>
    </row>
    <row r="426">
      <c r="A426" s="7"/>
      <c r="B426" s="15"/>
    </row>
    <row r="427">
      <c r="A427" s="7"/>
      <c r="B427" s="15"/>
    </row>
    <row r="428">
      <c r="A428" s="7"/>
      <c r="B428" s="15"/>
    </row>
    <row r="429">
      <c r="A429" s="7"/>
      <c r="B429" s="15"/>
    </row>
    <row r="430">
      <c r="A430" s="7"/>
      <c r="B430" s="15"/>
    </row>
    <row r="431">
      <c r="A431" s="7"/>
      <c r="B431" s="15"/>
    </row>
    <row r="432">
      <c r="A432" s="7"/>
      <c r="B432" s="15"/>
    </row>
    <row r="433">
      <c r="A433" s="7"/>
      <c r="B433" s="15"/>
    </row>
    <row r="434">
      <c r="A434" s="7"/>
      <c r="B434" s="15"/>
    </row>
    <row r="435">
      <c r="A435" s="7"/>
      <c r="B435" s="15"/>
    </row>
    <row r="436">
      <c r="A436" s="7"/>
      <c r="B436" s="15"/>
    </row>
    <row r="437">
      <c r="A437" s="7"/>
      <c r="B437" s="15"/>
    </row>
    <row r="438">
      <c r="A438" s="7"/>
      <c r="B438" s="15"/>
    </row>
    <row r="439">
      <c r="A439" s="7"/>
      <c r="B439" s="15"/>
    </row>
    <row r="440">
      <c r="A440" s="7"/>
      <c r="B440" s="15"/>
    </row>
    <row r="441">
      <c r="A441" s="7"/>
      <c r="B441" s="15"/>
    </row>
    <row r="442">
      <c r="A442" s="7"/>
      <c r="B442" s="15"/>
    </row>
    <row r="443">
      <c r="A443" s="7"/>
      <c r="B443" s="15"/>
    </row>
    <row r="444">
      <c r="A444" s="7"/>
      <c r="B444" s="15"/>
    </row>
    <row r="445">
      <c r="A445" s="7"/>
      <c r="B445" s="15"/>
    </row>
    <row r="446">
      <c r="A446" s="7"/>
      <c r="B446" s="15"/>
    </row>
    <row r="447">
      <c r="A447" s="7"/>
      <c r="B447" s="15"/>
    </row>
    <row r="448">
      <c r="A448" s="7"/>
      <c r="B448" s="15"/>
    </row>
    <row r="449">
      <c r="A449" s="7"/>
      <c r="B449" s="15"/>
    </row>
    <row r="450">
      <c r="A450" s="7"/>
      <c r="B450" s="15"/>
    </row>
    <row r="451">
      <c r="A451" s="7"/>
      <c r="B451" s="15"/>
    </row>
    <row r="452">
      <c r="A452" s="7"/>
      <c r="B452" s="15"/>
    </row>
    <row r="453">
      <c r="A453" s="7"/>
      <c r="B453" s="15"/>
    </row>
    <row r="454">
      <c r="A454" s="7"/>
      <c r="B454" s="15"/>
    </row>
    <row r="455">
      <c r="A455" s="7"/>
      <c r="B455" s="15"/>
    </row>
    <row r="456">
      <c r="A456" s="7"/>
      <c r="B456" s="15"/>
    </row>
    <row r="457">
      <c r="A457" s="7"/>
      <c r="B457" s="15"/>
    </row>
    <row r="458">
      <c r="A458" s="7"/>
      <c r="B458" s="15"/>
    </row>
    <row r="459">
      <c r="A459" s="7"/>
      <c r="B459" s="15"/>
    </row>
    <row r="460">
      <c r="A460" s="7"/>
      <c r="B460" s="15"/>
    </row>
    <row r="461">
      <c r="A461" s="7"/>
      <c r="B461" s="15"/>
    </row>
    <row r="462">
      <c r="A462" s="7"/>
      <c r="B462" s="15"/>
    </row>
    <row r="463">
      <c r="A463" s="7"/>
      <c r="B463" s="15"/>
    </row>
    <row r="464">
      <c r="A464" s="7"/>
      <c r="B464" s="15"/>
    </row>
    <row r="465">
      <c r="A465" s="7"/>
      <c r="B465" s="15"/>
    </row>
    <row r="466">
      <c r="A466" s="7"/>
      <c r="B466" s="15"/>
    </row>
    <row r="467">
      <c r="A467" s="7"/>
      <c r="B467" s="15"/>
    </row>
    <row r="468">
      <c r="A468" s="7"/>
      <c r="B468" s="15"/>
    </row>
    <row r="469">
      <c r="A469" s="7"/>
      <c r="B469" s="15"/>
    </row>
    <row r="470">
      <c r="A470" s="7"/>
      <c r="B470" s="15"/>
    </row>
    <row r="471">
      <c r="A471" s="7"/>
      <c r="B471" s="15"/>
    </row>
    <row r="472">
      <c r="A472" s="7"/>
      <c r="B472" s="15"/>
    </row>
    <row r="473">
      <c r="A473" s="7"/>
      <c r="B473" s="15"/>
    </row>
    <row r="474">
      <c r="A474" s="7"/>
      <c r="B474" s="15"/>
    </row>
    <row r="475">
      <c r="A475" s="7"/>
      <c r="B475" s="15"/>
    </row>
    <row r="476">
      <c r="A476" s="7"/>
      <c r="B476" s="15"/>
    </row>
    <row r="477">
      <c r="A477" s="7"/>
      <c r="B477" s="15"/>
    </row>
    <row r="478">
      <c r="A478" s="7"/>
      <c r="B478" s="15"/>
    </row>
    <row r="479">
      <c r="A479" s="7"/>
      <c r="B479" s="15"/>
    </row>
    <row r="480">
      <c r="A480" s="7"/>
      <c r="B480" s="15"/>
    </row>
    <row r="481">
      <c r="A481" s="7"/>
      <c r="B481" s="15"/>
    </row>
    <row r="482">
      <c r="A482" s="7"/>
      <c r="B482" s="15"/>
    </row>
    <row r="483">
      <c r="A483" s="7"/>
      <c r="B483" s="15"/>
    </row>
    <row r="484">
      <c r="A484" s="7"/>
      <c r="B484" s="15"/>
    </row>
    <row r="485">
      <c r="A485" s="7"/>
      <c r="B485" s="15"/>
    </row>
    <row r="486">
      <c r="A486" s="7"/>
      <c r="B486" s="15"/>
    </row>
    <row r="487">
      <c r="A487" s="7"/>
      <c r="B487" s="15"/>
    </row>
    <row r="488">
      <c r="A488" s="7"/>
      <c r="B488" s="15"/>
    </row>
    <row r="489">
      <c r="A489" s="7"/>
      <c r="B489" s="15"/>
    </row>
    <row r="490">
      <c r="A490" s="7"/>
      <c r="B490" s="15"/>
    </row>
    <row r="491">
      <c r="A491" s="7"/>
      <c r="B491" s="15"/>
    </row>
    <row r="492">
      <c r="A492" s="7"/>
      <c r="B492" s="15"/>
    </row>
    <row r="493">
      <c r="A493" s="7"/>
      <c r="B493" s="15"/>
    </row>
    <row r="494">
      <c r="A494" s="7"/>
      <c r="B494" s="15"/>
    </row>
    <row r="495">
      <c r="A495" s="7"/>
      <c r="B495" s="15"/>
    </row>
    <row r="496">
      <c r="A496" s="7"/>
      <c r="B496" s="15"/>
    </row>
    <row r="497">
      <c r="A497" s="7"/>
      <c r="B497" s="15"/>
    </row>
    <row r="498">
      <c r="A498" s="7"/>
      <c r="B498" s="15"/>
    </row>
    <row r="499">
      <c r="A499" s="7"/>
      <c r="B499" s="15"/>
    </row>
    <row r="500">
      <c r="A500" s="7"/>
      <c r="B500" s="15"/>
    </row>
    <row r="501">
      <c r="A501" s="7"/>
      <c r="B501" s="15"/>
    </row>
    <row r="502">
      <c r="A502" s="7"/>
      <c r="B502" s="15"/>
    </row>
    <row r="503">
      <c r="A503" s="7"/>
      <c r="B503" s="15"/>
    </row>
    <row r="504">
      <c r="A504" s="7"/>
      <c r="B504" s="15"/>
    </row>
    <row r="505">
      <c r="A505" s="7"/>
      <c r="B505" s="15"/>
    </row>
    <row r="506">
      <c r="A506" s="7"/>
      <c r="B506" s="15"/>
    </row>
    <row r="507">
      <c r="A507" s="7"/>
      <c r="B507" s="15"/>
    </row>
    <row r="508">
      <c r="A508" s="7"/>
      <c r="B508" s="15"/>
    </row>
    <row r="509">
      <c r="A509" s="7"/>
      <c r="B509" s="15"/>
    </row>
    <row r="510">
      <c r="A510" s="7"/>
      <c r="B510" s="15"/>
    </row>
    <row r="511">
      <c r="A511" s="7"/>
      <c r="B511" s="15"/>
    </row>
    <row r="512">
      <c r="A512" s="7"/>
      <c r="B512" s="15"/>
    </row>
    <row r="513">
      <c r="A513" s="7"/>
      <c r="B513" s="15"/>
    </row>
    <row r="514">
      <c r="A514" s="7"/>
      <c r="B514" s="15"/>
    </row>
    <row r="515">
      <c r="A515" s="7"/>
      <c r="B515" s="15"/>
    </row>
    <row r="516">
      <c r="A516" s="7"/>
      <c r="B516" s="15"/>
    </row>
    <row r="517">
      <c r="A517" s="7"/>
      <c r="B517" s="15"/>
    </row>
    <row r="518">
      <c r="A518" s="7"/>
      <c r="B518" s="15"/>
    </row>
    <row r="519">
      <c r="A519" s="7"/>
      <c r="B519" s="15"/>
    </row>
    <row r="520">
      <c r="A520" s="7"/>
      <c r="B520" s="15"/>
    </row>
    <row r="521">
      <c r="A521" s="7"/>
      <c r="B521" s="15"/>
    </row>
    <row r="522">
      <c r="A522" s="7"/>
      <c r="B522" s="15"/>
    </row>
    <row r="523">
      <c r="A523" s="7"/>
      <c r="B523" s="15"/>
    </row>
    <row r="524">
      <c r="A524" s="7"/>
      <c r="B524" s="15"/>
    </row>
    <row r="525">
      <c r="A525" s="7"/>
      <c r="B525" s="15"/>
    </row>
    <row r="526">
      <c r="A526" s="7"/>
      <c r="B526" s="15"/>
    </row>
    <row r="527">
      <c r="A527" s="7"/>
      <c r="B527" s="15"/>
    </row>
    <row r="528">
      <c r="A528" s="7"/>
      <c r="B528" s="15"/>
    </row>
    <row r="529">
      <c r="A529" s="7"/>
      <c r="B529" s="15"/>
    </row>
    <row r="530">
      <c r="A530" s="7"/>
      <c r="B530" s="15"/>
    </row>
    <row r="531">
      <c r="A531" s="7"/>
      <c r="B531" s="15"/>
    </row>
    <row r="532">
      <c r="A532" s="7"/>
      <c r="B532" s="15"/>
    </row>
    <row r="533">
      <c r="A533" s="7"/>
      <c r="B533" s="15"/>
    </row>
    <row r="534">
      <c r="A534" s="7"/>
      <c r="B534" s="15"/>
    </row>
    <row r="535">
      <c r="A535" s="7"/>
      <c r="B535" s="15"/>
    </row>
    <row r="536">
      <c r="A536" s="7"/>
      <c r="B536" s="15"/>
    </row>
    <row r="537">
      <c r="A537" s="7"/>
      <c r="B537" s="15"/>
    </row>
    <row r="538">
      <c r="A538" s="7"/>
      <c r="B538" s="15"/>
    </row>
    <row r="539">
      <c r="A539" s="7"/>
      <c r="B539" s="15"/>
    </row>
    <row r="540">
      <c r="A540" s="7"/>
      <c r="B540" s="15"/>
    </row>
    <row r="541">
      <c r="A541" s="7"/>
      <c r="B541" s="15"/>
    </row>
    <row r="542">
      <c r="A542" s="7"/>
      <c r="B542" s="15"/>
    </row>
    <row r="543">
      <c r="A543" s="7"/>
      <c r="B543" s="15"/>
    </row>
    <row r="544">
      <c r="A544" s="7"/>
      <c r="B544" s="15"/>
    </row>
    <row r="545">
      <c r="A545" s="7"/>
      <c r="B545" s="15"/>
    </row>
    <row r="546">
      <c r="A546" s="7"/>
      <c r="B546" s="15"/>
    </row>
    <row r="547">
      <c r="A547" s="7"/>
      <c r="B547" s="15"/>
    </row>
    <row r="548">
      <c r="A548" s="7"/>
      <c r="B548" s="15"/>
    </row>
    <row r="549">
      <c r="A549" s="7"/>
      <c r="B549" s="15"/>
    </row>
    <row r="550">
      <c r="A550" s="7"/>
      <c r="B550" s="15"/>
    </row>
    <row r="551">
      <c r="A551" s="7"/>
      <c r="B551" s="15"/>
    </row>
    <row r="552">
      <c r="A552" s="7"/>
      <c r="B552" s="15"/>
    </row>
    <row r="553">
      <c r="A553" s="7"/>
      <c r="B553" s="15"/>
    </row>
    <row r="554">
      <c r="A554" s="7"/>
      <c r="B554" s="15"/>
    </row>
    <row r="555">
      <c r="A555" s="7"/>
      <c r="B555" s="15"/>
    </row>
    <row r="556">
      <c r="A556" s="7"/>
      <c r="B556" s="15"/>
    </row>
    <row r="557">
      <c r="A557" s="7"/>
      <c r="B557" s="15"/>
    </row>
    <row r="558">
      <c r="A558" s="7"/>
      <c r="B558" s="15"/>
    </row>
    <row r="559">
      <c r="A559" s="7"/>
      <c r="B559" s="15"/>
    </row>
    <row r="560">
      <c r="A560" s="7"/>
      <c r="B560" s="15"/>
    </row>
    <row r="561">
      <c r="A561" s="7"/>
      <c r="B561" s="15"/>
    </row>
    <row r="562">
      <c r="A562" s="7"/>
      <c r="B562" s="15"/>
    </row>
    <row r="563">
      <c r="A563" s="7"/>
      <c r="B563" s="15"/>
    </row>
    <row r="564">
      <c r="A564" s="7"/>
      <c r="B564" s="15"/>
    </row>
    <row r="565">
      <c r="A565" s="7"/>
      <c r="B565" s="15"/>
    </row>
    <row r="566">
      <c r="A566" s="7"/>
      <c r="B566" s="15"/>
    </row>
    <row r="567">
      <c r="A567" s="7"/>
      <c r="B567" s="15"/>
    </row>
    <row r="568">
      <c r="A568" s="7"/>
      <c r="B568" s="15"/>
    </row>
    <row r="569">
      <c r="A569" s="7"/>
      <c r="B569" s="15"/>
    </row>
    <row r="570">
      <c r="A570" s="7"/>
      <c r="B570" s="15"/>
    </row>
    <row r="571">
      <c r="A571" s="7"/>
      <c r="B571" s="15"/>
    </row>
    <row r="572">
      <c r="A572" s="7"/>
      <c r="B572" s="15"/>
    </row>
    <row r="573">
      <c r="A573" s="7"/>
      <c r="B573" s="15"/>
    </row>
    <row r="574">
      <c r="A574" s="7"/>
      <c r="B574" s="15"/>
    </row>
    <row r="575">
      <c r="A575" s="7"/>
      <c r="B575" s="15"/>
    </row>
    <row r="576">
      <c r="A576" s="7"/>
      <c r="B576" s="15"/>
    </row>
    <row r="577">
      <c r="A577" s="7"/>
      <c r="B577" s="15"/>
    </row>
    <row r="578">
      <c r="A578" s="7"/>
      <c r="B578" s="15"/>
    </row>
    <row r="579">
      <c r="A579" s="7"/>
      <c r="B579" s="15"/>
    </row>
    <row r="580">
      <c r="A580" s="7"/>
      <c r="B580" s="15"/>
    </row>
    <row r="581">
      <c r="A581" s="7"/>
      <c r="B581" s="15"/>
    </row>
    <row r="582">
      <c r="A582" s="7"/>
      <c r="B582" s="15"/>
    </row>
    <row r="583">
      <c r="A583" s="7"/>
      <c r="B583" s="15"/>
    </row>
    <row r="584">
      <c r="A584" s="7"/>
      <c r="B584" s="15"/>
    </row>
    <row r="585">
      <c r="A585" s="7"/>
      <c r="B585" s="15"/>
    </row>
    <row r="586">
      <c r="A586" s="7"/>
      <c r="B586" s="15"/>
    </row>
    <row r="587">
      <c r="A587" s="7"/>
      <c r="B587" s="15"/>
    </row>
    <row r="588">
      <c r="A588" s="7"/>
      <c r="B588" s="15"/>
    </row>
    <row r="589">
      <c r="A589" s="7"/>
      <c r="B589" s="15"/>
    </row>
    <row r="590">
      <c r="A590" s="7"/>
      <c r="B590" s="15"/>
    </row>
    <row r="591">
      <c r="A591" s="7"/>
      <c r="B591" s="15"/>
    </row>
    <row r="592">
      <c r="A592" s="7"/>
      <c r="B592" s="15"/>
    </row>
    <row r="593">
      <c r="A593" s="7"/>
      <c r="B593" s="15"/>
    </row>
    <row r="594">
      <c r="A594" s="7"/>
      <c r="B594" s="15"/>
    </row>
    <row r="595">
      <c r="A595" s="7"/>
      <c r="B595" s="15"/>
    </row>
    <row r="596">
      <c r="A596" s="7"/>
      <c r="B596" s="15"/>
    </row>
    <row r="597">
      <c r="A597" s="7"/>
      <c r="B597" s="15"/>
    </row>
    <row r="598">
      <c r="A598" s="7"/>
      <c r="B598" s="15"/>
    </row>
    <row r="599">
      <c r="A599" s="7"/>
      <c r="B599" s="15"/>
    </row>
    <row r="600">
      <c r="A600" s="7"/>
      <c r="B600" s="15"/>
    </row>
    <row r="601">
      <c r="A601" s="7"/>
      <c r="B601" s="15"/>
    </row>
    <row r="602">
      <c r="A602" s="7"/>
      <c r="B602" s="15"/>
    </row>
    <row r="603">
      <c r="A603" s="7"/>
      <c r="B603" s="15"/>
    </row>
    <row r="604">
      <c r="A604" s="7"/>
      <c r="B604" s="15"/>
    </row>
    <row r="605">
      <c r="A605" s="7"/>
      <c r="B605" s="15"/>
    </row>
    <row r="606">
      <c r="A606" s="7"/>
      <c r="B606" s="15"/>
    </row>
    <row r="607">
      <c r="A607" s="7"/>
      <c r="B607" s="15"/>
    </row>
    <row r="608">
      <c r="A608" s="7"/>
      <c r="B608" s="15"/>
    </row>
    <row r="609">
      <c r="A609" s="7"/>
      <c r="B609" s="15"/>
    </row>
    <row r="610">
      <c r="A610" s="7"/>
      <c r="B610" s="15"/>
    </row>
    <row r="611">
      <c r="A611" s="7"/>
      <c r="B611" s="15"/>
    </row>
    <row r="612">
      <c r="A612" s="7"/>
      <c r="B612" s="15"/>
    </row>
    <row r="613">
      <c r="A613" s="7"/>
      <c r="B613" s="15"/>
    </row>
    <row r="614">
      <c r="A614" s="7"/>
      <c r="B614" s="15"/>
    </row>
    <row r="615">
      <c r="A615" s="7"/>
      <c r="B615" s="15"/>
    </row>
    <row r="616">
      <c r="A616" s="7"/>
      <c r="B616" s="15"/>
    </row>
    <row r="617">
      <c r="A617" s="7"/>
      <c r="B617" s="15"/>
    </row>
    <row r="618">
      <c r="A618" s="7"/>
      <c r="B618" s="15"/>
    </row>
    <row r="619">
      <c r="A619" s="7"/>
      <c r="B619" s="15"/>
    </row>
    <row r="620">
      <c r="A620" s="7"/>
      <c r="B620" s="15"/>
    </row>
    <row r="621">
      <c r="A621" s="7"/>
      <c r="B621" s="15"/>
    </row>
    <row r="622">
      <c r="A622" s="7"/>
      <c r="B622" s="15"/>
    </row>
    <row r="623">
      <c r="A623" s="7"/>
      <c r="B623" s="15"/>
    </row>
    <row r="624">
      <c r="A624" s="7"/>
      <c r="B624" s="15"/>
    </row>
    <row r="625">
      <c r="A625" s="7"/>
      <c r="B625" s="15"/>
    </row>
    <row r="626">
      <c r="A626" s="7"/>
      <c r="B626" s="15"/>
    </row>
    <row r="627">
      <c r="A627" s="7"/>
      <c r="B627" s="15"/>
    </row>
    <row r="628">
      <c r="A628" s="7"/>
      <c r="B628" s="15"/>
    </row>
    <row r="629">
      <c r="A629" s="7"/>
      <c r="B629" s="15"/>
    </row>
    <row r="630">
      <c r="A630" s="7"/>
      <c r="B630" s="15"/>
    </row>
    <row r="631">
      <c r="A631" s="7"/>
      <c r="B631" s="15"/>
    </row>
    <row r="632">
      <c r="A632" s="7"/>
      <c r="B632" s="15"/>
    </row>
    <row r="633">
      <c r="A633" s="7"/>
      <c r="B633" s="15"/>
    </row>
    <row r="634">
      <c r="A634" s="7"/>
      <c r="B634" s="15"/>
    </row>
    <row r="635">
      <c r="A635" s="7"/>
      <c r="B635" s="15"/>
    </row>
    <row r="636">
      <c r="A636" s="7"/>
      <c r="B636" s="15"/>
    </row>
    <row r="637">
      <c r="A637" s="7"/>
      <c r="B637" s="15"/>
    </row>
    <row r="638">
      <c r="A638" s="7"/>
      <c r="B638" s="15"/>
    </row>
    <row r="639">
      <c r="A639" s="7"/>
      <c r="B639" s="15"/>
    </row>
    <row r="640">
      <c r="A640" s="7"/>
      <c r="B640" s="15"/>
    </row>
    <row r="641">
      <c r="A641" s="7"/>
      <c r="B641" s="15"/>
    </row>
    <row r="642">
      <c r="A642" s="7"/>
      <c r="B642" s="15"/>
    </row>
    <row r="643">
      <c r="A643" s="7"/>
      <c r="B643" s="15"/>
    </row>
    <row r="644">
      <c r="A644" s="7"/>
      <c r="B644" s="15"/>
    </row>
    <row r="645">
      <c r="A645" s="7"/>
      <c r="B645" s="15"/>
    </row>
    <row r="646">
      <c r="A646" s="7"/>
      <c r="B646" s="15"/>
    </row>
    <row r="647">
      <c r="A647" s="7"/>
      <c r="B647" s="15"/>
    </row>
    <row r="648">
      <c r="A648" s="7"/>
      <c r="B648" s="15"/>
    </row>
    <row r="649">
      <c r="A649" s="7"/>
      <c r="B649" s="15"/>
    </row>
    <row r="650">
      <c r="A650" s="7"/>
      <c r="B650" s="15"/>
    </row>
    <row r="651">
      <c r="A651" s="7"/>
      <c r="B651" s="15"/>
    </row>
    <row r="652">
      <c r="A652" s="7"/>
      <c r="B652" s="15"/>
    </row>
    <row r="653">
      <c r="A653" s="7"/>
      <c r="B653" s="15"/>
    </row>
    <row r="654">
      <c r="A654" s="7"/>
      <c r="B654" s="15"/>
    </row>
    <row r="655">
      <c r="A655" s="7"/>
      <c r="B655" s="15"/>
    </row>
    <row r="656">
      <c r="A656" s="7"/>
      <c r="B656" s="15"/>
    </row>
    <row r="657">
      <c r="A657" s="7"/>
      <c r="B657" s="15"/>
    </row>
    <row r="658">
      <c r="A658" s="7"/>
      <c r="B658" s="15"/>
    </row>
    <row r="659">
      <c r="A659" s="7"/>
      <c r="B659" s="15"/>
    </row>
    <row r="660">
      <c r="A660" s="7"/>
      <c r="B660" s="15"/>
    </row>
    <row r="661">
      <c r="A661" s="7"/>
      <c r="B661" s="15"/>
    </row>
    <row r="662">
      <c r="A662" s="7"/>
      <c r="B662" s="15"/>
    </row>
    <row r="663">
      <c r="A663" s="7"/>
      <c r="B663" s="15"/>
    </row>
    <row r="664">
      <c r="A664" s="7"/>
      <c r="B664" s="15"/>
    </row>
    <row r="665">
      <c r="A665" s="7"/>
      <c r="B665" s="15"/>
    </row>
    <row r="666">
      <c r="A666" s="7"/>
      <c r="B666" s="15"/>
    </row>
    <row r="667">
      <c r="A667" s="7"/>
      <c r="B667" s="15"/>
    </row>
    <row r="668">
      <c r="A668" s="7"/>
      <c r="B668" s="15"/>
    </row>
    <row r="669">
      <c r="A669" s="7"/>
      <c r="B669" s="15"/>
    </row>
    <row r="670">
      <c r="A670" s="7"/>
      <c r="B670" s="15"/>
    </row>
    <row r="671">
      <c r="A671" s="7"/>
      <c r="B671" s="15"/>
    </row>
    <row r="672">
      <c r="A672" s="7"/>
      <c r="B672" s="15"/>
    </row>
    <row r="673">
      <c r="A673" s="7"/>
      <c r="B673" s="15"/>
    </row>
    <row r="674">
      <c r="A674" s="7"/>
      <c r="B674" s="15"/>
    </row>
    <row r="675">
      <c r="A675" s="7"/>
      <c r="B675" s="15"/>
    </row>
    <row r="676">
      <c r="A676" s="7"/>
      <c r="B676" s="15"/>
    </row>
    <row r="677">
      <c r="A677" s="7"/>
      <c r="B677" s="15"/>
    </row>
    <row r="678">
      <c r="A678" s="7"/>
      <c r="B678" s="15"/>
    </row>
    <row r="679">
      <c r="A679" s="7"/>
      <c r="B679" s="15"/>
    </row>
    <row r="680">
      <c r="A680" s="7"/>
      <c r="B680" s="15"/>
    </row>
    <row r="681">
      <c r="A681" s="7"/>
      <c r="B681" s="15"/>
    </row>
    <row r="682">
      <c r="A682" s="7"/>
      <c r="B682" s="15"/>
    </row>
    <row r="683">
      <c r="A683" s="7"/>
      <c r="B683" s="15"/>
    </row>
    <row r="684">
      <c r="A684" s="7"/>
      <c r="B684" s="15"/>
    </row>
    <row r="685">
      <c r="A685" s="7"/>
      <c r="B685" s="15"/>
    </row>
    <row r="686">
      <c r="A686" s="7"/>
      <c r="B686" s="15"/>
    </row>
    <row r="687">
      <c r="A687" s="7"/>
      <c r="B687" s="15"/>
    </row>
    <row r="688">
      <c r="A688" s="7"/>
      <c r="B688" s="15"/>
    </row>
    <row r="689">
      <c r="A689" s="7"/>
      <c r="B689" s="15"/>
    </row>
    <row r="690">
      <c r="A690" s="7"/>
      <c r="B690" s="15"/>
    </row>
    <row r="691">
      <c r="A691" s="7"/>
      <c r="B691" s="15"/>
    </row>
    <row r="692">
      <c r="A692" s="7"/>
      <c r="B692" s="15"/>
    </row>
    <row r="693">
      <c r="A693" s="7"/>
      <c r="B693" s="15"/>
    </row>
    <row r="694">
      <c r="A694" s="7"/>
      <c r="B694" s="15"/>
    </row>
    <row r="695">
      <c r="A695" s="7"/>
      <c r="B695" s="15"/>
    </row>
    <row r="696">
      <c r="A696" s="7"/>
      <c r="B696" s="15"/>
    </row>
    <row r="697">
      <c r="A697" s="7"/>
      <c r="B697" s="15"/>
    </row>
    <row r="698">
      <c r="A698" s="7"/>
      <c r="B698" s="15"/>
    </row>
    <row r="699">
      <c r="A699" s="7"/>
      <c r="B699" s="15"/>
    </row>
    <row r="700">
      <c r="A700" s="7"/>
      <c r="B700" s="15"/>
    </row>
    <row r="701">
      <c r="A701" s="7"/>
      <c r="B701" s="15"/>
    </row>
    <row r="702">
      <c r="A702" s="7"/>
      <c r="B702" s="15"/>
    </row>
    <row r="703">
      <c r="A703" s="7"/>
      <c r="B703" s="15"/>
    </row>
    <row r="704">
      <c r="A704" s="7"/>
      <c r="B704" s="15"/>
    </row>
    <row r="705">
      <c r="A705" s="7"/>
      <c r="B705" s="15"/>
    </row>
    <row r="706">
      <c r="A706" s="7"/>
      <c r="B706" s="15"/>
    </row>
    <row r="707">
      <c r="A707" s="7"/>
      <c r="B707" s="15"/>
    </row>
    <row r="708">
      <c r="A708" s="7"/>
      <c r="B708" s="15"/>
    </row>
    <row r="709">
      <c r="A709" s="7"/>
      <c r="B709" s="15"/>
    </row>
    <row r="710">
      <c r="A710" s="7"/>
      <c r="B710" s="15"/>
    </row>
    <row r="711">
      <c r="A711" s="7"/>
      <c r="B711" s="15"/>
    </row>
    <row r="712">
      <c r="A712" s="7"/>
      <c r="B712" s="15"/>
    </row>
    <row r="713">
      <c r="A713" s="7"/>
      <c r="B713" s="15"/>
    </row>
    <row r="714">
      <c r="A714" s="7"/>
      <c r="B714" s="15"/>
    </row>
    <row r="715">
      <c r="A715" s="7"/>
      <c r="B715" s="15"/>
    </row>
    <row r="716">
      <c r="A716" s="7"/>
      <c r="B716" s="15"/>
    </row>
    <row r="717">
      <c r="A717" s="7"/>
      <c r="B717" s="15"/>
    </row>
    <row r="718">
      <c r="A718" s="7"/>
      <c r="B718" s="15"/>
    </row>
    <row r="719">
      <c r="A719" s="7"/>
      <c r="B719" s="15"/>
    </row>
    <row r="720">
      <c r="A720" s="7"/>
      <c r="B720" s="15"/>
    </row>
    <row r="721">
      <c r="A721" s="7"/>
      <c r="B721" s="15"/>
    </row>
    <row r="722">
      <c r="A722" s="7"/>
      <c r="B722" s="15"/>
    </row>
    <row r="723">
      <c r="A723" s="7"/>
      <c r="B723" s="15"/>
    </row>
    <row r="724">
      <c r="A724" s="7"/>
      <c r="B724" s="15"/>
    </row>
    <row r="725">
      <c r="A725" s="7"/>
      <c r="B725" s="15"/>
    </row>
    <row r="726">
      <c r="A726" s="7"/>
      <c r="B726" s="15"/>
    </row>
    <row r="727">
      <c r="A727" s="7"/>
      <c r="B727" s="15"/>
    </row>
    <row r="728">
      <c r="A728" s="7"/>
      <c r="B728" s="15"/>
    </row>
    <row r="729">
      <c r="A729" s="7"/>
      <c r="B729" s="15"/>
    </row>
    <row r="730">
      <c r="A730" s="7"/>
      <c r="B730" s="15"/>
    </row>
    <row r="731">
      <c r="A731" s="7"/>
      <c r="B731" s="15"/>
    </row>
    <row r="732">
      <c r="A732" s="7"/>
      <c r="B732" s="15"/>
    </row>
    <row r="733">
      <c r="A733" s="7"/>
      <c r="B733" s="15"/>
    </row>
    <row r="734">
      <c r="A734" s="7"/>
      <c r="B734" s="15"/>
    </row>
    <row r="735">
      <c r="A735" s="7"/>
      <c r="B735" s="15"/>
    </row>
    <row r="736">
      <c r="A736" s="7"/>
      <c r="B736" s="15"/>
    </row>
    <row r="737">
      <c r="A737" s="7"/>
      <c r="B737" s="15"/>
    </row>
    <row r="738">
      <c r="A738" s="7"/>
      <c r="B738" s="15"/>
    </row>
    <row r="739">
      <c r="A739" s="7"/>
      <c r="B739" s="15"/>
    </row>
    <row r="740">
      <c r="A740" s="7"/>
      <c r="B740" s="15"/>
    </row>
    <row r="741">
      <c r="A741" s="7"/>
      <c r="B741" s="15"/>
    </row>
    <row r="742">
      <c r="A742" s="7"/>
      <c r="B742" s="15"/>
    </row>
    <row r="743">
      <c r="A743" s="7"/>
      <c r="B743" s="15"/>
    </row>
    <row r="744">
      <c r="A744" s="7"/>
      <c r="B744" s="15"/>
    </row>
    <row r="745">
      <c r="A745" s="7"/>
      <c r="B745" s="15"/>
    </row>
    <row r="746">
      <c r="A746" s="7"/>
      <c r="B746" s="15"/>
    </row>
    <row r="747">
      <c r="A747" s="7"/>
      <c r="B747" s="15"/>
    </row>
    <row r="748">
      <c r="A748" s="7"/>
      <c r="B748" s="15"/>
    </row>
    <row r="749">
      <c r="A749" s="7"/>
      <c r="B749" s="15"/>
    </row>
    <row r="750">
      <c r="A750" s="7"/>
      <c r="B750" s="15"/>
    </row>
    <row r="751">
      <c r="A751" s="7"/>
      <c r="B751" s="15"/>
    </row>
    <row r="752">
      <c r="A752" s="7"/>
      <c r="B752" s="15"/>
    </row>
    <row r="753">
      <c r="A753" s="7"/>
      <c r="B753" s="15"/>
    </row>
    <row r="754">
      <c r="A754" s="7"/>
      <c r="B754" s="15"/>
    </row>
    <row r="755">
      <c r="A755" s="7"/>
      <c r="B755" s="15"/>
    </row>
    <row r="756">
      <c r="A756" s="7"/>
      <c r="B756" s="15"/>
    </row>
    <row r="757">
      <c r="A757" s="7"/>
      <c r="B757" s="15"/>
    </row>
    <row r="758">
      <c r="A758" s="7"/>
      <c r="B758" s="15"/>
    </row>
    <row r="759">
      <c r="A759" s="7"/>
      <c r="B759" s="15"/>
    </row>
    <row r="760">
      <c r="A760" s="7"/>
      <c r="B760" s="15"/>
    </row>
    <row r="761">
      <c r="A761" s="7"/>
      <c r="B761" s="15"/>
    </row>
    <row r="762">
      <c r="A762" s="7"/>
      <c r="B762" s="15"/>
    </row>
    <row r="763">
      <c r="A763" s="7"/>
      <c r="B763" s="15"/>
    </row>
    <row r="764">
      <c r="A764" s="7"/>
      <c r="B764" s="15"/>
    </row>
    <row r="765">
      <c r="A765" s="7"/>
      <c r="B765" s="15"/>
    </row>
    <row r="766">
      <c r="A766" s="7"/>
      <c r="B766" s="15"/>
    </row>
    <row r="767">
      <c r="A767" s="7"/>
      <c r="B767" s="15"/>
    </row>
    <row r="768">
      <c r="A768" s="7"/>
      <c r="B768" s="15"/>
    </row>
    <row r="769">
      <c r="A769" s="7"/>
      <c r="B769" s="15"/>
    </row>
    <row r="770">
      <c r="A770" s="7"/>
      <c r="B770" s="15"/>
    </row>
    <row r="771">
      <c r="A771" s="7"/>
      <c r="B771" s="15"/>
    </row>
    <row r="772">
      <c r="A772" s="7"/>
      <c r="B772" s="15"/>
    </row>
    <row r="773">
      <c r="A773" s="7"/>
      <c r="B773" s="15"/>
    </row>
    <row r="774">
      <c r="A774" s="7"/>
      <c r="B774" s="15"/>
    </row>
    <row r="775">
      <c r="A775" s="7"/>
      <c r="B775" s="15"/>
    </row>
    <row r="776">
      <c r="A776" s="7"/>
      <c r="B776" s="15"/>
    </row>
    <row r="777">
      <c r="A777" s="7"/>
      <c r="B777" s="15"/>
    </row>
    <row r="778">
      <c r="A778" s="7"/>
      <c r="B778" s="15"/>
    </row>
    <row r="779">
      <c r="A779" s="7"/>
      <c r="B779" s="15"/>
    </row>
    <row r="780">
      <c r="A780" s="7"/>
      <c r="B780" s="15"/>
    </row>
    <row r="781">
      <c r="A781" s="7"/>
      <c r="B781" s="15"/>
    </row>
    <row r="782">
      <c r="A782" s="7"/>
      <c r="B782" s="15"/>
    </row>
    <row r="783">
      <c r="A783" s="7"/>
      <c r="B783" s="15"/>
    </row>
    <row r="784">
      <c r="A784" s="7"/>
      <c r="B784" s="15"/>
    </row>
    <row r="785">
      <c r="A785" s="7"/>
      <c r="B785" s="15"/>
    </row>
    <row r="786">
      <c r="A786" s="7"/>
      <c r="B786" s="15"/>
    </row>
    <row r="787">
      <c r="A787" s="7"/>
      <c r="B787" s="15"/>
    </row>
    <row r="788">
      <c r="A788" s="7"/>
      <c r="B788" s="15"/>
    </row>
    <row r="789">
      <c r="A789" s="7"/>
      <c r="B789" s="15"/>
    </row>
    <row r="790">
      <c r="A790" s="7"/>
      <c r="B790" s="15"/>
    </row>
    <row r="791">
      <c r="A791" s="7"/>
      <c r="B791" s="15"/>
    </row>
    <row r="792">
      <c r="A792" s="7"/>
      <c r="B792" s="15"/>
    </row>
    <row r="793">
      <c r="A793" s="7"/>
      <c r="B793" s="15"/>
    </row>
    <row r="794">
      <c r="A794" s="7"/>
      <c r="B794" s="15"/>
    </row>
    <row r="795">
      <c r="A795" s="7"/>
      <c r="B795" s="15"/>
    </row>
    <row r="796">
      <c r="A796" s="7"/>
      <c r="B796" s="15"/>
    </row>
    <row r="797">
      <c r="A797" s="7"/>
      <c r="B797" s="15"/>
    </row>
    <row r="798">
      <c r="A798" s="7"/>
      <c r="B798" s="15"/>
    </row>
    <row r="799">
      <c r="A799" s="7"/>
      <c r="B799" s="15"/>
    </row>
    <row r="800">
      <c r="A800" s="7"/>
      <c r="B800" s="15"/>
    </row>
    <row r="801">
      <c r="A801" s="7"/>
      <c r="B801" s="15"/>
    </row>
    <row r="802">
      <c r="A802" s="7"/>
      <c r="B802" s="15"/>
    </row>
    <row r="803">
      <c r="A803" s="7"/>
      <c r="B803" s="15"/>
    </row>
    <row r="804">
      <c r="A804" s="7"/>
      <c r="B804" s="15"/>
    </row>
    <row r="805">
      <c r="A805" s="7"/>
      <c r="B805" s="15"/>
    </row>
    <row r="806">
      <c r="A806" s="7"/>
      <c r="B806" s="15"/>
    </row>
    <row r="807">
      <c r="A807" s="7"/>
      <c r="B807" s="15"/>
    </row>
    <row r="808">
      <c r="A808" s="7"/>
      <c r="B808" s="15"/>
    </row>
    <row r="809">
      <c r="A809" s="7"/>
      <c r="B809" s="15"/>
    </row>
    <row r="810">
      <c r="A810" s="7"/>
      <c r="B810" s="15"/>
    </row>
    <row r="811">
      <c r="A811" s="7"/>
      <c r="B811" s="15"/>
    </row>
    <row r="812">
      <c r="A812" s="7"/>
      <c r="B812" s="15"/>
    </row>
    <row r="813">
      <c r="A813" s="7"/>
      <c r="B813" s="15"/>
    </row>
    <row r="814">
      <c r="A814" s="7"/>
      <c r="B814" s="15"/>
    </row>
    <row r="815">
      <c r="A815" s="7"/>
      <c r="B815" s="15"/>
    </row>
    <row r="816">
      <c r="A816" s="7"/>
      <c r="B816" s="15"/>
    </row>
    <row r="817">
      <c r="A817" s="7"/>
      <c r="B817" s="15"/>
    </row>
    <row r="818">
      <c r="A818" s="7"/>
      <c r="B818" s="15"/>
    </row>
    <row r="819">
      <c r="A819" s="7"/>
      <c r="B819" s="15"/>
    </row>
    <row r="820">
      <c r="A820" s="7"/>
      <c r="B820" s="15"/>
    </row>
    <row r="821">
      <c r="A821" s="7"/>
      <c r="B821" s="15"/>
    </row>
    <row r="822">
      <c r="A822" s="7"/>
      <c r="B822" s="15"/>
    </row>
    <row r="823">
      <c r="A823" s="7"/>
      <c r="B823" s="15"/>
    </row>
    <row r="824">
      <c r="A824" s="7"/>
      <c r="B824" s="15"/>
    </row>
    <row r="825">
      <c r="A825" s="7"/>
      <c r="B825" s="15"/>
    </row>
    <row r="826">
      <c r="A826" s="7"/>
      <c r="B826" s="15"/>
    </row>
    <row r="827">
      <c r="A827" s="7"/>
      <c r="B827" s="15"/>
    </row>
    <row r="828">
      <c r="A828" s="7"/>
      <c r="B828" s="15"/>
    </row>
    <row r="829">
      <c r="A829" s="7"/>
      <c r="B829" s="15"/>
    </row>
    <row r="830">
      <c r="A830" s="7"/>
      <c r="B830" s="15"/>
    </row>
    <row r="831">
      <c r="A831" s="7"/>
      <c r="B831" s="15"/>
    </row>
    <row r="832">
      <c r="A832" s="7"/>
      <c r="B832" s="15"/>
    </row>
    <row r="833">
      <c r="A833" s="7"/>
      <c r="B833" s="15"/>
    </row>
    <row r="834">
      <c r="A834" s="7"/>
      <c r="B834" s="15"/>
    </row>
    <row r="835">
      <c r="A835" s="7"/>
      <c r="B835" s="15"/>
    </row>
    <row r="836">
      <c r="A836" s="7"/>
      <c r="B836" s="15"/>
    </row>
    <row r="837">
      <c r="A837" s="7"/>
      <c r="B837" s="15"/>
    </row>
    <row r="838">
      <c r="A838" s="7"/>
      <c r="B838" s="15"/>
    </row>
    <row r="839">
      <c r="A839" s="7"/>
      <c r="B839" s="15"/>
    </row>
    <row r="840">
      <c r="A840" s="7"/>
      <c r="B840" s="15"/>
    </row>
    <row r="841">
      <c r="A841" s="7"/>
      <c r="B841" s="15"/>
    </row>
    <row r="842">
      <c r="A842" s="7"/>
      <c r="B842" s="15"/>
    </row>
    <row r="843">
      <c r="A843" s="7"/>
      <c r="B843" s="15"/>
    </row>
    <row r="844">
      <c r="A844" s="7"/>
      <c r="B844" s="15"/>
    </row>
    <row r="845">
      <c r="A845" s="7"/>
      <c r="B845" s="15"/>
    </row>
    <row r="846">
      <c r="A846" s="7"/>
      <c r="B846" s="15"/>
    </row>
    <row r="847">
      <c r="A847" s="7"/>
      <c r="B847" s="15"/>
    </row>
    <row r="848">
      <c r="A848" s="7"/>
      <c r="B848" s="15"/>
    </row>
    <row r="849">
      <c r="A849" s="7"/>
      <c r="B849" s="15"/>
    </row>
    <row r="850">
      <c r="A850" s="7"/>
      <c r="B850" s="15"/>
    </row>
    <row r="851">
      <c r="A851" s="7"/>
      <c r="B851" s="15"/>
    </row>
    <row r="852">
      <c r="A852" s="7"/>
      <c r="B852" s="15"/>
    </row>
    <row r="853">
      <c r="A853" s="7"/>
      <c r="B853" s="15"/>
    </row>
    <row r="854">
      <c r="A854" s="7"/>
      <c r="B854" s="15"/>
    </row>
    <row r="855">
      <c r="A855" s="7"/>
      <c r="B855" s="15"/>
    </row>
    <row r="856">
      <c r="A856" s="7"/>
      <c r="B856" s="15"/>
    </row>
    <row r="857">
      <c r="A857" s="7"/>
      <c r="B857" s="15"/>
    </row>
    <row r="858">
      <c r="A858" s="7"/>
      <c r="B858" s="15"/>
    </row>
    <row r="859">
      <c r="A859" s="7"/>
      <c r="B859" s="15"/>
    </row>
    <row r="860">
      <c r="A860" s="7"/>
      <c r="B860" s="15"/>
    </row>
    <row r="861">
      <c r="A861" s="7"/>
      <c r="B861" s="15"/>
    </row>
    <row r="862">
      <c r="A862" s="7"/>
      <c r="B862" s="15"/>
    </row>
    <row r="863">
      <c r="A863" s="7"/>
      <c r="B863" s="15"/>
    </row>
    <row r="864">
      <c r="A864" s="7"/>
      <c r="B864" s="15"/>
    </row>
    <row r="865">
      <c r="A865" s="7"/>
      <c r="B865" s="15"/>
    </row>
    <row r="866">
      <c r="A866" s="7"/>
      <c r="B866" s="15"/>
    </row>
    <row r="867">
      <c r="A867" s="7"/>
      <c r="B867" s="15"/>
    </row>
    <row r="868">
      <c r="A868" s="7"/>
      <c r="B868" s="15"/>
    </row>
    <row r="869">
      <c r="A869" s="7"/>
      <c r="B869" s="15"/>
    </row>
    <row r="870">
      <c r="A870" s="7"/>
      <c r="B870" s="15"/>
    </row>
    <row r="871">
      <c r="A871" s="7"/>
      <c r="B871" s="15"/>
    </row>
    <row r="872">
      <c r="A872" s="7"/>
      <c r="B872" s="15"/>
    </row>
    <row r="873">
      <c r="A873" s="7"/>
      <c r="B873" s="15"/>
    </row>
    <row r="874">
      <c r="A874" s="7"/>
      <c r="B874" s="15"/>
    </row>
    <row r="875">
      <c r="A875" s="7"/>
      <c r="B875" s="15"/>
    </row>
    <row r="876">
      <c r="A876" s="7"/>
      <c r="B876" s="15"/>
    </row>
    <row r="877">
      <c r="A877" s="7"/>
      <c r="B877" s="15"/>
    </row>
    <row r="878">
      <c r="A878" s="7"/>
      <c r="B878" s="15"/>
    </row>
    <row r="879">
      <c r="A879" s="7"/>
      <c r="B879" s="15"/>
    </row>
    <row r="880">
      <c r="A880" s="7"/>
      <c r="B880" s="15"/>
    </row>
    <row r="881">
      <c r="A881" s="7"/>
      <c r="B881" s="15"/>
    </row>
    <row r="882">
      <c r="A882" s="7"/>
      <c r="B882" s="15"/>
    </row>
    <row r="883">
      <c r="A883" s="7"/>
      <c r="B883" s="15"/>
    </row>
    <row r="884">
      <c r="A884" s="7"/>
      <c r="B884" s="15"/>
    </row>
    <row r="885">
      <c r="A885" s="7"/>
      <c r="B885" s="15"/>
    </row>
    <row r="886">
      <c r="A886" s="7"/>
      <c r="B886" s="15"/>
    </row>
    <row r="887">
      <c r="A887" s="7"/>
      <c r="B887" s="15"/>
    </row>
    <row r="888">
      <c r="A888" s="7"/>
      <c r="B888" s="15"/>
    </row>
    <row r="889">
      <c r="A889" s="7"/>
      <c r="B889" s="15"/>
    </row>
    <row r="890">
      <c r="A890" s="7"/>
      <c r="B890" s="15"/>
    </row>
    <row r="891">
      <c r="A891" s="7"/>
      <c r="B891" s="15"/>
    </row>
    <row r="892">
      <c r="A892" s="7"/>
      <c r="B892" s="15"/>
    </row>
    <row r="893">
      <c r="A893" s="7"/>
      <c r="B893" s="15"/>
    </row>
    <row r="894">
      <c r="A894" s="7"/>
      <c r="B894" s="15"/>
    </row>
    <row r="895">
      <c r="A895" s="7"/>
      <c r="B895" s="15"/>
    </row>
    <row r="896">
      <c r="A896" s="7"/>
      <c r="B896" s="15"/>
    </row>
    <row r="897">
      <c r="A897" s="7"/>
      <c r="B897" s="15"/>
    </row>
    <row r="898">
      <c r="A898" s="7"/>
      <c r="B898" s="15"/>
    </row>
    <row r="899">
      <c r="A899" s="7"/>
      <c r="B899" s="15"/>
    </row>
    <row r="900">
      <c r="A900" s="7"/>
      <c r="B900" s="15"/>
    </row>
    <row r="901">
      <c r="A901" s="7"/>
      <c r="B901" s="15"/>
    </row>
    <row r="902">
      <c r="A902" s="7"/>
      <c r="B902" s="15"/>
    </row>
    <row r="903">
      <c r="A903" s="7"/>
      <c r="B903" s="15"/>
    </row>
    <row r="904">
      <c r="A904" s="7"/>
      <c r="B904" s="15"/>
    </row>
    <row r="905">
      <c r="A905" s="7"/>
      <c r="B905" s="15"/>
    </row>
    <row r="906">
      <c r="A906" s="7"/>
      <c r="B906" s="15"/>
    </row>
    <row r="907">
      <c r="A907" s="7"/>
      <c r="B907" s="15"/>
    </row>
    <row r="908">
      <c r="A908" s="7"/>
      <c r="B908" s="15"/>
    </row>
    <row r="909">
      <c r="A909" s="7"/>
      <c r="B909" s="15"/>
    </row>
    <row r="910">
      <c r="A910" s="7"/>
      <c r="B910" s="15"/>
    </row>
    <row r="911">
      <c r="A911" s="7"/>
      <c r="B911" s="15"/>
    </row>
    <row r="912">
      <c r="A912" s="7"/>
      <c r="B912" s="15"/>
    </row>
    <row r="913">
      <c r="A913" s="7"/>
      <c r="B913" s="15"/>
    </row>
    <row r="914">
      <c r="A914" s="7"/>
      <c r="B914" s="15"/>
    </row>
    <row r="915">
      <c r="A915" s="7"/>
      <c r="B915" s="15"/>
    </row>
    <row r="916">
      <c r="A916" s="7"/>
      <c r="B916" s="15"/>
    </row>
    <row r="917">
      <c r="A917" s="7"/>
      <c r="B917" s="15"/>
    </row>
    <row r="918">
      <c r="A918" s="7"/>
      <c r="B918" s="15"/>
    </row>
    <row r="919">
      <c r="A919" s="7"/>
      <c r="B919" s="15"/>
    </row>
    <row r="920">
      <c r="A920" s="7"/>
      <c r="B920" s="15"/>
    </row>
    <row r="921">
      <c r="A921" s="7"/>
      <c r="B921" s="15"/>
    </row>
    <row r="922">
      <c r="A922" s="7"/>
      <c r="B922" s="15"/>
    </row>
    <row r="923">
      <c r="A923" s="7"/>
      <c r="B923" s="15"/>
    </row>
    <row r="924">
      <c r="A924" s="7"/>
      <c r="B924" s="15"/>
    </row>
    <row r="925">
      <c r="A925" s="7"/>
      <c r="B925" s="15"/>
    </row>
    <row r="926">
      <c r="A926" s="7"/>
      <c r="B926" s="15"/>
    </row>
    <row r="927">
      <c r="A927" s="7"/>
      <c r="B927" s="15"/>
    </row>
    <row r="928">
      <c r="A928" s="7"/>
      <c r="B928" s="15"/>
    </row>
    <row r="929">
      <c r="A929" s="7"/>
      <c r="B929" s="15"/>
    </row>
    <row r="930">
      <c r="A930" s="7"/>
      <c r="B930" s="15"/>
    </row>
    <row r="931">
      <c r="A931" s="7"/>
      <c r="B931" s="15"/>
    </row>
    <row r="932">
      <c r="A932" s="7"/>
      <c r="B932" s="15"/>
    </row>
    <row r="933">
      <c r="A933" s="7"/>
      <c r="B933" s="15"/>
    </row>
    <row r="934">
      <c r="A934" s="7"/>
      <c r="B934" s="15"/>
    </row>
    <row r="935">
      <c r="A935" s="7"/>
      <c r="B935" s="15"/>
    </row>
    <row r="936">
      <c r="A936" s="7"/>
      <c r="B936" s="15"/>
    </row>
    <row r="937">
      <c r="A937" s="7"/>
      <c r="B937" s="15"/>
    </row>
    <row r="938">
      <c r="A938" s="7"/>
      <c r="B938" s="15"/>
    </row>
    <row r="939">
      <c r="A939" s="7"/>
      <c r="B939" s="15"/>
    </row>
    <row r="940">
      <c r="A940" s="7"/>
      <c r="B940" s="15"/>
    </row>
    <row r="941">
      <c r="A941" s="7"/>
      <c r="B941" s="15"/>
    </row>
    <row r="942">
      <c r="A942" s="7"/>
      <c r="B942" s="15"/>
    </row>
    <row r="943">
      <c r="A943" s="7"/>
      <c r="B943" s="15"/>
    </row>
    <row r="944">
      <c r="A944" s="7"/>
      <c r="B944" s="15"/>
    </row>
    <row r="945">
      <c r="A945" s="7"/>
      <c r="B945" s="15"/>
    </row>
    <row r="946">
      <c r="A946" s="7"/>
      <c r="B946" s="15"/>
    </row>
    <row r="947">
      <c r="A947" s="7"/>
      <c r="B947" s="15"/>
    </row>
    <row r="948">
      <c r="A948" s="7"/>
      <c r="B948" s="15"/>
    </row>
    <row r="949">
      <c r="A949" s="7"/>
      <c r="B949" s="15"/>
    </row>
    <row r="950">
      <c r="A950" s="7"/>
      <c r="B950" s="15"/>
    </row>
    <row r="951">
      <c r="A951" s="7"/>
      <c r="B951" s="15"/>
    </row>
    <row r="952">
      <c r="A952" s="7"/>
      <c r="B952" s="15"/>
    </row>
    <row r="953">
      <c r="A953" s="7"/>
      <c r="B953" s="15"/>
    </row>
    <row r="954">
      <c r="A954" s="7"/>
      <c r="B954" s="15"/>
    </row>
    <row r="955">
      <c r="A955" s="7"/>
      <c r="B955" s="15"/>
    </row>
    <row r="956">
      <c r="A956" s="7"/>
      <c r="B956" s="15"/>
    </row>
    <row r="957">
      <c r="A957" s="7"/>
      <c r="B957" s="15"/>
    </row>
    <row r="958">
      <c r="A958" s="7"/>
      <c r="B958" s="15"/>
    </row>
    <row r="959">
      <c r="A959" s="7"/>
      <c r="B959" s="15"/>
    </row>
    <row r="960">
      <c r="A960" s="7"/>
      <c r="B960" s="15"/>
    </row>
    <row r="961">
      <c r="A961" s="7"/>
      <c r="B961" s="15"/>
    </row>
    <row r="962">
      <c r="A962" s="7"/>
      <c r="B962" s="15"/>
    </row>
    <row r="963">
      <c r="A963" s="7"/>
      <c r="B963" s="15"/>
    </row>
    <row r="964">
      <c r="A964" s="7"/>
      <c r="B964" s="15"/>
    </row>
    <row r="965">
      <c r="A965" s="7"/>
      <c r="B965" s="15"/>
    </row>
    <row r="966">
      <c r="A966" s="7"/>
      <c r="B966" s="15"/>
    </row>
    <row r="967">
      <c r="A967" s="7"/>
      <c r="B967" s="15"/>
    </row>
    <row r="968">
      <c r="A968" s="7"/>
      <c r="B968" s="15"/>
    </row>
    <row r="969">
      <c r="A969" s="7"/>
      <c r="B969" s="15"/>
    </row>
    <row r="970">
      <c r="A970" s="7"/>
      <c r="B970" s="15"/>
    </row>
    <row r="971">
      <c r="A971" s="7"/>
      <c r="B971" s="15"/>
    </row>
    <row r="972">
      <c r="A972" s="7"/>
      <c r="B972" s="15"/>
    </row>
    <row r="973">
      <c r="A973" s="7"/>
      <c r="B973" s="15"/>
    </row>
    <row r="974">
      <c r="A974" s="7"/>
      <c r="B974" s="15"/>
    </row>
    <row r="975">
      <c r="A975" s="7"/>
      <c r="B975" s="15"/>
    </row>
    <row r="976">
      <c r="A976" s="7"/>
      <c r="B976" s="15"/>
    </row>
    <row r="977">
      <c r="A977" s="7"/>
      <c r="B977" s="15"/>
    </row>
    <row r="978">
      <c r="A978" s="7"/>
      <c r="B978" s="15"/>
    </row>
    <row r="979">
      <c r="A979" s="7"/>
      <c r="B979" s="15"/>
    </row>
    <row r="980">
      <c r="A980" s="7"/>
      <c r="B980" s="15"/>
    </row>
    <row r="981">
      <c r="A981" s="7"/>
      <c r="B981" s="15"/>
    </row>
    <row r="982">
      <c r="A982" s="7"/>
      <c r="B982" s="15"/>
    </row>
    <row r="983">
      <c r="A983" s="7"/>
      <c r="B983" s="15"/>
    </row>
    <row r="984">
      <c r="A984" s="7"/>
      <c r="B984" s="15"/>
    </row>
    <row r="985">
      <c r="A985" s="7"/>
      <c r="B985" s="15"/>
    </row>
    <row r="986">
      <c r="A986" s="7"/>
      <c r="B986" s="15"/>
    </row>
    <row r="987">
      <c r="A987" s="7"/>
      <c r="B987" s="15"/>
    </row>
    <row r="988">
      <c r="A988" s="7"/>
      <c r="B988" s="15"/>
    </row>
    <row r="989">
      <c r="A989" s="7"/>
      <c r="B989" s="15"/>
    </row>
    <row r="990">
      <c r="A990" s="7"/>
      <c r="B990" s="15"/>
    </row>
    <row r="991">
      <c r="A991" s="7"/>
      <c r="B991" s="15"/>
    </row>
    <row r="992">
      <c r="A992" s="7"/>
      <c r="B992" s="15"/>
    </row>
    <row r="993">
      <c r="A993" s="7"/>
      <c r="B993" s="15"/>
    </row>
    <row r="994">
      <c r="A994" s="7"/>
      <c r="B994" s="15"/>
    </row>
    <row r="995">
      <c r="A995" s="7"/>
      <c r="B995" s="15"/>
    </row>
    <row r="996">
      <c r="A996" s="7"/>
      <c r="B996" s="15"/>
    </row>
    <row r="997">
      <c r="A997" s="7"/>
      <c r="B997" s="15"/>
    </row>
    <row r="998">
      <c r="A998" s="7"/>
      <c r="B998" s="15"/>
    </row>
    <row r="999">
      <c r="A999" s="7"/>
      <c r="B999" s="15"/>
    </row>
    <row r="1000">
      <c r="A1000" s="7"/>
      <c r="B1000" s="15"/>
    </row>
    <row r="1001">
      <c r="A1001" s="7"/>
      <c r="B1001" s="15"/>
    </row>
    <row r="1002">
      <c r="A1002" s="7"/>
      <c r="B1002" s="15"/>
    </row>
    <row r="1003">
      <c r="A1003" s="7"/>
      <c r="B1003" s="15"/>
    </row>
    <row r="1004">
      <c r="A1004" s="7"/>
      <c r="B1004" s="15"/>
    </row>
    <row r="1005">
      <c r="A1005" s="7"/>
      <c r="B1005" s="15"/>
    </row>
    <row r="1006">
      <c r="A1006" s="7"/>
      <c r="B1006" s="15"/>
    </row>
    <row r="1007">
      <c r="A1007" s="7"/>
      <c r="B1007" s="15"/>
    </row>
    <row r="1008">
      <c r="A1008" s="7"/>
      <c r="B1008" s="15"/>
    </row>
    <row r="1009">
      <c r="A1009" s="7"/>
      <c r="B1009" s="15"/>
    </row>
    <row r="1010">
      <c r="A1010" s="7"/>
      <c r="B1010" s="15"/>
    </row>
    <row r="1011">
      <c r="A1011" s="7"/>
      <c r="B1011" s="15"/>
    </row>
    <row r="1012">
      <c r="A1012" s="7"/>
      <c r="B1012" s="15"/>
    </row>
    <row r="1013">
      <c r="A1013" s="7"/>
      <c r="B1013" s="15"/>
    </row>
    <row r="1014">
      <c r="A1014" s="7"/>
      <c r="B1014" s="15"/>
    </row>
    <row r="1015">
      <c r="A1015" s="7"/>
      <c r="B1015" s="15"/>
    </row>
    <row r="1016">
      <c r="A1016" s="7"/>
      <c r="B1016" s="15"/>
    </row>
    <row r="1017">
      <c r="A1017" s="7"/>
      <c r="B1017" s="15"/>
    </row>
    <row r="1018">
      <c r="A1018" s="7"/>
      <c r="B1018" s="15"/>
    </row>
    <row r="1019">
      <c r="A1019" s="7"/>
      <c r="B1019" s="15"/>
    </row>
    <row r="1020">
      <c r="A1020" s="7"/>
      <c r="B1020" s="15"/>
    </row>
    <row r="1021">
      <c r="A1021" s="7"/>
      <c r="B1021" s="15"/>
    </row>
    <row r="1022">
      <c r="A1022" s="7"/>
      <c r="B1022" s="15"/>
    </row>
    <row r="1023">
      <c r="A1023" s="7"/>
      <c r="B1023" s="15"/>
    </row>
    <row r="1024">
      <c r="A1024" s="7"/>
      <c r="B1024" s="15"/>
    </row>
    <row r="1025">
      <c r="A1025" s="7"/>
      <c r="B1025" s="15"/>
    </row>
    <row r="1026">
      <c r="A1026" s="7"/>
      <c r="B1026" s="15"/>
    </row>
    <row r="1027">
      <c r="A1027" s="7"/>
      <c r="B1027" s="15"/>
    </row>
    <row r="1028">
      <c r="A1028" s="7"/>
      <c r="B1028" s="15"/>
    </row>
    <row r="1029">
      <c r="A1029" s="7"/>
      <c r="B1029" s="15"/>
    </row>
    <row r="1030">
      <c r="A1030" s="7"/>
      <c r="B1030" s="15"/>
    </row>
    <row r="1031">
      <c r="A1031" s="7"/>
      <c r="B1031" s="15"/>
    </row>
    <row r="1032">
      <c r="A1032" s="7"/>
      <c r="B1032" s="15"/>
    </row>
    <row r="1033">
      <c r="A1033" s="7"/>
      <c r="B1033" s="15"/>
    </row>
    <row r="1034">
      <c r="A1034" s="7"/>
      <c r="B1034" s="15"/>
    </row>
    <row r="1035">
      <c r="A1035" s="7"/>
      <c r="B1035" s="15"/>
    </row>
    <row r="1036">
      <c r="A1036" s="7"/>
      <c r="B1036" s="15"/>
    </row>
    <row r="1037">
      <c r="A1037" s="7"/>
      <c r="B1037" s="15"/>
    </row>
    <row r="1038">
      <c r="A1038" s="7"/>
      <c r="B1038" s="15"/>
    </row>
    <row r="1039">
      <c r="A1039" s="7"/>
      <c r="B1039" s="15"/>
    </row>
    <row r="1040">
      <c r="A1040" s="7"/>
      <c r="B1040" s="15"/>
    </row>
    <row r="1041">
      <c r="A1041" s="7"/>
      <c r="B1041" s="15"/>
    </row>
    <row r="1042">
      <c r="A1042" s="7"/>
      <c r="B1042" s="15"/>
    </row>
    <row r="1043">
      <c r="A1043" s="7"/>
      <c r="B1043" s="15"/>
    </row>
    <row r="1044">
      <c r="A1044" s="7"/>
      <c r="B1044" s="15"/>
    </row>
    <row r="1045">
      <c r="A1045" s="7"/>
      <c r="B1045" s="15"/>
    </row>
    <row r="1046">
      <c r="A1046" s="7"/>
      <c r="B1046" s="15"/>
    </row>
    <row r="1047">
      <c r="A1047" s="7"/>
      <c r="B1047" s="15"/>
    </row>
    <row r="1048">
      <c r="A1048" s="7"/>
      <c r="B1048" s="15"/>
    </row>
    <row r="1049">
      <c r="A1049" s="7"/>
      <c r="B1049" s="15"/>
    </row>
    <row r="1050">
      <c r="A1050" s="7"/>
      <c r="B1050" s="15"/>
    </row>
    <row r="1051">
      <c r="A1051" s="7"/>
      <c r="B1051" s="15"/>
    </row>
    <row r="1052">
      <c r="A1052" s="7"/>
      <c r="B1052" s="15"/>
    </row>
    <row r="1053">
      <c r="A1053" s="7"/>
      <c r="B1053" s="15"/>
    </row>
    <row r="1054">
      <c r="A1054" s="7"/>
      <c r="B1054" s="15" t="s">
        <v>1330</v>
      </c>
    </row>
    <row r="1055">
      <c r="A1055" s="7"/>
      <c r="B1055" s="15"/>
    </row>
    <row r="1056">
      <c r="A1056" s="7"/>
      <c r="B1056" s="15"/>
    </row>
    <row r="1057">
      <c r="A1057" s="7"/>
      <c r="B1057" s="15"/>
    </row>
    <row r="1058">
      <c r="A1058" s="7"/>
      <c r="B1058" s="15"/>
    </row>
    <row r="1059">
      <c r="A1059" s="7"/>
      <c r="B1059" s="15"/>
    </row>
    <row r="1060">
      <c r="A1060" s="7"/>
      <c r="B1060" s="15"/>
    </row>
    <row r="1061">
      <c r="A1061" s="7"/>
      <c r="B1061" s="15"/>
    </row>
    <row r="1062">
      <c r="A1062" s="7"/>
      <c r="B1062" s="15"/>
    </row>
    <row r="1063">
      <c r="A1063" s="7"/>
      <c r="B1063" s="15"/>
    </row>
    <row r="1064">
      <c r="A1064" s="7"/>
      <c r="B1064" s="15"/>
    </row>
    <row r="1065">
      <c r="A1065" s="7"/>
      <c r="B1065" s="15"/>
    </row>
    <row r="1066">
      <c r="A1066" s="7"/>
      <c r="B1066" s="15"/>
    </row>
    <row r="1067">
      <c r="A1067" s="7"/>
      <c r="B1067" s="15"/>
    </row>
    <row r="1068">
      <c r="A1068" s="7"/>
      <c r="B1068" s="15"/>
    </row>
    <row r="1069">
      <c r="A1069" s="7"/>
      <c r="B1069" s="15"/>
    </row>
    <row r="1070">
      <c r="A1070" s="7"/>
      <c r="B1070" s="15"/>
    </row>
    <row r="1071">
      <c r="A1071" s="7"/>
      <c r="B1071" s="15"/>
    </row>
    <row r="1072">
      <c r="A1072" s="7"/>
      <c r="B1072" s="15"/>
    </row>
    <row r="1073">
      <c r="A1073" s="7"/>
      <c r="B1073" s="15"/>
    </row>
    <row r="1074">
      <c r="A1074" s="7"/>
      <c r="B1074" s="15"/>
    </row>
    <row r="1075">
      <c r="A1075" s="7"/>
      <c r="B1075" s="15"/>
    </row>
    <row r="1076">
      <c r="A1076" s="7"/>
      <c r="B1076" s="15"/>
    </row>
    <row r="1077">
      <c r="A1077" s="7"/>
      <c r="B1077" s="15"/>
    </row>
    <row r="1078">
      <c r="A1078" s="7"/>
      <c r="B1078" s="15"/>
    </row>
    <row r="1079">
      <c r="A1079" s="7"/>
      <c r="B1079" s="15"/>
    </row>
    <row r="1080">
      <c r="A1080" s="7"/>
      <c r="B1080" s="15"/>
    </row>
    <row r="1081">
      <c r="A1081" s="7"/>
      <c r="B1081" s="15"/>
    </row>
    <row r="1082">
      <c r="A1082" s="7"/>
      <c r="B1082" s="15"/>
    </row>
    <row r="1083">
      <c r="A1083" s="7"/>
      <c r="B1083" s="15"/>
    </row>
    <row r="1084">
      <c r="A1084" s="7"/>
      <c r="B1084" s="15"/>
    </row>
    <row r="1085">
      <c r="A1085" s="7"/>
      <c r="B1085" s="15"/>
    </row>
    <row r="1086">
      <c r="A1086" s="7"/>
      <c r="B1086" s="15"/>
    </row>
    <row r="1087">
      <c r="A1087" s="7"/>
      <c r="B1087" s="15"/>
    </row>
    <row r="1088">
      <c r="A1088" s="7"/>
      <c r="B1088" s="15"/>
    </row>
    <row r="1089">
      <c r="A1089" s="7"/>
      <c r="B1089" s="15"/>
    </row>
    <row r="1090">
      <c r="A1090" s="7"/>
      <c r="B1090" s="15"/>
    </row>
    <row r="1091">
      <c r="A1091" s="7"/>
      <c r="B1091" s="15"/>
    </row>
    <row r="1092">
      <c r="A1092" s="7"/>
      <c r="B1092" s="15"/>
    </row>
    <row r="1093">
      <c r="A1093" s="7"/>
      <c r="B1093" s="15"/>
    </row>
    <row r="1094">
      <c r="A1094" s="7"/>
      <c r="B1094" s="15"/>
    </row>
    <row r="1095">
      <c r="A1095" s="7"/>
      <c r="B1095" s="15"/>
    </row>
    <row r="1096">
      <c r="A1096" s="7"/>
      <c r="B1096" s="15"/>
    </row>
    <row r="1097">
      <c r="A1097" s="7"/>
      <c r="B1097" s="15"/>
    </row>
    <row r="1098">
      <c r="A1098" s="7"/>
      <c r="B1098" s="15"/>
    </row>
    <row r="1099">
      <c r="A1099" s="7"/>
      <c r="B1099" s="15"/>
    </row>
    <row r="1100">
      <c r="A1100" s="7"/>
      <c r="B1100" s="15"/>
    </row>
    <row r="1101">
      <c r="A1101" s="7"/>
      <c r="B1101" s="15"/>
    </row>
    <row r="1102">
      <c r="A1102" s="7"/>
      <c r="B1102" s="15"/>
    </row>
    <row r="1103">
      <c r="A1103" s="7"/>
      <c r="B1103" s="15"/>
    </row>
    <row r="1104">
      <c r="A1104" s="7"/>
      <c r="B1104" s="15"/>
    </row>
    <row r="1105">
      <c r="A1105" s="7"/>
      <c r="B1105" s="15"/>
    </row>
    <row r="1106">
      <c r="A1106" s="7"/>
      <c r="B1106" s="15"/>
    </row>
    <row r="1107">
      <c r="A1107" s="7"/>
      <c r="B1107" s="15"/>
    </row>
    <row r="1108">
      <c r="A1108" s="7"/>
      <c r="B1108" s="15"/>
    </row>
    <row r="1109">
      <c r="A1109" s="7"/>
      <c r="B1109" s="15"/>
    </row>
    <row r="1110">
      <c r="A1110" s="7"/>
      <c r="B1110" s="15"/>
    </row>
    <row r="1111">
      <c r="A1111" s="7"/>
      <c r="B1111" s="15"/>
    </row>
    <row r="1112">
      <c r="A1112" s="7"/>
      <c r="B1112" s="15"/>
    </row>
    <row r="1113">
      <c r="A1113" s="7"/>
      <c r="B1113" s="15"/>
    </row>
    <row r="1114">
      <c r="A1114" s="7"/>
      <c r="B1114" s="15"/>
    </row>
    <row r="1115">
      <c r="A1115" s="7"/>
      <c r="B1115" s="15"/>
    </row>
    <row r="1116">
      <c r="A1116" s="7"/>
      <c r="B1116" s="15"/>
    </row>
    <row r="1117">
      <c r="A1117" s="7"/>
      <c r="B1117" s="15"/>
    </row>
    <row r="1118">
      <c r="A1118" s="7"/>
      <c r="B1118" s="15"/>
    </row>
    <row r="1119">
      <c r="A1119" s="7"/>
      <c r="B1119" s="15"/>
    </row>
    <row r="1120">
      <c r="A1120" s="7"/>
      <c r="B1120" s="15"/>
    </row>
    <row r="1121">
      <c r="A1121" s="7"/>
      <c r="B1121" s="15"/>
    </row>
    <row r="1122">
      <c r="A1122" s="7"/>
      <c r="B1122" s="15"/>
    </row>
    <row r="1123">
      <c r="A1123" s="7"/>
      <c r="B1123" s="15"/>
    </row>
    <row r="1124">
      <c r="A1124" s="7"/>
      <c r="B1124" s="15"/>
    </row>
    <row r="1125">
      <c r="A1125" s="7"/>
      <c r="B1125" s="15"/>
    </row>
    <row r="1126">
      <c r="A1126" s="7"/>
      <c r="B1126" s="15"/>
    </row>
    <row r="1127">
      <c r="A1127" s="7"/>
      <c r="B1127" s="15"/>
    </row>
    <row r="1128">
      <c r="A1128" s="7"/>
      <c r="B1128" s="15"/>
    </row>
    <row r="1129">
      <c r="A1129" s="7"/>
      <c r="B1129" s="15"/>
    </row>
    <row r="1130">
      <c r="A1130" s="7"/>
      <c r="B1130" s="15"/>
    </row>
    <row r="1131">
      <c r="A1131" s="7"/>
      <c r="B1131" s="15"/>
    </row>
    <row r="1132">
      <c r="A1132" s="7"/>
      <c r="B1132" s="15"/>
    </row>
    <row r="1133">
      <c r="A1133" s="7"/>
      <c r="B1133" s="15"/>
    </row>
    <row r="1134">
      <c r="A1134" s="7"/>
      <c r="B1134" s="15"/>
    </row>
    <row r="1135">
      <c r="A1135" s="7"/>
      <c r="B1135" s="15"/>
    </row>
    <row r="1136">
      <c r="A1136" s="7"/>
      <c r="B1136" s="15"/>
    </row>
    <row r="1137">
      <c r="A1137" s="7"/>
      <c r="B1137" s="15"/>
    </row>
    <row r="1138">
      <c r="A1138" s="7"/>
      <c r="B1138" s="15"/>
    </row>
    <row r="1139">
      <c r="A1139" s="7"/>
      <c r="B1139" s="15"/>
    </row>
    <row r="1140">
      <c r="A1140" s="7"/>
      <c r="B1140" s="15"/>
    </row>
    <row r="1141">
      <c r="A1141" s="7"/>
      <c r="B1141" s="15"/>
    </row>
    <row r="1142">
      <c r="A1142" s="7"/>
      <c r="B1142" s="15"/>
    </row>
    <row r="1143">
      <c r="A1143" s="7"/>
      <c r="B1143" s="15"/>
    </row>
    <row r="1144">
      <c r="A1144" s="7"/>
      <c r="B1144" s="15"/>
    </row>
    <row r="1145">
      <c r="A1145" s="7"/>
      <c r="B1145" s="15"/>
    </row>
    <row r="1146">
      <c r="A1146" s="7"/>
      <c r="B1146" s="15"/>
    </row>
    <row r="1147">
      <c r="A1147" s="7"/>
      <c r="B1147" s="15"/>
    </row>
    <row r="1148">
      <c r="A1148" s="7"/>
      <c r="B1148" s="15"/>
    </row>
    <row r="1149">
      <c r="A1149" s="7"/>
      <c r="B1149" s="15"/>
    </row>
    <row r="1150">
      <c r="A1150" s="7"/>
      <c r="B1150" s="15"/>
    </row>
    <row r="1151">
      <c r="A1151" s="7"/>
      <c r="B1151" s="15"/>
    </row>
    <row r="1152">
      <c r="A1152" s="7"/>
      <c r="B1152" s="15"/>
    </row>
    <row r="1153">
      <c r="A1153" s="7"/>
      <c r="B1153" s="15"/>
    </row>
    <row r="1154">
      <c r="A1154" s="7"/>
      <c r="B1154" s="15"/>
    </row>
    <row r="1155">
      <c r="A1155" s="7"/>
      <c r="B1155" s="15"/>
    </row>
    <row r="1156">
      <c r="A1156" s="7"/>
      <c r="B1156" s="15"/>
    </row>
    <row r="1157">
      <c r="A1157" s="7"/>
      <c r="B1157" s="15"/>
    </row>
    <row r="1158">
      <c r="A1158" s="7"/>
      <c r="B1158" s="15"/>
    </row>
    <row r="1159">
      <c r="A1159" s="7"/>
      <c r="B1159" s="15"/>
    </row>
    <row r="1160">
      <c r="A1160" s="7"/>
      <c r="B1160" s="15"/>
    </row>
    <row r="1161">
      <c r="A1161" s="7"/>
      <c r="B1161" s="15"/>
    </row>
    <row r="1162">
      <c r="A1162" s="7"/>
      <c r="B1162" s="15"/>
    </row>
    <row r="1163">
      <c r="A1163" s="7"/>
      <c r="B1163" s="15"/>
    </row>
    <row r="1164">
      <c r="A1164" s="7"/>
      <c r="B1164" s="15"/>
    </row>
    <row r="1165">
      <c r="A1165" s="7"/>
      <c r="B1165" s="15"/>
    </row>
    <row r="1166">
      <c r="A1166" s="7"/>
      <c r="B1166" s="15"/>
    </row>
    <row r="1167">
      <c r="A1167" s="7"/>
      <c r="B1167" s="15"/>
    </row>
    <row r="1168">
      <c r="A1168" s="7"/>
      <c r="B1168" s="15"/>
    </row>
    <row r="1169">
      <c r="A1169" s="7"/>
      <c r="B1169" s="15"/>
    </row>
    <row r="1170">
      <c r="A1170" s="7"/>
      <c r="B1170" s="15"/>
    </row>
    <row r="1171">
      <c r="A1171" s="7"/>
      <c r="B1171" s="15"/>
    </row>
    <row r="1172">
      <c r="A1172" s="7"/>
      <c r="B1172" s="15"/>
    </row>
    <row r="1173">
      <c r="A1173" s="7"/>
      <c r="B1173" s="15"/>
    </row>
    <row r="1174">
      <c r="A1174" s="7"/>
      <c r="B1174" s="15"/>
    </row>
    <row r="1175">
      <c r="A1175" s="7"/>
      <c r="B1175" s="15"/>
    </row>
    <row r="1176">
      <c r="A1176" s="7"/>
      <c r="B1176" s="15"/>
    </row>
    <row r="1177">
      <c r="A1177" s="7"/>
      <c r="B1177" s="15"/>
    </row>
    <row r="1178">
      <c r="A1178" s="7"/>
      <c r="B1178" s="15"/>
    </row>
    <row r="1179">
      <c r="A1179" s="7"/>
      <c r="B1179" s="15"/>
    </row>
    <row r="1180">
      <c r="A1180" s="7"/>
      <c r="B1180" s="15"/>
    </row>
    <row r="1181">
      <c r="A1181" s="7"/>
      <c r="B1181" s="15"/>
    </row>
    <row r="1182">
      <c r="A1182" s="7"/>
      <c r="B1182" s="15"/>
    </row>
    <row r="1183">
      <c r="A1183" s="7"/>
      <c r="B1183" s="15"/>
    </row>
    <row r="1184">
      <c r="A1184" s="7"/>
      <c r="B1184" s="15"/>
    </row>
    <row r="1185">
      <c r="A1185" s="7"/>
      <c r="B1185" s="15"/>
    </row>
    <row r="1186">
      <c r="A1186" s="7"/>
      <c r="B1186" s="15"/>
    </row>
    <row r="1187">
      <c r="A1187" s="7"/>
      <c r="B1187" s="15"/>
    </row>
    <row r="1188">
      <c r="A1188" s="7"/>
      <c r="B1188" s="15"/>
    </row>
    <row r="1189">
      <c r="A1189" s="7"/>
      <c r="B1189" s="15"/>
    </row>
    <row r="1190">
      <c r="A1190" s="7"/>
      <c r="B1190" s="15"/>
    </row>
    <row r="1191">
      <c r="A1191" s="7"/>
      <c r="B1191" s="15"/>
    </row>
    <row r="1192">
      <c r="A1192" s="7"/>
      <c r="B1192" s="15"/>
    </row>
    <row r="1193">
      <c r="A1193" s="7"/>
      <c r="B1193" s="15"/>
    </row>
    <row r="1194">
      <c r="A1194" s="7"/>
      <c r="B1194" s="15"/>
    </row>
    <row r="1195">
      <c r="A1195" s="7"/>
      <c r="B1195" s="15"/>
    </row>
    <row r="1196">
      <c r="A1196" s="7"/>
      <c r="B1196" s="15"/>
    </row>
    <row r="1197">
      <c r="A1197" s="7"/>
      <c r="B1197" s="15"/>
    </row>
    <row r="1198">
      <c r="A1198" s="7"/>
      <c r="B1198" s="15"/>
    </row>
    <row r="1199">
      <c r="A1199" s="7"/>
      <c r="B1199" s="15"/>
    </row>
    <row r="1200">
      <c r="A1200" s="7"/>
      <c r="B1200" s="15"/>
    </row>
    <row r="1201">
      <c r="A1201" s="7"/>
      <c r="B1201" s="15"/>
    </row>
    <row r="1202">
      <c r="A1202" s="7"/>
      <c r="B1202" s="15"/>
    </row>
    <row r="1203">
      <c r="A1203" s="7"/>
      <c r="B1203" s="15"/>
    </row>
    <row r="1204">
      <c r="A1204" s="7"/>
      <c r="B1204" s="15"/>
    </row>
    <row r="1205">
      <c r="A1205" s="7"/>
      <c r="B1205" s="15"/>
    </row>
    <row r="1206">
      <c r="A1206" s="7"/>
      <c r="B1206" s="15"/>
    </row>
    <row r="1207">
      <c r="A1207" s="7"/>
      <c r="B1207" s="15"/>
    </row>
    <row r="1208">
      <c r="A1208" s="7"/>
      <c r="B1208" s="15"/>
    </row>
    <row r="1209">
      <c r="A1209" s="7"/>
      <c r="B1209" s="15"/>
    </row>
    <row r="1210">
      <c r="A1210" s="7"/>
      <c r="B1210" s="15"/>
    </row>
    <row r="1211">
      <c r="A1211" s="7"/>
      <c r="B1211" s="15"/>
    </row>
    <row r="1212">
      <c r="A1212" s="7"/>
      <c r="B1212" s="15"/>
    </row>
    <row r="1213">
      <c r="A1213" s="7"/>
      <c r="B1213" s="15"/>
    </row>
    <row r="1214">
      <c r="A1214" s="7"/>
      <c r="B1214" s="15"/>
    </row>
    <row r="1215">
      <c r="A1215" s="7"/>
      <c r="B1215" s="15"/>
    </row>
    <row r="1216">
      <c r="A1216" s="7"/>
      <c r="B1216" s="15"/>
    </row>
    <row r="1217">
      <c r="A1217" s="7"/>
      <c r="B1217" s="15"/>
    </row>
    <row r="1218">
      <c r="A1218" s="7"/>
      <c r="B1218" s="15"/>
    </row>
    <row r="1219">
      <c r="A1219" s="7"/>
      <c r="B1219" s="15"/>
    </row>
    <row r="1220">
      <c r="A1220" s="7"/>
      <c r="B1220" s="15"/>
    </row>
    <row r="1221">
      <c r="A1221" s="7"/>
      <c r="B1221" s="15"/>
    </row>
    <row r="1222">
      <c r="A1222" s="7"/>
      <c r="B1222" s="15"/>
    </row>
    <row r="1223">
      <c r="A1223" s="7"/>
      <c r="B1223" s="15"/>
    </row>
    <row r="1224">
      <c r="A1224" s="7"/>
      <c r="B1224" s="15"/>
    </row>
    <row r="1225">
      <c r="A1225" s="7"/>
      <c r="B1225" s="15"/>
    </row>
    <row r="1226">
      <c r="A1226" s="7"/>
      <c r="B1226" s="15"/>
    </row>
    <row r="1227">
      <c r="A1227" s="7"/>
      <c r="B1227" s="15"/>
    </row>
    <row r="1228">
      <c r="A1228" s="7"/>
      <c r="B1228" s="15"/>
    </row>
    <row r="1229">
      <c r="A1229" s="7"/>
      <c r="B1229" s="15"/>
    </row>
    <row r="1230">
      <c r="A1230" s="7"/>
      <c r="B1230" s="15"/>
    </row>
    <row r="1231">
      <c r="A1231" s="7"/>
      <c r="B1231" s="15"/>
    </row>
    <row r="1232">
      <c r="A1232" s="7"/>
      <c r="B1232" s="15"/>
    </row>
    <row r="1233">
      <c r="A1233" s="7"/>
      <c r="B1233" s="15"/>
    </row>
    <row r="1234">
      <c r="A1234" s="7"/>
      <c r="B1234" s="15"/>
    </row>
    <row r="1235">
      <c r="A1235" s="7"/>
      <c r="B1235" s="15"/>
    </row>
    <row r="1236">
      <c r="A1236" s="7"/>
      <c r="B1236" s="15"/>
    </row>
    <row r="1237">
      <c r="A1237" s="7"/>
      <c r="B1237" s="15"/>
    </row>
    <row r="1238">
      <c r="A1238" s="7"/>
      <c r="B1238" s="15"/>
    </row>
    <row r="1239">
      <c r="A1239" s="7"/>
      <c r="B1239" s="15"/>
    </row>
    <row r="1240">
      <c r="A1240" s="7"/>
      <c r="B1240" s="15"/>
    </row>
    <row r="1241">
      <c r="A1241" s="7"/>
      <c r="B1241" s="15"/>
    </row>
    <row r="1242">
      <c r="A1242" s="7"/>
      <c r="B1242" s="15"/>
    </row>
    <row r="1243">
      <c r="A1243" s="7"/>
      <c r="B1243" s="15"/>
    </row>
    <row r="1244">
      <c r="A1244" s="7"/>
      <c r="B1244" s="15"/>
    </row>
    <row r="1245">
      <c r="A1245" s="7"/>
      <c r="B1245" s="15"/>
    </row>
    <row r="1246">
      <c r="A1246" s="7"/>
      <c r="B1246" s="15"/>
    </row>
    <row r="1247">
      <c r="A1247" s="7"/>
      <c r="B1247" s="15"/>
    </row>
    <row r="1248">
      <c r="A1248" s="7"/>
      <c r="B1248" s="15"/>
    </row>
    <row r="1249">
      <c r="A1249" s="7"/>
      <c r="B1249" s="15"/>
    </row>
    <row r="1250">
      <c r="A1250" s="7"/>
      <c r="B1250" s="15"/>
    </row>
    <row r="1251">
      <c r="A1251" s="7"/>
      <c r="B1251" s="15"/>
    </row>
    <row r="1252">
      <c r="A1252" s="7"/>
      <c r="B1252" s="15"/>
    </row>
    <row r="1253">
      <c r="A1253" s="7"/>
      <c r="B1253" s="15"/>
    </row>
    <row r="1254">
      <c r="A1254" s="7"/>
      <c r="B1254" s="15"/>
    </row>
    <row r="1255">
      <c r="A1255" s="7"/>
      <c r="B1255" s="15"/>
    </row>
    <row r="1256">
      <c r="A1256" s="7"/>
      <c r="B1256" s="15"/>
    </row>
    <row r="1257">
      <c r="A1257" s="7"/>
      <c r="B1257" s="15"/>
    </row>
    <row r="1258">
      <c r="A1258" s="7"/>
      <c r="B1258" s="15"/>
    </row>
    <row r="1259">
      <c r="A1259" s="7"/>
      <c r="B1259" s="15"/>
    </row>
    <row r="1260">
      <c r="A1260" s="7"/>
      <c r="B1260" s="15"/>
    </row>
    <row r="1261">
      <c r="A1261" s="7"/>
      <c r="B1261" s="15"/>
    </row>
    <row r="1262">
      <c r="A1262" s="7"/>
      <c r="B1262" s="15"/>
    </row>
    <row r="1263">
      <c r="A1263" s="7"/>
      <c r="B1263" s="15"/>
    </row>
    <row r="1264">
      <c r="A1264" s="7"/>
      <c r="B1264" s="15"/>
    </row>
    <row r="1265">
      <c r="A1265" s="7" t="s">
        <v>1331</v>
      </c>
      <c r="B1265" s="15"/>
    </row>
    <row r="1266">
      <c r="A1266" s="7"/>
      <c r="B1266" s="15"/>
    </row>
    <row r="1267">
      <c r="A1267" s="7"/>
      <c r="B1267" s="15"/>
    </row>
    <row r="1268">
      <c r="A1268" s="7"/>
      <c r="B1268" s="15"/>
    </row>
    <row r="1269">
      <c r="A1269" s="7"/>
      <c r="B1269" s="15"/>
    </row>
    <row r="1270">
      <c r="A1270" s="7"/>
      <c r="B1270" s="15"/>
    </row>
    <row r="1271">
      <c r="A1271" s="7"/>
      <c r="B1271" s="15"/>
    </row>
    <row r="1272">
      <c r="A1272" s="7"/>
      <c r="B1272" s="15"/>
    </row>
    <row r="1273">
      <c r="A1273" s="7"/>
      <c r="B1273" s="15"/>
    </row>
    <row r="1274">
      <c r="A1274" s="7"/>
      <c r="B1274" s="15"/>
    </row>
    <row r="1275">
      <c r="A1275" s="7"/>
      <c r="B1275" s="15"/>
    </row>
    <row r="1276">
      <c r="A1276" s="7"/>
      <c r="B1276" s="15"/>
    </row>
    <row r="1277">
      <c r="A1277" s="7"/>
      <c r="B1277" s="15"/>
    </row>
    <row r="1278">
      <c r="A1278" s="7"/>
      <c r="B1278" s="15"/>
    </row>
    <row r="1279">
      <c r="A1279" s="7"/>
      <c r="B1279" s="15"/>
    </row>
    <row r="1280">
      <c r="A1280" s="7"/>
      <c r="B1280" s="15"/>
    </row>
    <row r="1281">
      <c r="A1281" s="7"/>
      <c r="B1281" s="15"/>
    </row>
    <row r="1282">
      <c r="A1282" s="7"/>
      <c r="B1282" s="15"/>
    </row>
    <row r="1283">
      <c r="A1283" s="7"/>
      <c r="B1283" s="15"/>
    </row>
    <row r="1284">
      <c r="A1284" s="7"/>
      <c r="B1284" s="15"/>
    </row>
    <row r="1285">
      <c r="A1285" s="7"/>
      <c r="B1285" s="15"/>
    </row>
    <row r="1286">
      <c r="A1286" s="7"/>
      <c r="B1286" s="15"/>
    </row>
    <row r="1287">
      <c r="A1287" s="7"/>
      <c r="B1287" s="15"/>
    </row>
    <row r="1288">
      <c r="A1288" s="7"/>
      <c r="B1288" s="15"/>
    </row>
    <row r="1289">
      <c r="A1289" s="7"/>
      <c r="B1289" s="15"/>
    </row>
    <row r="1290">
      <c r="A1290" s="7"/>
      <c r="B1290" s="15"/>
    </row>
    <row r="1291">
      <c r="A1291" s="7"/>
      <c r="B1291" s="15"/>
    </row>
    <row r="1292">
      <c r="A1292" s="7"/>
      <c r="B1292" s="15"/>
    </row>
    <row r="1293">
      <c r="A1293" s="7"/>
      <c r="B1293" s="15"/>
    </row>
    <row r="1294">
      <c r="A1294" s="7"/>
      <c r="B1294" s="15"/>
    </row>
    <row r="1295">
      <c r="A1295" s="7"/>
      <c r="B1295" s="15"/>
    </row>
    <row r="1296">
      <c r="A1296" s="7"/>
      <c r="B1296" s="15"/>
    </row>
    <row r="1297">
      <c r="A1297" s="7"/>
      <c r="B1297" s="15"/>
    </row>
    <row r="1298">
      <c r="A1298" s="7"/>
      <c r="B1298" s="15"/>
    </row>
    <row r="1299">
      <c r="A1299" s="7"/>
      <c r="B1299" s="15"/>
    </row>
    <row r="1300">
      <c r="A1300" s="7"/>
      <c r="B1300" s="15"/>
    </row>
    <row r="1301">
      <c r="A1301" s="7"/>
      <c r="B1301" s="15"/>
    </row>
    <row r="1302">
      <c r="A1302" s="7"/>
      <c r="B1302" s="15"/>
    </row>
    <row r="1303">
      <c r="A1303" s="7"/>
      <c r="B1303" s="15"/>
    </row>
    <row r="1304">
      <c r="A1304" s="7"/>
      <c r="B1304" s="15"/>
    </row>
    <row r="1305">
      <c r="A1305" s="7"/>
      <c r="B1305" s="15"/>
    </row>
    <row r="1306">
      <c r="A1306" s="7"/>
      <c r="B1306" s="15"/>
    </row>
    <row r="1307">
      <c r="A1307" s="7"/>
      <c r="B1307" s="15"/>
    </row>
    <row r="1308">
      <c r="A1308" s="7"/>
      <c r="B1308" s="15"/>
    </row>
    <row r="1309">
      <c r="A1309" s="7"/>
      <c r="B1309" s="15"/>
    </row>
    <row r="1310">
      <c r="A1310" s="7"/>
      <c r="B1310" s="15"/>
    </row>
    <row r="1311">
      <c r="A1311" s="7"/>
      <c r="B1311" s="15"/>
    </row>
    <row r="1312">
      <c r="A1312" s="7"/>
      <c r="B1312" s="15"/>
    </row>
    <row r="1313">
      <c r="A1313" s="7"/>
      <c r="B1313" s="15"/>
    </row>
    <row r="1314">
      <c r="A1314" s="7"/>
      <c r="B1314" s="15"/>
    </row>
    <row r="1315">
      <c r="A1315" s="7"/>
      <c r="B1315" s="15"/>
    </row>
    <row r="1316">
      <c r="A1316" s="7"/>
      <c r="B1316" s="15"/>
    </row>
    <row r="1317">
      <c r="A1317" s="7"/>
      <c r="B1317" s="15"/>
    </row>
    <row r="1318">
      <c r="A1318" s="7"/>
      <c r="B1318" s="15"/>
    </row>
    <row r="1319">
      <c r="A1319" s="7"/>
      <c r="B1319" s="15"/>
    </row>
    <row r="1320">
      <c r="A1320" s="7"/>
      <c r="B1320" s="15"/>
    </row>
    <row r="1321">
      <c r="A1321" s="7"/>
      <c r="B1321" s="15"/>
    </row>
    <row r="1322">
      <c r="A1322" s="7"/>
      <c r="B1322" s="15"/>
    </row>
    <row r="1323">
      <c r="A1323" s="7"/>
      <c r="B1323" s="15"/>
    </row>
    <row r="1324">
      <c r="A1324" s="7"/>
      <c r="B1324" s="15"/>
    </row>
    <row r="1325">
      <c r="A1325" s="7"/>
      <c r="B1325" s="15"/>
    </row>
    <row r="1326">
      <c r="A1326" s="7"/>
      <c r="B1326" s="15"/>
    </row>
    <row r="1327">
      <c r="A1327" s="7"/>
      <c r="B1327" s="15"/>
    </row>
    <row r="1328">
      <c r="A1328" s="7"/>
      <c r="B1328" s="15"/>
    </row>
    <row r="1329">
      <c r="A1329" s="7"/>
      <c r="B1329" s="15"/>
    </row>
    <row r="1330">
      <c r="A1330" s="7"/>
      <c r="B1330" s="15"/>
    </row>
    <row r="1331">
      <c r="A1331" s="7"/>
      <c r="B1331" s="15"/>
    </row>
    <row r="1332">
      <c r="A1332" s="7"/>
      <c r="B1332" s="15"/>
    </row>
    <row r="1333">
      <c r="A1333" s="7"/>
      <c r="B1333" s="15"/>
    </row>
    <row r="1334">
      <c r="A1334" s="7"/>
      <c r="B1334" s="15"/>
    </row>
    <row r="1335">
      <c r="A1335" s="7"/>
      <c r="B1335" s="15"/>
    </row>
    <row r="1336">
      <c r="A1336" s="7"/>
      <c r="B1336" s="15"/>
    </row>
    <row r="1337">
      <c r="A1337" s="7"/>
      <c r="B1337" s="15"/>
    </row>
    <row r="1338">
      <c r="A1338" s="7"/>
      <c r="B1338" s="15"/>
    </row>
    <row r="1339">
      <c r="A1339" s="7"/>
      <c r="B1339" s="15"/>
    </row>
    <row r="1340">
      <c r="A1340" s="7"/>
      <c r="B1340" s="15"/>
    </row>
    <row r="1341">
      <c r="A1341" s="7"/>
      <c r="B1341" s="15"/>
    </row>
    <row r="1342">
      <c r="A1342" s="7"/>
      <c r="B1342" s="15"/>
    </row>
    <row r="1343">
      <c r="A1343" s="7"/>
      <c r="B1343" s="15"/>
    </row>
    <row r="1344">
      <c r="A1344" s="7"/>
      <c r="B1344" s="15"/>
    </row>
    <row r="1345">
      <c r="A1345" s="7"/>
      <c r="B1345" s="15"/>
    </row>
    <row r="1346">
      <c r="A1346" s="7"/>
      <c r="B1346" s="15"/>
    </row>
    <row r="1347">
      <c r="A1347" s="7"/>
      <c r="B1347" s="15"/>
    </row>
    <row r="1348">
      <c r="A1348" s="7"/>
      <c r="B1348" s="15"/>
    </row>
    <row r="1349">
      <c r="A1349" s="7"/>
      <c r="B1349" s="15"/>
    </row>
    <row r="1350">
      <c r="A1350" s="7"/>
      <c r="B1350" s="15"/>
    </row>
    <row r="1351">
      <c r="A1351" s="7"/>
      <c r="B1351" s="15"/>
    </row>
    <row r="1352">
      <c r="A1352" s="7"/>
      <c r="B1352" s="15"/>
    </row>
    <row r="1353">
      <c r="A1353" s="7"/>
      <c r="B1353" s="15"/>
    </row>
    <row r="1354">
      <c r="A1354" s="7"/>
      <c r="B1354" s="15"/>
    </row>
    <row r="1355">
      <c r="A1355" s="7"/>
      <c r="B1355" s="15"/>
    </row>
    <row r="1356">
      <c r="A1356" s="7"/>
      <c r="B1356" s="15"/>
    </row>
    <row r="1357">
      <c r="A1357" s="7"/>
      <c r="B1357" s="15"/>
    </row>
    <row r="1358">
      <c r="A1358" s="7"/>
      <c r="B1358" s="15"/>
    </row>
    <row r="1359">
      <c r="A1359" s="7"/>
      <c r="B1359" s="15"/>
    </row>
    <row r="1360">
      <c r="A1360" s="7"/>
      <c r="B1360" s="15"/>
    </row>
    <row r="1361">
      <c r="A1361" s="7"/>
      <c r="B1361" s="15"/>
    </row>
    <row r="1362">
      <c r="A1362" s="7"/>
      <c r="B1362" s="15"/>
    </row>
    <row r="1363">
      <c r="A1363" s="7"/>
      <c r="B1363" s="15"/>
    </row>
    <row r="1364">
      <c r="A1364" s="7"/>
      <c r="B1364" s="15"/>
    </row>
    <row r="1365">
      <c r="A1365" s="7"/>
      <c r="B1365" s="15"/>
    </row>
    <row r="1366">
      <c r="A1366" s="7"/>
      <c r="B1366" s="15"/>
    </row>
    <row r="1367">
      <c r="A1367" s="7"/>
      <c r="B1367" s="15"/>
    </row>
    <row r="1368">
      <c r="A1368" s="7"/>
      <c r="B1368" s="15"/>
    </row>
    <row r="1369">
      <c r="A1369" s="7"/>
      <c r="B1369" s="15"/>
    </row>
    <row r="1370">
      <c r="A1370" s="7"/>
      <c r="B1370" s="15"/>
    </row>
    <row r="1371">
      <c r="A1371" s="7"/>
      <c r="B1371" s="15"/>
    </row>
    <row r="1372">
      <c r="A1372" s="7"/>
      <c r="B1372" s="15"/>
    </row>
    <row r="1373">
      <c r="A1373" s="7"/>
      <c r="B1373" s="15"/>
    </row>
    <row r="1374">
      <c r="A1374" s="7"/>
      <c r="B1374" s="15"/>
    </row>
    <row r="1375">
      <c r="A1375" s="7"/>
      <c r="B1375" s="15"/>
    </row>
    <row r="1376">
      <c r="A1376" s="7"/>
      <c r="B1376" s="15"/>
    </row>
    <row r="1377">
      <c r="A1377" s="7"/>
      <c r="B1377" s="15"/>
    </row>
    <row r="1378">
      <c r="A1378" s="7"/>
      <c r="B1378" s="15"/>
    </row>
    <row r="1379">
      <c r="A1379" s="7"/>
      <c r="B1379" s="15"/>
    </row>
    <row r="1380">
      <c r="A1380" s="7"/>
      <c r="B1380" s="15"/>
    </row>
    <row r="1381">
      <c r="A1381" s="7"/>
      <c r="B1381" s="15"/>
    </row>
    <row r="1382">
      <c r="A1382" s="7"/>
      <c r="B1382" s="15"/>
    </row>
    <row r="1383">
      <c r="A1383" s="7"/>
      <c r="B1383" s="15"/>
    </row>
    <row r="1384">
      <c r="A1384" s="7"/>
      <c r="B1384" s="15"/>
    </row>
    <row r="1385">
      <c r="A1385" s="7"/>
      <c r="B1385" s="15"/>
    </row>
    <row r="1386">
      <c r="A1386" s="7"/>
      <c r="B1386" s="15"/>
    </row>
    <row r="1387">
      <c r="A1387" s="7"/>
      <c r="B1387" s="15"/>
    </row>
    <row r="1388">
      <c r="A1388" s="7"/>
      <c r="B1388" s="15"/>
    </row>
    <row r="1389">
      <c r="A1389" s="7"/>
      <c r="B1389" s="15"/>
    </row>
    <row r="1390">
      <c r="A1390" s="7"/>
      <c r="B1390" s="15"/>
    </row>
    <row r="1391">
      <c r="A1391" s="7"/>
      <c r="B1391" s="15"/>
    </row>
    <row r="1392">
      <c r="A1392" s="7"/>
      <c r="B1392" s="15"/>
    </row>
    <row r="1393">
      <c r="A1393" s="7"/>
      <c r="B1393" s="15"/>
    </row>
    <row r="1394">
      <c r="A1394" s="7"/>
      <c r="B1394" s="15"/>
    </row>
    <row r="1395">
      <c r="A1395" s="7"/>
      <c r="B1395" s="15"/>
    </row>
    <row r="1396">
      <c r="A1396" s="7"/>
      <c r="B1396" s="15"/>
    </row>
    <row r="1397">
      <c r="A1397" s="7"/>
      <c r="B1397" s="15"/>
    </row>
    <row r="1398">
      <c r="A1398" s="7"/>
      <c r="B1398" s="15"/>
    </row>
    <row r="1399">
      <c r="A1399" s="7"/>
      <c r="B1399" s="15"/>
    </row>
    <row r="1400">
      <c r="A1400" s="7"/>
      <c r="B1400" s="15"/>
    </row>
    <row r="1401">
      <c r="A1401" s="7"/>
      <c r="B1401" s="15"/>
    </row>
    <row r="1402">
      <c r="A1402" s="7"/>
      <c r="B1402" s="15"/>
    </row>
    <row r="1403">
      <c r="A1403" s="7"/>
      <c r="B1403" s="15"/>
    </row>
    <row r="1404">
      <c r="A1404" s="7"/>
      <c r="B1404" s="15"/>
    </row>
    <row r="1405">
      <c r="A1405" s="7"/>
      <c r="B1405" s="15"/>
    </row>
    <row r="1406">
      <c r="A1406" s="7"/>
      <c r="B1406" s="15"/>
    </row>
    <row r="1407">
      <c r="A1407" s="7"/>
      <c r="B1407" s="15"/>
    </row>
    <row r="1408">
      <c r="A1408" s="7"/>
      <c r="B1408" s="15"/>
    </row>
    <row r="1409">
      <c r="A1409" s="7"/>
      <c r="B1409" s="15"/>
    </row>
    <row r="1410">
      <c r="A1410" s="7"/>
      <c r="B1410" s="15"/>
    </row>
    <row r="1411">
      <c r="A1411" s="7"/>
      <c r="B1411" s="15"/>
    </row>
    <row r="1412">
      <c r="A1412" s="7"/>
      <c r="B1412" s="15"/>
    </row>
    <row r="1413">
      <c r="A1413" s="7"/>
      <c r="B1413" s="15"/>
    </row>
    <row r="1414">
      <c r="A1414" s="7"/>
      <c r="B1414" s="15"/>
    </row>
    <row r="1415">
      <c r="A1415" s="7"/>
      <c r="B1415" s="15"/>
    </row>
    <row r="1416">
      <c r="A1416" s="7"/>
      <c r="B1416" s="15"/>
    </row>
    <row r="1417">
      <c r="A1417" s="7"/>
      <c r="B1417" s="15"/>
    </row>
    <row r="1418">
      <c r="A1418" s="7"/>
      <c r="B1418" s="15"/>
    </row>
    <row r="1419">
      <c r="A1419" s="7"/>
      <c r="B1419" s="15"/>
    </row>
    <row r="1420">
      <c r="A1420" s="7"/>
      <c r="B1420" s="15"/>
    </row>
    <row r="1421">
      <c r="A1421" s="7"/>
      <c r="B1421" s="15"/>
    </row>
    <row r="1422">
      <c r="A1422" s="7"/>
      <c r="B1422" s="15"/>
    </row>
    <row r="1423">
      <c r="A1423" s="7"/>
      <c r="B1423" s="15"/>
    </row>
    <row r="1424">
      <c r="A1424" s="7"/>
      <c r="B1424" s="15"/>
    </row>
    <row r="1425">
      <c r="A1425" s="7"/>
      <c r="B1425" s="15"/>
    </row>
    <row r="1426">
      <c r="A1426" s="7"/>
      <c r="B1426" s="15"/>
    </row>
    <row r="1427">
      <c r="A1427" s="7"/>
      <c r="B1427" s="15"/>
    </row>
    <row r="1428">
      <c r="A1428" s="7"/>
      <c r="B1428" s="15"/>
    </row>
    <row r="1429">
      <c r="A1429" s="7"/>
      <c r="B1429" s="15"/>
    </row>
    <row r="1430">
      <c r="A1430" s="7"/>
      <c r="B1430" s="15"/>
    </row>
    <row r="1431">
      <c r="A1431" s="7"/>
      <c r="B1431" s="15"/>
    </row>
    <row r="1432">
      <c r="A1432" s="7"/>
      <c r="B1432" s="15"/>
    </row>
    <row r="1433">
      <c r="A1433" s="7"/>
      <c r="B1433" s="15"/>
    </row>
    <row r="1434">
      <c r="A1434" s="7"/>
      <c r="B1434" s="15"/>
    </row>
    <row r="1435">
      <c r="A1435" s="7"/>
      <c r="B1435" s="15"/>
    </row>
    <row r="1436">
      <c r="A1436" s="7"/>
      <c r="B1436" s="15"/>
    </row>
    <row r="1437">
      <c r="A1437" s="7"/>
      <c r="B1437" s="15"/>
    </row>
    <row r="1438">
      <c r="A1438" s="7"/>
      <c r="B1438" s="15"/>
    </row>
    <row r="1439">
      <c r="A1439" s="7"/>
      <c r="B1439" s="15"/>
    </row>
    <row r="1440">
      <c r="A1440" s="7"/>
      <c r="B1440" s="15"/>
    </row>
    <row r="1441">
      <c r="A1441" s="7"/>
      <c r="B1441" s="15"/>
    </row>
    <row r="1442">
      <c r="A1442" s="7"/>
      <c r="B1442" s="15"/>
    </row>
    <row r="1443">
      <c r="A1443" s="7"/>
      <c r="B1443" s="15"/>
    </row>
    <row r="1444">
      <c r="A1444" s="7"/>
      <c r="B1444" s="15"/>
    </row>
    <row r="1445">
      <c r="A1445" s="7"/>
      <c r="B1445" s="15"/>
    </row>
    <row r="1446">
      <c r="A1446" s="7"/>
      <c r="B1446" s="15"/>
    </row>
    <row r="1447">
      <c r="A1447" s="7"/>
      <c r="B1447" s="15"/>
    </row>
    <row r="1448">
      <c r="A1448" s="7"/>
      <c r="B1448" s="15"/>
    </row>
    <row r="1449">
      <c r="A1449" s="7"/>
      <c r="B1449" s="15"/>
    </row>
    <row r="1450">
      <c r="A1450" s="7"/>
      <c r="B1450" s="15"/>
    </row>
    <row r="1451">
      <c r="A1451" s="7"/>
      <c r="B1451" s="15"/>
    </row>
    <row r="1452">
      <c r="A1452" s="7"/>
      <c r="B1452" s="15"/>
    </row>
    <row r="1453">
      <c r="A1453" s="7"/>
      <c r="B1453" s="15"/>
    </row>
    <row r="1454">
      <c r="A1454" s="7"/>
      <c r="B1454" s="15"/>
    </row>
    <row r="1455">
      <c r="A1455" s="7"/>
      <c r="B1455" s="15"/>
    </row>
    <row r="1456">
      <c r="A1456" s="7"/>
      <c r="B1456" s="15"/>
    </row>
    <row r="1457">
      <c r="A1457" s="7"/>
      <c r="B1457" s="15"/>
    </row>
    <row r="1458">
      <c r="A1458" s="7"/>
      <c r="B1458" s="15"/>
    </row>
    <row r="1459">
      <c r="A1459" s="7"/>
      <c r="B1459" s="15"/>
    </row>
    <row r="1460">
      <c r="A1460" s="7"/>
      <c r="B1460" s="15"/>
    </row>
    <row r="1461">
      <c r="A1461" s="7"/>
      <c r="B1461" s="15"/>
    </row>
    <row r="1462">
      <c r="A1462" s="7"/>
      <c r="B1462" s="15"/>
    </row>
    <row r="1463">
      <c r="A1463" s="7"/>
      <c r="B1463" s="15"/>
    </row>
    <row r="1464">
      <c r="A1464" s="7"/>
      <c r="B1464" s="15"/>
    </row>
    <row r="1465">
      <c r="A1465" s="7"/>
      <c r="B1465" s="15"/>
    </row>
    <row r="1466">
      <c r="A1466" s="7"/>
      <c r="B1466" s="15"/>
    </row>
    <row r="1467">
      <c r="A1467" s="7"/>
      <c r="B1467" s="15"/>
    </row>
    <row r="1468">
      <c r="A1468" s="7"/>
      <c r="B1468" s="15"/>
    </row>
    <row r="1469">
      <c r="A1469" s="7"/>
      <c r="B1469" s="15"/>
    </row>
    <row r="1470">
      <c r="A1470" s="7"/>
      <c r="B1470" s="15"/>
    </row>
    <row r="1471">
      <c r="A1471" s="7"/>
      <c r="B1471" s="15"/>
    </row>
    <row r="1472">
      <c r="A1472" s="7"/>
      <c r="B1472" s="15"/>
    </row>
    <row r="1473">
      <c r="A1473" s="7"/>
      <c r="B1473" s="15"/>
    </row>
    <row r="1474">
      <c r="A1474" s="7"/>
      <c r="B1474" s="15"/>
    </row>
    <row r="1475">
      <c r="A1475" s="7"/>
      <c r="B1475" s="15"/>
    </row>
    <row r="1476">
      <c r="A1476" s="7"/>
      <c r="B1476" s="15"/>
    </row>
    <row r="1477">
      <c r="A1477" s="7"/>
      <c r="B1477" s="15"/>
    </row>
    <row r="1478">
      <c r="A1478" s="7"/>
      <c r="B1478" s="15"/>
    </row>
    <row r="1479">
      <c r="A1479" s="7"/>
      <c r="B1479" s="15"/>
    </row>
    <row r="1480">
      <c r="A1480" s="7"/>
      <c r="B1480" s="15"/>
    </row>
    <row r="1481">
      <c r="A1481" s="7"/>
      <c r="B1481" s="15"/>
    </row>
    <row r="1482">
      <c r="A1482" s="7"/>
      <c r="B1482" s="15"/>
    </row>
    <row r="1483">
      <c r="A1483" s="7"/>
      <c r="B1483" s="15"/>
    </row>
    <row r="1484">
      <c r="A1484" s="7"/>
      <c r="B1484" s="15"/>
    </row>
    <row r="1485">
      <c r="A1485" s="7"/>
      <c r="B1485" s="15"/>
    </row>
    <row r="1486">
      <c r="A1486" s="7"/>
      <c r="B1486" s="15"/>
    </row>
    <row r="1487">
      <c r="A1487" s="7"/>
      <c r="B1487" s="15"/>
    </row>
    <row r="1488">
      <c r="A1488" s="7"/>
      <c r="B1488" s="15"/>
    </row>
    <row r="1489">
      <c r="A1489" s="7"/>
      <c r="B1489" s="15"/>
    </row>
    <row r="1490">
      <c r="A1490" s="7"/>
      <c r="B1490" s="15"/>
    </row>
    <row r="1491">
      <c r="A1491" s="7"/>
      <c r="B1491" s="15"/>
    </row>
    <row r="1492">
      <c r="A1492" s="7"/>
      <c r="B1492" s="15"/>
    </row>
    <row r="1493">
      <c r="A1493" s="7"/>
      <c r="B1493" s="15"/>
    </row>
    <row r="1494">
      <c r="A1494" s="7"/>
      <c r="B1494" s="15"/>
    </row>
    <row r="1495">
      <c r="A1495" s="7"/>
      <c r="B1495" s="15"/>
    </row>
    <row r="1496">
      <c r="A1496" s="7"/>
      <c r="B1496" s="15"/>
    </row>
    <row r="1497">
      <c r="A1497" s="7"/>
      <c r="B1497" s="15"/>
    </row>
    <row r="1498">
      <c r="A1498" s="7"/>
      <c r="B1498" s="15"/>
    </row>
    <row r="1499">
      <c r="A1499" s="7"/>
      <c r="B1499" s="15"/>
    </row>
    <row r="1500">
      <c r="A1500" s="7"/>
      <c r="B1500" s="15"/>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9.0"/>
    <col customWidth="1" min="2" max="2" width="31.0"/>
    <col customWidth="1" min="3" max="3" width="10.86"/>
    <col customWidth="1" min="4" max="4" width="10.57"/>
    <col customWidth="1" min="5" max="5" width="10.29"/>
    <col customWidth="1" min="6" max="6" width="4.29"/>
  </cols>
  <sheetData>
    <row r="1">
      <c r="B1" s="10" t="s">
        <v>1332</v>
      </c>
    </row>
    <row r="2">
      <c r="B2" s="31" t="str">
        <f>(("From "&amp;TEXT(finyearstartdate,"dd/mm/yyyy"))&amp;" to ")&amp;TEXT(rptdate,"dd/mm/yyyy")</f>
        <v>From 01/07/2012 to 30/06/2013</v>
      </c>
    </row>
    <row r="4" ht="15.75" customHeight="1">
      <c r="B4" s="11" t="s">
        <v>1333</v>
      </c>
    </row>
    <row r="5">
      <c r="B5" s="26" t="s">
        <v>1334</v>
      </c>
    </row>
    <row r="6">
      <c r="A6" s="27">
        <v>501</v>
      </c>
      <c r="B6" s="31" t="str">
        <f>VLOOKUP($A6,Chart!$A$1:$F$119,2,FALSE)</f>
        <v>ALSA grants</v>
      </c>
      <c r="C6" s="18">
        <f>VLOOKUP($A6,Chart!$A$1:$F$119,4,FALSE)</f>
        <v>2800</v>
      </c>
    </row>
    <row r="7">
      <c r="A7" s="27">
        <v>503</v>
      </c>
      <c r="B7" s="31" t="str">
        <f>VLOOKUP($A7,Chart!$A$1:$F$119,2,FALSE)</f>
        <v>Membership</v>
      </c>
      <c r="C7" s="18">
        <f>VLOOKUP($A7,Chart!$A$1:$F$119,4,FALSE)</f>
        <v>600</v>
      </c>
    </row>
    <row r="8">
      <c r="A8" s="27">
        <v>504</v>
      </c>
      <c r="B8" s="31" t="str">
        <f>VLOOKUP($A8,Chart!$A$1:$F$119,2,FALSE)</f>
        <v>Donations</v>
      </c>
      <c r="C8" s="18">
        <f>VLOOKUP($A8,Chart!$A$1:$F$119,4,FALSE)</f>
        <v>0</v>
      </c>
    </row>
    <row r="9">
      <c r="A9" s="27">
        <v>505</v>
      </c>
      <c r="B9" s="31" t="str">
        <f>VLOOKUP($A9,Chart!$A$1:$F$119,2,FALSE)</f>
        <v>Sponsorship</v>
      </c>
      <c r="C9" s="18">
        <f>VLOOKUP($A9,Chart!$A$1:$F$119,4,FALSE)</f>
        <v>3600</v>
      </c>
    </row>
    <row r="10">
      <c r="A10" s="27">
        <v>506</v>
      </c>
      <c r="B10" s="31" t="str">
        <f>VLOOKUP($A10,Chart!$A$1:$F$119,2,FALSE)</f>
        <v>Workshops</v>
      </c>
      <c r="C10" s="9">
        <f>VLOOKUP($A10,Chart!$A$1:$F$119,4,FALSE)</f>
        <v>0</v>
      </c>
      <c r="D10" s="9"/>
    </row>
    <row r="11">
      <c r="C11" s="21"/>
      <c r="D11" s="21">
        <f>SUM(C6:C10)</f>
        <v>7000</v>
      </c>
    </row>
    <row r="13">
      <c r="B13" s="26" t="s">
        <v>1335</v>
      </c>
    </row>
    <row r="14">
      <c r="A14" s="27">
        <v>551</v>
      </c>
      <c r="B14" s="31" t="str">
        <f>VLOOKUP($A14,Chart!$A$1:$F$119,2,FALSE)</f>
        <v>Book sales</v>
      </c>
      <c r="C14" s="18">
        <f>VLOOKUP($A14,Chart!$A$1:$F$119,4,FALSE)</f>
        <v>1292</v>
      </c>
    </row>
    <row r="15">
      <c r="A15" s="27">
        <v>562</v>
      </c>
      <c r="B15" s="31" t="str">
        <f>VLOOKUP($A15,Chart!$A$1:$F$119,2,FALSE)</f>
        <v>Advertisement sales</v>
      </c>
      <c r="C15" s="18">
        <f>VLOOKUP($A15,Chart!$A$1:$F$119,4,FALSE)</f>
        <v>0</v>
      </c>
    </row>
    <row r="16">
      <c r="A16" s="27">
        <v>583</v>
      </c>
      <c r="B16" s="31" t="str">
        <f>VLOOKUP($A16,Chart!$A$1:$F$119,2,FALSE)</f>
        <v>Apparel sales</v>
      </c>
      <c r="C16" s="18">
        <f>VLOOKUP($A16,Chart!$A$1:$F$119,4,FALSE)</f>
        <v>0</v>
      </c>
    </row>
    <row r="17">
      <c r="A17" s="27">
        <v>588</v>
      </c>
      <c r="B17" s="31" t="str">
        <f>VLOOKUP($A17,Chart!$A$1:$F$119,2,FALSE)</f>
        <v>Publication sales</v>
      </c>
      <c r="C17" s="9">
        <f>VLOOKUP($A17,Chart!$A$1:$F$119,4,FALSE)</f>
        <v>0</v>
      </c>
      <c r="D17" s="9"/>
    </row>
    <row r="18">
      <c r="C18" s="21"/>
      <c r="D18" s="21">
        <f>SUM(C14:C17)</f>
        <v>1292</v>
      </c>
    </row>
    <row r="20">
      <c r="B20" s="26" t="s">
        <v>1336</v>
      </c>
    </row>
    <row r="21">
      <c r="A21" s="27">
        <v>561</v>
      </c>
      <c r="B21" s="31" t="str">
        <f>VLOOKUP($A21,Chart!$A$1:$F$119,2,FALSE)</f>
        <v>Ball ticket sales</v>
      </c>
      <c r="C21" s="18">
        <f>VLOOKUP($A21,Chart!$A$1:$F$119,4,FALSE)</f>
        <v>19236.49</v>
      </c>
    </row>
    <row r="22">
      <c r="A22" s="27">
        <v>581</v>
      </c>
      <c r="B22" s="31" t="str">
        <f>VLOOKUP($A22,Chart!$A$1:$F$119,2,FALSE)</f>
        <v>Trivia night sales</v>
      </c>
      <c r="C22" s="18">
        <f>VLOOKUP($A22,Chart!$A$1:$F$119,4,FALSE)</f>
        <v>230</v>
      </c>
    </row>
    <row r="23">
      <c r="A23" s="27">
        <v>582</v>
      </c>
      <c r="B23" s="31" t="str">
        <f>VLOOKUP($A23,Chart!$A$1:$F$119,2,FALSE)</f>
        <v>Lawyers on the lawn sales</v>
      </c>
      <c r="C23" s="18">
        <f>VLOOKUP($A23,Chart!$A$1:$F$119,4,FALSE)</f>
        <v>0</v>
      </c>
    </row>
    <row r="24">
      <c r="A24" s="27">
        <v>584</v>
      </c>
      <c r="B24" s="31" t="str">
        <f>VLOOKUP($A24,Chart!$A$1:$F$119,2,FALSE)</f>
        <v>Legal libations sales</v>
      </c>
      <c r="C24" s="18">
        <f>VLOOKUP($A24,Chart!$A$1:$F$119,4,FALSE)</f>
        <v>1240</v>
      </c>
    </row>
    <row r="25">
      <c r="A25" s="27">
        <v>585</v>
      </c>
      <c r="B25" s="31" t="str">
        <f>VLOOKUP($A25,Chart!$A$1:$F$119,2,FALSE)</f>
        <v>BBQ sales</v>
      </c>
      <c r="C25" s="18">
        <f>VLOOKUP($A25,Chart!$A$1:$F$119,4,FALSE)</f>
        <v>1550.35</v>
      </c>
    </row>
    <row r="26">
      <c r="A26" s="27">
        <v>586</v>
      </c>
      <c r="B26" s="31" t="str">
        <f>VLOOKUP($A26,Chart!$A$1:$F$119,2,FALSE)</f>
        <v>Pub crawl sales</v>
      </c>
      <c r="C26" s="18">
        <f>VLOOKUP($A26,Chart!$A$1:$F$119,4,FALSE)</f>
        <v>2320</v>
      </c>
    </row>
    <row r="27">
      <c r="A27" s="27">
        <v>541</v>
      </c>
      <c r="B27" s="31" t="str">
        <f>VLOOKUP($A27,Chart!$A$1:$F$119,2,FALSE)</f>
        <v>Sporting contributions</v>
      </c>
      <c r="C27" s="18">
        <f>VLOOKUP($A27,Chart!$A$1:$F$119,4,FALSE)</f>
        <v>230</v>
      </c>
    </row>
    <row r="28">
      <c r="A28" s="27">
        <v>591</v>
      </c>
      <c r="B28" s="31" t="str">
        <f>VLOOKUP($A28,Chart!$A$1:$F$119,2,FALSE)</f>
        <v>Mooting revenue</v>
      </c>
      <c r="C28" s="18">
        <f>VLOOKUP($A28,Chart!$A$1:$F$119,4,FALSE)</f>
        <v>100</v>
      </c>
    </row>
    <row r="29">
      <c r="A29" s="27">
        <v>507</v>
      </c>
      <c r="B29" s="31" t="str">
        <f>VLOOKUP($A29,Chart!$A$1:$F$119,2,FALSE)</f>
        <v>Conference contributions</v>
      </c>
      <c r="C29" s="9">
        <f>VLOOKUP($A29,Chart!$A$1:$F$119,4,FALSE)</f>
        <v>2150.68</v>
      </c>
      <c r="D29" s="9"/>
    </row>
    <row r="30">
      <c r="C30" s="21"/>
      <c r="D30" s="21">
        <f>SUM(C21:C29)</f>
        <v>27057.52</v>
      </c>
    </row>
    <row r="32" ht="15.75" customHeight="1">
      <c r="B32" s="11" t="s">
        <v>1337</v>
      </c>
    </row>
    <row r="33">
      <c r="B33" s="26" t="s">
        <v>1338</v>
      </c>
    </row>
    <row r="34">
      <c r="A34" s="27">
        <v>502</v>
      </c>
      <c r="B34" s="31" t="str">
        <f>VLOOKUP($A34,Chart!$A$1:$F$119,2,FALSE)</f>
        <v>Interest earned</v>
      </c>
      <c r="C34" s="9">
        <f>VLOOKUP($A34,Chart!$A$1:$F$119,4,FALSE)</f>
        <v>104.89</v>
      </c>
      <c r="D34" s="34"/>
    </row>
    <row r="35">
      <c r="C35" s="21"/>
      <c r="D35" s="21">
        <f>SUM(C34:C34)</f>
        <v>104.89</v>
      </c>
    </row>
    <row r="37">
      <c r="B37" s="26" t="s">
        <v>1339</v>
      </c>
    </row>
    <row r="38">
      <c r="A38" s="27">
        <v>598</v>
      </c>
      <c r="B38" s="31" t="str">
        <f>VLOOKUP($A38,Chart!$A$1:$F$119,2,FALSE)</f>
        <v>Abandoned Books</v>
      </c>
      <c r="C38" s="18">
        <f>VLOOKUP($A38,Chart!$A$1:$F$119,4,FALSE)</f>
        <v>0</v>
      </c>
    </row>
    <row r="39">
      <c r="A39" s="27">
        <v>599</v>
      </c>
      <c r="B39" s="31" t="str">
        <f>VLOOKUP($A39,Chart!$A$1:$F$119,2,FALSE)</f>
        <v>Debt forgiven</v>
      </c>
      <c r="C39" s="9">
        <f>VLOOKUP($A39,Chart!$A$1:$F$119,4,FALSE)</f>
        <v>0</v>
      </c>
      <c r="D39" s="9"/>
    </row>
    <row r="40">
      <c r="C40" s="21"/>
      <c r="D40" s="13">
        <f>SUM(C38:C39)</f>
        <v>0</v>
      </c>
      <c r="E40" s="34"/>
    </row>
    <row r="41">
      <c r="B41" s="26" t="s">
        <v>1340</v>
      </c>
      <c r="D41" s="21"/>
      <c r="E41" s="17">
        <f>SUM(D3:D40)</f>
        <v>35454.41</v>
      </c>
    </row>
    <row r="43" ht="15.75" customHeight="1">
      <c r="B43" s="11" t="s">
        <v>1341</v>
      </c>
    </row>
    <row r="44">
      <c r="B44" s="26" t="s">
        <v>1342</v>
      </c>
    </row>
    <row r="45">
      <c r="A45" s="27">
        <v>602</v>
      </c>
      <c r="B45" s="31" t="str">
        <f>VLOOKUP($A45,Chart!$A$1:$F$119,2,FALSE)</f>
        <v>Bank fees</v>
      </c>
      <c r="C45" s="18">
        <f>VLOOKUP($A45,Chart!$A$1:$F$119,4,FALSE)</f>
        <v>3.4</v>
      </c>
    </row>
    <row r="46">
      <c r="A46" s="27">
        <v>604</v>
      </c>
      <c r="B46" s="31" t="str">
        <f>VLOOKUP($A46,Chart!$A$1:$F$119,2,FALSE)</f>
        <v>Transport</v>
      </c>
      <c r="C46" s="18">
        <f>VLOOKUP($A46,Chart!$A$1:$F$119,4,FALSE)</f>
        <v>0</v>
      </c>
    </row>
    <row r="47">
      <c r="A47" s="27">
        <v>605</v>
      </c>
      <c r="B47" s="31" t="str">
        <f>VLOOKUP($A47,Chart!$A$1:$F$119,2,FALSE)</f>
        <v>ALSA fee</v>
      </c>
      <c r="C47" s="18">
        <f>VLOOKUP($A47,Chart!$A$1:$F$119,4,FALSE)</f>
        <v>0</v>
      </c>
    </row>
    <row r="48">
      <c r="A48" s="27">
        <v>606</v>
      </c>
      <c r="B48" s="31" t="str">
        <f>VLOOKUP($A48,Chart!$A$1:$F$119,2,FALSE)</f>
        <v>Stationery</v>
      </c>
      <c r="C48" s="18">
        <f>VLOOKUP($A48,Chart!$A$1:$F$119,4,FALSE)</f>
        <v>0</v>
      </c>
    </row>
    <row r="49">
      <c r="A49" s="27">
        <v>608</v>
      </c>
      <c r="B49" s="31" t="str">
        <f>VLOOKUP($A49,Chart!$A$1:$F$119,2,FALSE)</f>
        <v>Compliance fees</v>
      </c>
      <c r="C49" s="18">
        <f>VLOOKUP($A49,Chart!$A$1:$F$119,4,FALSE)</f>
        <v>26.47</v>
      </c>
    </row>
    <row r="50">
      <c r="A50" s="27">
        <v>609</v>
      </c>
      <c r="B50" s="31" t="str">
        <f>VLOOKUP($A50,Chart!$A$1:$F$119,2,FALSE)</f>
        <v>Meeting expenses</v>
      </c>
      <c r="C50" s="18">
        <f>VLOOKUP($A50,Chart!$A$1:$F$119,4,FALSE)</f>
        <v>62.8</v>
      </c>
    </row>
    <row r="51">
      <c r="A51" s="27">
        <v>610</v>
      </c>
      <c r="B51" s="31" t="str">
        <f>VLOOKUP($A51,Chart!$A$1:$F$119,2,FALSE)</f>
        <v>Depreciation</v>
      </c>
      <c r="C51" s="9">
        <f>VLOOKUP($A51,Chart!$A$1:$F$119,4,FALSE)</f>
        <v>31.55</v>
      </c>
      <c r="D51" s="9"/>
    </row>
    <row r="52">
      <c r="C52" s="21"/>
      <c r="D52" s="21">
        <f>SUM(C45:C51)</f>
        <v>124.22</v>
      </c>
    </row>
    <row r="54">
      <c r="B54" s="26" t="s">
        <v>1343</v>
      </c>
    </row>
    <row r="55">
      <c r="A55" s="27">
        <v>600</v>
      </c>
      <c r="B55" s="31" t="str">
        <f>VLOOKUP($A55,Chart!$A$1:$F$119,2,FALSE)</f>
        <v>Purchases</v>
      </c>
      <c r="C55" s="18">
        <f>VLOOKUP($A55,Chart!$A$1:$F$119,4,FALSE)</f>
        <v>0</v>
      </c>
    </row>
    <row r="56">
      <c r="A56" s="27">
        <v>651</v>
      </c>
      <c r="B56" s="31" t="str">
        <f>VLOOKUP($A56,Chart!$A$1:$F$119,2,FALSE)</f>
        <v>Book purchases</v>
      </c>
      <c r="C56" s="18">
        <f>VLOOKUP($A56,Chart!$A$1:$F$119,4,FALSE)</f>
        <v>1317</v>
      </c>
    </row>
    <row r="57">
      <c r="A57" s="27">
        <v>683</v>
      </c>
      <c r="B57" s="31" t="str">
        <f>VLOOKUP($A57,Chart!$A$1:$F$119,2,FALSE)</f>
        <v>Apparel expenses</v>
      </c>
      <c r="C57" s="18">
        <f>VLOOKUP($A57,Chart!$A$1:$F$119,4,FALSE)</f>
        <v>0</v>
      </c>
    </row>
    <row r="58">
      <c r="A58" s="27">
        <v>688</v>
      </c>
      <c r="B58" s="31" t="str">
        <f>VLOOKUP($A58,Chart!$A$1:$F$119,2,FALSE)</f>
        <v>Publication expenses</v>
      </c>
      <c r="C58" s="9">
        <f>VLOOKUP($A58,Chart!$A$1:$F$119,4,FALSE)</f>
        <v>101.5</v>
      </c>
      <c r="D58" s="22"/>
    </row>
    <row r="59">
      <c r="C59" s="21"/>
      <c r="D59" s="21">
        <f>SUM(C55:C58)</f>
        <v>1418.5</v>
      </c>
    </row>
    <row r="61">
      <c r="B61" s="26" t="s">
        <v>1344</v>
      </c>
    </row>
    <row r="62">
      <c r="A62" s="27">
        <v>661</v>
      </c>
      <c r="B62" s="31" t="str">
        <f>VLOOKUP($A62,Chart!$A$1:$F$119,2,FALSE)</f>
        <v>Ball catering</v>
      </c>
      <c r="C62" s="18">
        <f>VLOOKUP($A62,Chart!$A$1:$F$119,4,FALSE)</f>
        <v>17300</v>
      </c>
    </row>
    <row r="63">
      <c r="A63" s="27">
        <v>662</v>
      </c>
      <c r="B63" s="31" t="str">
        <f>VLOOKUP($A63,Chart!$A$1:$F$119,2,FALSE)</f>
        <v>Ball venue hire</v>
      </c>
      <c r="C63" s="18">
        <f>VLOOKUP($A63,Chart!$A$1:$F$119,4,FALSE)</f>
        <v>800</v>
      </c>
    </row>
    <row r="64">
      <c r="A64" s="27">
        <v>663</v>
      </c>
      <c r="B64" s="31" t="str">
        <f>VLOOKUP($A64,Chart!$A$1:$F$119,2,FALSE)</f>
        <v>Ball entertainment</v>
      </c>
      <c r="C64" s="18">
        <f>VLOOKUP($A64,Chart!$A$1:$F$119,4,FALSE)</f>
        <v>1253.05</v>
      </c>
    </row>
    <row r="65">
      <c r="A65" s="27">
        <v>664</v>
      </c>
      <c r="B65" s="31" t="str">
        <f>VLOOKUP($A65,Chart!$A$1:$F$119,2,FALSE)</f>
        <v>Ball ticket refunds</v>
      </c>
      <c r="C65" s="18">
        <f>VLOOKUP($A65,Chart!$A$1:$F$119,4,FALSE)</f>
        <v>0</v>
      </c>
    </row>
    <row r="66">
      <c r="A66" s="27">
        <v>665</v>
      </c>
      <c r="B66" s="31" t="str">
        <f>VLOOKUP($A66,Chart!$A$1:$F$119,2,FALSE)</f>
        <v>Ball general expenses</v>
      </c>
      <c r="C66" s="18">
        <f>VLOOKUP($A66,Chart!$A$1:$F$119,4,FALSE)</f>
        <v>521.85</v>
      </c>
    </row>
    <row r="67">
      <c r="A67" s="27">
        <v>681</v>
      </c>
      <c r="B67" s="31" t="str">
        <f>VLOOKUP($A67,Chart!$A$1:$F$119,2,FALSE)</f>
        <v>Trivia night expenses</v>
      </c>
      <c r="C67" s="18">
        <f>VLOOKUP($A67,Chart!$A$1:$F$119,4,FALSE)</f>
        <v>0</v>
      </c>
    </row>
    <row r="68">
      <c r="A68" s="27">
        <v>682</v>
      </c>
      <c r="B68" s="31" t="str">
        <f>VLOOKUP($A68,Chart!$A$1:$F$119,2,FALSE)</f>
        <v>Lawyers on the lawn expenses</v>
      </c>
      <c r="C68" s="18">
        <f>VLOOKUP($A68,Chart!$A$1:$F$119,4,FALSE)</f>
        <v>0</v>
      </c>
    </row>
    <row r="69">
      <c r="A69" s="27">
        <v>684</v>
      </c>
      <c r="B69" s="31" t="str">
        <f>VLOOKUP($A69,Chart!$A$1:$F$119,2,FALSE)</f>
        <v>Legal libations expenses</v>
      </c>
      <c r="C69" s="18">
        <f>VLOOKUP($A69,Chart!$A$1:$F$119,4,FALSE)</f>
        <v>2100</v>
      </c>
    </row>
    <row r="70">
      <c r="A70" s="27">
        <v>685</v>
      </c>
      <c r="B70" s="31" t="str">
        <f>VLOOKUP($A70,Chart!$A$1:$F$119,2,FALSE)</f>
        <v>BBQ expenses</v>
      </c>
      <c r="C70" s="18">
        <f>VLOOKUP($A70,Chart!$A$1:$F$119,4,FALSE)</f>
        <v>1065.35</v>
      </c>
    </row>
    <row r="71">
      <c r="A71" s="27">
        <v>607</v>
      </c>
      <c r="B71" s="31" t="str">
        <f>VLOOKUP($A71,Chart!$A$1:$F$119,2,FALSE)</f>
        <v>Conference expenses</v>
      </c>
      <c r="C71" s="18">
        <f>VLOOKUP($A71,Chart!$A$1:$F$119,4,FALSE)</f>
        <v>4353.39</v>
      </c>
    </row>
    <row r="72">
      <c r="A72" s="27">
        <v>641</v>
      </c>
      <c r="B72" s="31" t="str">
        <f>VLOOKUP($A72,Chart!$A$1:$F$119,2,FALSE)</f>
        <v>Sporting expenses</v>
      </c>
      <c r="C72" s="18">
        <f>VLOOKUP($A72,Chart!$A$1:$F$119,4,FALSE)</f>
        <v>440</v>
      </c>
    </row>
    <row r="73">
      <c r="A73" s="27">
        <v>686</v>
      </c>
      <c r="B73" s="31" t="str">
        <f>VLOOKUP($A73,Chart!$A$1:$F$119,2,FALSE)</f>
        <v>Pub crawl expenses</v>
      </c>
      <c r="C73" s="18">
        <f>VLOOKUP($A73,Chart!$A$1:$F$119,4,FALSE)</f>
        <v>1493</v>
      </c>
    </row>
    <row r="74">
      <c r="A74" s="27">
        <v>689</v>
      </c>
      <c r="B74" s="31" t="str">
        <f>VLOOKUP($A74,Chart!$A$1:$F$119,2,FALSE)</f>
        <v>Mayo lecture expenses</v>
      </c>
      <c r="C74" s="18">
        <f>VLOOKUP($A74,Chart!$A$1:$F$119,4,FALSE)</f>
        <v>0</v>
      </c>
    </row>
    <row r="75">
      <c r="A75" s="27">
        <v>690</v>
      </c>
      <c r="B75" s="31" t="str">
        <f>VLOOKUP($A75,Chart!$A$1:$F$119,2,FALSE)</f>
        <v>Presentation expenses</v>
      </c>
      <c r="C75" s="18">
        <f>VLOOKUP($A75,Chart!$A$1:$F$119,4,FALSE)</f>
        <v>150.95</v>
      </c>
    </row>
    <row r="76">
      <c r="A76" s="27">
        <v>691</v>
      </c>
      <c r="B76" s="31" t="str">
        <f>VLOOKUP($A76,Chart!$A$1:$F$119,2,FALSE)</f>
        <v>Mooting expenses</v>
      </c>
      <c r="C76" s="9">
        <f>VLOOKUP($A76,Chart!$A$1:$F$119,4,FALSE)</f>
        <v>41.5</v>
      </c>
      <c r="D76" s="9"/>
    </row>
    <row r="77">
      <c r="C77" s="21"/>
      <c r="D77" s="21">
        <f>SUM(C62:C76)</f>
        <v>29519.09</v>
      </c>
    </row>
    <row r="79" ht="15.75" customHeight="1">
      <c r="B79" s="11" t="s">
        <v>1345</v>
      </c>
    </row>
    <row r="80">
      <c r="B80" s="26" t="s">
        <v>1346</v>
      </c>
    </row>
    <row r="81">
      <c r="A81" s="27">
        <v>601</v>
      </c>
      <c r="B81" s="31" t="str">
        <f>VLOOKUP($A81,Chart!$A$1:$F$119,2,FALSE)</f>
        <v>Interest paid</v>
      </c>
      <c r="C81" s="9">
        <f>VLOOKUP($A81,Chart!$A$1:$F$119,4,FALSE)</f>
        <v>0</v>
      </c>
      <c r="D81" s="9"/>
    </row>
    <row r="82">
      <c r="C82" s="21"/>
      <c r="D82" s="21">
        <f>SUM(C81)</f>
        <v>0</v>
      </c>
    </row>
    <row r="84">
      <c r="B84" s="26" t="s">
        <v>1347</v>
      </c>
    </row>
    <row r="85">
      <c r="A85" s="27">
        <v>603</v>
      </c>
      <c r="B85" s="31" t="str">
        <f>VLOOKUP($A85,Chart!$A$1:$F$119,2,FALSE)</f>
        <v>Theft, loss, breakage</v>
      </c>
      <c r="C85" s="9">
        <f>VLOOKUP($A85,Chart!$A$1:$F$119,4,FALSE)</f>
        <v>0</v>
      </c>
      <c r="D85" s="9"/>
    </row>
    <row r="86">
      <c r="C86" s="21"/>
      <c r="D86" s="13">
        <f>SUM(C85:C85)</f>
        <v>0</v>
      </c>
      <c r="E86" s="34"/>
    </row>
    <row r="87">
      <c r="B87" s="26" t="s">
        <v>1348</v>
      </c>
      <c r="D87" s="21"/>
      <c r="E87" s="17">
        <f>SUM(D45:D86)</f>
        <v>31061.81</v>
      </c>
    </row>
    <row r="88">
      <c r="D88" s="18"/>
      <c r="E88" s="9"/>
    </row>
    <row r="89">
      <c r="B89" s="26" t="s">
        <v>1349</v>
      </c>
      <c r="D89" s="18"/>
      <c r="E89" s="17">
        <f>E41-E87</f>
        <v>4392.60000000001</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9.0"/>
    <col customWidth="1" min="2" max="2" width="31.29"/>
    <col customWidth="1" min="3" max="3" width="11.0"/>
    <col customWidth="1" min="4" max="5" width="10.43"/>
    <col customWidth="1" min="6" max="6" width="4.29"/>
  </cols>
  <sheetData>
    <row r="1">
      <c r="B1" s="28" t="s">
        <v>1350</v>
      </c>
    </row>
    <row r="2">
      <c r="B2" s="31" t="str">
        <f>"As at "&amp;TEXT(rptdate,"dd/mm/yyyy")</f>
        <v>As at 30/06/2013</v>
      </c>
    </row>
    <row r="4" ht="15.75" customHeight="1">
      <c r="B4" s="24" t="s">
        <v>1351</v>
      </c>
    </row>
    <row r="5">
      <c r="B5" s="5" t="s">
        <v>1352</v>
      </c>
    </row>
    <row r="6">
      <c r="A6" s="27">
        <v>101</v>
      </c>
      <c r="B6" s="31" t="str">
        <f>VLOOKUP($A6,Chart!$A$1:$F$119,2,FALSE)</f>
        <v>Cash</v>
      </c>
      <c r="C6" s="18">
        <f>VLOOKUP($A6,Chart!$A$1:$F$119,6,FALSE)</f>
        <v>0</v>
      </c>
    </row>
    <row r="7">
      <c r="A7" s="27">
        <v>102</v>
      </c>
      <c r="B7" s="31" t="str">
        <f>VLOOKUP($A7,Chart!$A$1:$F$119,2,FALSE)</f>
        <v>Bank Account (MECU)</v>
      </c>
      <c r="C7" s="18">
        <f>VLOOKUP($A7,Chart!$A$1:$F$119,6,FALSE)</f>
        <v>3502.64</v>
      </c>
    </row>
    <row r="8">
      <c r="A8" s="27">
        <v>103</v>
      </c>
      <c r="B8" s="31" t="str">
        <f>VLOOKUP($A8,Chart!$A$1:$F$119,2,FALSE)</f>
        <v>Bank Account (S2)</v>
      </c>
      <c r="C8" s="18">
        <f>VLOOKUP($A8,Chart!$A$1:$F$119,6,FALSE)</f>
        <v>-0.000000000000909</v>
      </c>
    </row>
    <row r="9">
      <c r="A9" s="27">
        <v>151</v>
      </c>
      <c r="B9" s="31" t="str">
        <f>VLOOKUP($A9,Chart!$A$1:$F$119,2,FALSE)</f>
        <v>Personal debt to collect</v>
      </c>
      <c r="C9" s="18">
        <f>VLOOKUP($A9,Chart!$A$1:$F$119,6,FALSE)</f>
        <v>0</v>
      </c>
    </row>
    <row r="10" ht="13.5" customHeight="1">
      <c r="A10" s="27">
        <v>152</v>
      </c>
      <c r="B10" s="31" t="str">
        <f>VLOOKUP($A10,Chart!$A$1:$F$119,2,FALSE)</f>
        <v>Trade debtors</v>
      </c>
      <c r="C10" s="18">
        <f>VLOOKUP($A10,Chart!$A$1:$F$119,6,FALSE)</f>
        <v>0</v>
      </c>
    </row>
    <row r="11">
      <c r="A11" s="27">
        <v>153</v>
      </c>
      <c r="B11" s="31" t="str">
        <f>VLOOKUP($A11,Chart!$A$1:$F$119,2,FALSE)</f>
        <v>Sponsorship outstanding</v>
      </c>
      <c r="C11" s="18">
        <f>VLOOKUP($A11,Chart!$A$1:$F$119,6,FALSE)</f>
        <v>0</v>
      </c>
    </row>
    <row r="12">
      <c r="A12" s="27">
        <v>181</v>
      </c>
      <c r="B12" s="31" t="str">
        <f>VLOOKUP($A12,Chart!$A$1:$F$119,2,FALSE)</f>
        <v>Text books</v>
      </c>
      <c r="C12" s="18">
        <f>VLOOKUP($A12,Chart!$A$1:$F$119,6,FALSE)</f>
        <v>150</v>
      </c>
    </row>
    <row r="13">
      <c r="A13" s="27">
        <v>199</v>
      </c>
      <c r="B13" s="31" t="str">
        <f>VLOOKUP($A13,Chart!$A$1:$F$119,2,FALSE)</f>
        <v>ALSA fee prepaid</v>
      </c>
      <c r="C13" s="9">
        <f>VLOOKUP($A13,Chart!$A$1:$F$119,6,FALSE)</f>
        <v>0</v>
      </c>
      <c r="D13" s="9"/>
    </row>
    <row r="14">
      <c r="C14" s="21"/>
      <c r="D14" s="17">
        <f>SUM(C5:C14)</f>
        <v>3652.64</v>
      </c>
    </row>
    <row r="16">
      <c r="B16" s="5" t="s">
        <v>1353</v>
      </c>
    </row>
    <row r="17">
      <c r="A17" s="27">
        <v>201</v>
      </c>
      <c r="B17" s="31" t="str">
        <f>VLOOKUP($A17,Chart!$A$1:$F$119,2,FALSE)</f>
        <v>Banners and flags</v>
      </c>
      <c r="C17" s="18">
        <f>VLOOKUP($A17,Chart!$A$1:$F$119,6,FALSE)</f>
        <v>50</v>
      </c>
    </row>
    <row r="18">
      <c r="A18" s="27">
        <v>202</v>
      </c>
      <c r="B18" s="31" t="str">
        <f>VLOOKUP($A18,Chart!$A$1:$F$119,2,FALSE)</f>
        <v>Apparel and uniforms</v>
      </c>
      <c r="C18" s="18">
        <f>VLOOKUP($A18,Chart!$A$1:$F$119,6,FALSE)</f>
        <v>100</v>
      </c>
    </row>
    <row r="19">
      <c r="A19" s="27">
        <v>203</v>
      </c>
      <c r="B19" s="31" t="str">
        <f>VLOOKUP($A19,Chart!$A$1:$F$119,2,FALSE)</f>
        <v>Long-term investments</v>
      </c>
      <c r="C19" s="18">
        <f>VLOOKUP($A19,Chart!$A$1:$F$119,6,FALSE)</f>
        <v>10000</v>
      </c>
    </row>
    <row r="20">
      <c r="A20" s="27">
        <v>204</v>
      </c>
      <c r="B20" s="31" t="str">
        <f>VLOOKUP($A20,Chart!$A$1:$F$119,2,FALSE)</f>
        <v>BBQ</v>
      </c>
      <c r="C20" s="18">
        <f>VLOOKUP($A20,Chart!$A$1:$F$119,6,FALSE)</f>
        <v>899.8</v>
      </c>
    </row>
    <row r="21">
      <c r="A21" s="27">
        <v>251</v>
      </c>
      <c r="B21" s="31" t="str">
        <f>VLOOKUP($A21,Chart!$A$1:$F$119,2,FALSE)</f>
        <v>Accumulated depreciation</v>
      </c>
      <c r="C21" s="9">
        <f>VLOOKUP($A21,Chart!$A$1:$F$119,6,FALSE)</f>
        <v>-31.55</v>
      </c>
      <c r="D21" s="9"/>
    </row>
    <row r="22">
      <c r="C22" s="21"/>
      <c r="D22" s="32">
        <f>SUM(C17:C21)</f>
        <v>11018.25</v>
      </c>
      <c r="E22" s="22"/>
    </row>
    <row r="23">
      <c r="B23" t="s">
        <v>1354</v>
      </c>
      <c r="D23" s="3"/>
      <c r="E23" s="17">
        <f>D14+D22</f>
        <v>14670.89</v>
      </c>
    </row>
    <row r="24" ht="13.5" customHeight="1"/>
    <row r="25" ht="15.75" customHeight="1">
      <c r="B25" s="24" t="s">
        <v>1355</v>
      </c>
    </row>
    <row r="26">
      <c r="B26" s="5" t="s">
        <v>1356</v>
      </c>
    </row>
    <row r="27">
      <c r="A27" s="27">
        <v>301</v>
      </c>
      <c r="B27" s="31" t="str">
        <f>VLOOKUP($A27,Chart!$A$1:$F$119,2,FALSE)</f>
        <v>Personal debt to pay</v>
      </c>
      <c r="C27" s="18">
        <f>VLOOKUP($A27,Chart!$A$1:$F$119,6,FALSE)</f>
        <v>25</v>
      </c>
    </row>
    <row r="28">
      <c r="A28" s="27">
        <v>302</v>
      </c>
      <c r="B28" s="31" t="str">
        <f>VLOOKUP($A28,Chart!$A$1:$F$119,2,FALSE)</f>
        <v>Trade creditors</v>
      </c>
      <c r="C28" s="18">
        <f>VLOOKUP($A28,Chart!$A$1:$F$119,6,FALSE)</f>
        <v>0</v>
      </c>
    </row>
    <row r="29">
      <c r="A29" s="27">
        <v>303</v>
      </c>
      <c r="B29" s="31" t="str">
        <f>VLOOKUP($A29,Chart!$A$1:$F$119,2,FALSE)</f>
        <v>TDLA debt to pay</v>
      </c>
      <c r="C29" s="18">
        <f>VLOOKUP($A29,Chart!$A$1:$F$119,6,FALSE)</f>
        <v>0</v>
      </c>
    </row>
    <row r="30">
      <c r="A30" s="27">
        <v>304</v>
      </c>
      <c r="B30" s="31" t="str">
        <f>VLOOKUP($A30,Chart!$A$1:$F$119,2,FALSE)</f>
        <v>ALSA fee outstanding</v>
      </c>
      <c r="C30" s="18">
        <f>VLOOKUP($A30,Chart!$A$1:$F$119,6,FALSE)</f>
        <v>0</v>
      </c>
    </row>
    <row r="31">
      <c r="A31" s="27">
        <v>305</v>
      </c>
      <c r="B31" s="31" t="str">
        <f>VLOOKUP($A31,Chart!$A$1:$F$119,2,FALSE)</f>
        <v>Ball tickets prepaid</v>
      </c>
      <c r="C31" s="18">
        <f>VLOOKUP($A31,Chart!$A$1:$F$119,6,FALSE)</f>
        <v>0</v>
      </c>
    </row>
    <row r="32">
      <c r="A32" s="27">
        <v>306</v>
      </c>
      <c r="B32" s="31" t="str">
        <f>VLOOKUP($A32,Chart!$A$1:$F$119,2,FALSE)</f>
        <v>Event provision</v>
      </c>
      <c r="C32" s="9">
        <f>VLOOKUP($A32,Chart!$A$1:$F$119,6,FALSE)</f>
        <v>0</v>
      </c>
      <c r="D32" s="9"/>
    </row>
    <row r="33">
      <c r="C33" s="21"/>
      <c r="D33" s="17">
        <f>SUM(C27:C32)</f>
        <v>25</v>
      </c>
    </row>
    <row r="34">
      <c r="B34" s="5" t="s">
        <v>1357</v>
      </c>
    </row>
    <row r="35">
      <c r="A35" s="27">
        <v>401</v>
      </c>
      <c r="B35" s="31" t="str">
        <f>VLOOKUP($A35,Chart!$A$1:$F$119,2,FALSE)</f>
        <v>Long-term loan</v>
      </c>
      <c r="C35" s="9">
        <f>VLOOKUP($A35,Chart!$A$1:$F$119,6,FALSE)</f>
        <v>0</v>
      </c>
      <c r="D35" s="9"/>
    </row>
    <row r="36">
      <c r="C36" s="21"/>
      <c r="D36" s="17">
        <f>SUM(C35:C35)</f>
        <v>0</v>
      </c>
    </row>
    <row r="37" ht="15.75" customHeight="1">
      <c r="B37" s="24" t="s">
        <v>90</v>
      </c>
    </row>
    <row r="38">
      <c r="A38" s="27">
        <v>901</v>
      </c>
      <c r="B38" s="31" t="str">
        <f>VLOOKUP($A38,Chart!$A$1:$F$119,2,FALSE)</f>
        <v>Members' Equity</v>
      </c>
      <c r="C38" s="18">
        <f>VLOOKUP($A38,Chart!$A$1:$F$119,6,FALSE)</f>
        <v>10</v>
      </c>
    </row>
    <row r="39">
      <c r="B39" s="20" t="str">
        <f>"Retained earnings to "&amp;TEXT((finyearstartdate-1),"dd/mm/yyyy")</f>
        <v>Retained earnings to 30/06/2012</v>
      </c>
      <c r="C39" s="18">
        <f>Chart!E81</f>
        <v>10309.58</v>
      </c>
    </row>
    <row r="40">
      <c r="B40" s="20" t="str">
        <f>(("Profit/(loss) "&amp;TEXT(finyearstartdate,"dd/mm/yyyy"))&amp;" to ")&amp;TEXT(rptdate,"dd/mm/yyyy")</f>
        <v>Profit/(loss) 01/07/2012 to 30/06/2013</v>
      </c>
      <c r="C40" s="9">
        <f>Chart!D81</f>
        <v>4392.60000000001</v>
      </c>
      <c r="D40" s="9"/>
    </row>
    <row r="41">
      <c r="B41" s="31" t="str">
        <f>"Members' equity as at "&amp;TEXT((rptdate+1),"dd/mm/yyyy")</f>
        <v>Members' equity as at 01/07/2013</v>
      </c>
      <c r="C41" s="21"/>
      <c r="D41" s="32">
        <f>(C38+C39)+C40</f>
        <v>14712.18</v>
      </c>
      <c r="E41" s="22"/>
    </row>
    <row r="42">
      <c r="B42" s="31" t="s">
        <v>1358</v>
      </c>
      <c r="C42" s="18"/>
      <c r="D42" s="17"/>
      <c r="E42" s="17">
        <f>(D41+D36)+D33</f>
        <v>14737.18</v>
      </c>
    </row>
    <row r="43">
      <c r="B43" s="31"/>
      <c r="C43" s="18"/>
      <c r="D43" s="1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9.0"/>
    <col customWidth="1" min="2" max="2" width="46.14"/>
    <col customWidth="1" min="3" max="3" width="10.29"/>
    <col customWidth="1" min="4" max="4" width="4.29"/>
  </cols>
  <sheetData>
    <row r="1">
      <c r="B1" s="28" t="s">
        <v>1359</v>
      </c>
    </row>
    <row r="2">
      <c r="B2" s="31" t="str">
        <f>"As at "&amp;TEXT(rptdate,"dd/mm/yyyy")</f>
        <v>As at 30/06/2013</v>
      </c>
    </row>
    <row r="4" ht="15.75" customHeight="1">
      <c r="B4" s="24" t="s">
        <v>1351</v>
      </c>
    </row>
    <row r="5">
      <c r="B5" s="5" t="s">
        <v>1360</v>
      </c>
    </row>
    <row r="6">
      <c r="A6" s="27">
        <v>102</v>
      </c>
      <c r="B6" s="31" t="str">
        <f>VLOOKUP($A6,Chart!$A$1:$F$119,2,FALSE)</f>
        <v>Bank Account (MECU)</v>
      </c>
      <c r="C6" s="18"/>
    </row>
    <row r="7">
      <c r="A7" s="27"/>
      <c r="B7" s="31"/>
      <c r="C7" s="18"/>
    </row>
    <row r="8">
      <c r="A8" s="27"/>
      <c r="B8" s="5" t="s">
        <v>1361</v>
      </c>
      <c r="C8" s="18">
        <f>VLOOKUP($A6,Chart!$A$1:$F$119,5,FALSE)</f>
        <v>2744.58</v>
      </c>
    </row>
    <row r="9" ht="13.5" customHeight="1">
      <c r="A9" s="27"/>
      <c r="B9" s="31" t="str">
        <f>(("Add net receipts from "&amp;TEXT(finyearstartdate,"dd/mm/yyyy"))&amp;" to ")&amp;TEXT(rptdate,"dd/mm/yyyy")</f>
        <v>Add net receipts from 01/07/2012 to 30/06/2013</v>
      </c>
      <c r="C9" s="18">
        <f>VLOOKUP($A6,Chart!$A$1:$F$119,4,FALSE)</f>
        <v>758.06</v>
      </c>
    </row>
    <row r="10">
      <c r="A10" s="27"/>
      <c r="B10" s="20" t="s">
        <v>1362</v>
      </c>
      <c r="C10" s="18">
        <v>0</v>
      </c>
    </row>
    <row r="11">
      <c r="A11" s="27"/>
      <c r="B11" s="20" t="s">
        <v>1363</v>
      </c>
      <c r="C11" s="18">
        <v>0</v>
      </c>
    </row>
    <row r="12">
      <c r="A12" s="27"/>
      <c r="B12" s="20"/>
      <c r="C12" s="18"/>
    </row>
    <row r="13">
      <c r="A13" s="27"/>
      <c r="B13" s="5" t="s">
        <v>1364</v>
      </c>
      <c r="C13" s="18">
        <f>VLOOKUP($A6,Chart!$A$1:$F$119,6,FALSE)</f>
        <v>3502.64</v>
      </c>
    </row>
    <row r="14">
      <c r="C14" s="18"/>
    </row>
    <row r="15">
      <c r="B15" s="5" t="s">
        <v>1365</v>
      </c>
      <c r="C15" s="18">
        <f>C13</f>
        <v>3502.64</v>
      </c>
    </row>
    <row r="16">
      <c r="B16" s="20" t="s">
        <v>1366</v>
      </c>
      <c r="C16" s="18"/>
    </row>
    <row r="17">
      <c r="B17" s="20"/>
      <c r="C17" s="18"/>
    </row>
    <row r="18">
      <c r="B18" s="20" t="s">
        <v>1367</v>
      </c>
      <c r="C18" s="18">
        <v>0</v>
      </c>
    </row>
    <row r="19">
      <c r="B19" s="5"/>
      <c r="C19" s="18"/>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17.14"/>
    <col customWidth="1" min="3" max="3" width="43.86"/>
  </cols>
  <sheetData>
    <row r="1">
      <c r="A1" s="29" t="s">
        <v>97</v>
      </c>
      <c r="B1" s="7" t="s">
        <v>1368</v>
      </c>
      <c r="C1" s="16" t="s">
        <v>1369</v>
      </c>
      <c r="D1" s="16" t="s">
        <v>1370</v>
      </c>
      <c r="E1" s="29" t="s">
        <v>1371</v>
      </c>
      <c r="F1" s="29" t="s">
        <v>1372</v>
      </c>
      <c r="G1" s="29"/>
      <c r="H1" s="29"/>
      <c r="I1" s="29"/>
      <c r="J1" s="29"/>
      <c r="K1" s="29"/>
      <c r="L1" s="29"/>
      <c r="M1" s="29"/>
      <c r="N1" s="29"/>
      <c r="O1" s="29"/>
      <c r="P1" s="29"/>
      <c r="Q1" s="29"/>
      <c r="R1" s="29"/>
      <c r="S1" s="29"/>
      <c r="T1" s="29"/>
      <c r="U1" s="29"/>
    </row>
    <row r="2">
      <c r="A2" t="s">
        <v>1373</v>
      </c>
      <c r="B2" s="7">
        <v>40836</v>
      </c>
      <c r="C2" s="30" t="s">
        <v>1374</v>
      </c>
      <c r="D2" s="30"/>
    </row>
    <row r="3">
      <c r="A3" t="s">
        <v>1375</v>
      </c>
      <c r="B3" s="7">
        <v>41142</v>
      </c>
      <c r="C3" s="30" t="s">
        <v>1376</v>
      </c>
      <c r="D3" s="30" t="s">
        <v>1377</v>
      </c>
      <c r="F3" t="s">
        <v>3</v>
      </c>
    </row>
    <row r="4">
      <c r="A4" t="s">
        <v>1378</v>
      </c>
      <c r="B4" s="7">
        <v>41163</v>
      </c>
      <c r="C4" s="30" t="s">
        <v>1379</v>
      </c>
      <c r="D4" s="30" t="s">
        <v>1380</v>
      </c>
      <c r="F4" t="s">
        <v>3</v>
      </c>
    </row>
    <row r="5">
      <c r="A5" t="s">
        <v>1381</v>
      </c>
      <c r="B5" s="7">
        <v>41191</v>
      </c>
      <c r="C5" s="30" t="s">
        <v>1382</v>
      </c>
      <c r="D5" s="30"/>
    </row>
    <row r="6">
      <c r="B6" s="7"/>
      <c r="C6" s="30"/>
      <c r="D6" s="30"/>
    </row>
    <row r="7">
      <c r="B7" s="7"/>
      <c r="C7" s="30"/>
      <c r="D7" s="30"/>
    </row>
    <row r="8">
      <c r="B8" s="7"/>
      <c r="C8" s="30"/>
      <c r="D8" s="30"/>
    </row>
    <row r="9">
      <c r="B9" s="7"/>
      <c r="C9" s="30"/>
      <c r="D9" s="30"/>
    </row>
    <row r="10">
      <c r="B10" s="7"/>
      <c r="C10" s="30"/>
      <c r="D10" s="30"/>
    </row>
    <row r="11">
      <c r="B11" s="7"/>
      <c r="C11" s="30"/>
      <c r="D11" s="30"/>
    </row>
    <row r="12">
      <c r="B12" s="7"/>
      <c r="C12" s="30"/>
      <c r="D12" s="30"/>
    </row>
    <row r="13">
      <c r="B13" s="7"/>
      <c r="C13" s="30"/>
      <c r="D13" s="30"/>
    </row>
    <row r="14">
      <c r="B14" s="7"/>
      <c r="C14" s="30"/>
      <c r="D14" s="30"/>
    </row>
    <row r="15">
      <c r="B15" s="7"/>
      <c r="C15" s="30"/>
      <c r="D15" s="30"/>
    </row>
    <row r="16">
      <c r="B16" s="7"/>
      <c r="C16" s="30"/>
      <c r="D16" s="30"/>
    </row>
    <row r="17">
      <c r="B17" s="7"/>
      <c r="C17" s="30"/>
      <c r="D17" s="30"/>
    </row>
    <row r="18">
      <c r="B18" s="7"/>
      <c r="C18" s="30"/>
      <c r="D18" s="30"/>
    </row>
    <row r="19">
      <c r="B19" s="7"/>
      <c r="C19" s="30"/>
      <c r="D19" s="30"/>
    </row>
    <row r="20">
      <c r="B20" s="7"/>
      <c r="C20" s="30"/>
      <c r="D20" s="30"/>
    </row>
    <row r="21">
      <c r="B21" s="7"/>
      <c r="C21" s="30"/>
      <c r="D21" s="30"/>
    </row>
    <row r="22">
      <c r="B22" s="7"/>
      <c r="C22" s="30"/>
      <c r="D22" s="30"/>
    </row>
    <row r="23">
      <c r="B23" s="7"/>
      <c r="C23" s="30"/>
      <c r="D23" s="30"/>
    </row>
    <row r="24">
      <c r="B24" s="7"/>
      <c r="C24" s="30"/>
      <c r="D24" s="30"/>
    </row>
    <row r="25">
      <c r="B25" s="7"/>
      <c r="C25" s="30"/>
      <c r="D25" s="30"/>
    </row>
    <row r="26">
      <c r="B26" s="7"/>
      <c r="C26" s="30"/>
      <c r="D26" s="30"/>
    </row>
    <row r="27">
      <c r="B27" s="7"/>
      <c r="C27" s="30"/>
      <c r="D27" s="30"/>
    </row>
    <row r="28">
      <c r="B28" s="7"/>
      <c r="C28" s="30"/>
      <c r="D28" s="30"/>
    </row>
    <row r="29">
      <c r="B29" s="7"/>
      <c r="C29" s="30"/>
      <c r="D29" s="30"/>
    </row>
    <row r="30">
      <c r="B30" s="7"/>
      <c r="C30" s="30"/>
      <c r="D30" s="30"/>
    </row>
    <row r="31">
      <c r="B31" s="7"/>
      <c r="C31" s="30"/>
      <c r="D31" s="30"/>
    </row>
    <row r="32">
      <c r="B32" s="7"/>
      <c r="C32" s="30"/>
      <c r="D32" s="30"/>
    </row>
    <row r="33">
      <c r="B33" s="7"/>
      <c r="C33" s="30"/>
      <c r="D33" s="30"/>
    </row>
    <row r="34">
      <c r="B34" s="7"/>
      <c r="C34" s="30"/>
      <c r="D34" s="30"/>
    </row>
    <row r="35">
      <c r="B35" s="7"/>
      <c r="C35" s="30"/>
      <c r="D35" s="30"/>
    </row>
    <row r="36">
      <c r="B36" s="7"/>
      <c r="C36" s="30"/>
      <c r="D36" s="30"/>
    </row>
    <row r="37">
      <c r="B37" s="7"/>
      <c r="C37" s="30"/>
      <c r="D37" s="30"/>
    </row>
    <row r="38">
      <c r="B38" s="7"/>
      <c r="C38" s="30"/>
      <c r="D38" s="30"/>
    </row>
    <row r="39">
      <c r="B39" s="7"/>
      <c r="C39" s="30"/>
      <c r="D39" s="30"/>
    </row>
    <row r="40">
      <c r="B40" s="7"/>
      <c r="C40" s="30"/>
      <c r="D40" s="30"/>
    </row>
    <row r="41">
      <c r="B41" s="7"/>
      <c r="C41" s="30"/>
      <c r="D41" s="30"/>
    </row>
    <row r="42">
      <c r="B42" s="7"/>
      <c r="C42" s="30"/>
      <c r="D42" s="30"/>
    </row>
    <row r="43">
      <c r="B43" s="7"/>
      <c r="C43" s="30"/>
      <c r="D43" s="30"/>
    </row>
    <row r="44">
      <c r="B44" s="7"/>
      <c r="C44" s="30"/>
      <c r="D44" s="30"/>
    </row>
    <row r="45">
      <c r="B45" s="7"/>
      <c r="C45" s="30"/>
      <c r="D45" s="30"/>
    </row>
    <row r="46">
      <c r="B46" s="7"/>
      <c r="C46" s="30"/>
      <c r="D46" s="30"/>
    </row>
    <row r="47">
      <c r="B47" s="7"/>
      <c r="C47" s="30"/>
      <c r="D47" s="30"/>
    </row>
    <row r="48">
      <c r="B48" s="7"/>
      <c r="C48" s="30"/>
      <c r="D48" s="30"/>
    </row>
    <row r="49">
      <c r="B49" s="7"/>
      <c r="C49" s="30"/>
      <c r="D49" s="30"/>
    </row>
    <row r="50">
      <c r="B50" s="7"/>
      <c r="C50" s="30"/>
      <c r="D50" s="30"/>
    </row>
    <row r="51">
      <c r="B51" s="7"/>
      <c r="C51" s="30"/>
      <c r="D51" s="30"/>
    </row>
    <row r="52">
      <c r="B52" s="7"/>
      <c r="C52" s="30"/>
      <c r="D52" s="30"/>
    </row>
    <row r="53">
      <c r="B53" s="7"/>
      <c r="C53" s="30"/>
      <c r="D53" s="30"/>
    </row>
    <row r="54">
      <c r="B54" s="7"/>
      <c r="C54" s="30"/>
      <c r="D54" s="30"/>
    </row>
    <row r="55">
      <c r="B55" s="7"/>
      <c r="C55" s="30"/>
      <c r="D55" s="30"/>
    </row>
    <row r="56">
      <c r="B56" s="7"/>
      <c r="C56" s="30"/>
      <c r="D56" s="30"/>
    </row>
    <row r="57">
      <c r="B57" s="7"/>
      <c r="C57" s="30"/>
      <c r="D57" s="30"/>
    </row>
    <row r="58">
      <c r="B58" s="7"/>
      <c r="C58" s="30"/>
      <c r="D58" s="30"/>
    </row>
    <row r="59">
      <c r="B59" s="7"/>
      <c r="C59" s="30"/>
      <c r="D59" s="30"/>
    </row>
    <row r="60">
      <c r="B60" s="7"/>
      <c r="C60" s="30"/>
      <c r="D60" s="30"/>
    </row>
    <row r="61">
      <c r="B61" s="7"/>
      <c r="C61" s="30"/>
      <c r="D61" s="30"/>
    </row>
    <row r="62">
      <c r="B62" s="7"/>
      <c r="C62" s="30"/>
      <c r="D62" s="30"/>
    </row>
    <row r="63">
      <c r="B63" s="7"/>
      <c r="C63" s="30"/>
      <c r="D63" s="30"/>
    </row>
    <row r="64">
      <c r="B64" s="7"/>
      <c r="C64" s="30"/>
      <c r="D64" s="30"/>
    </row>
    <row r="65">
      <c r="B65" s="7"/>
      <c r="C65" s="30"/>
      <c r="D65" s="30"/>
    </row>
    <row r="66">
      <c r="B66" s="7"/>
      <c r="C66" s="30"/>
      <c r="D66" s="30"/>
    </row>
    <row r="67">
      <c r="B67" s="7"/>
      <c r="C67" s="30"/>
      <c r="D67" s="30"/>
    </row>
    <row r="68">
      <c r="B68" s="7"/>
      <c r="C68" s="30"/>
      <c r="D68" s="30"/>
    </row>
    <row r="69">
      <c r="B69" s="7"/>
      <c r="C69" s="30"/>
      <c r="D69" s="30"/>
    </row>
    <row r="70">
      <c r="B70" s="7"/>
      <c r="C70" s="30"/>
      <c r="D70" s="30"/>
    </row>
    <row r="71">
      <c r="B71" s="7"/>
      <c r="C71" s="30"/>
      <c r="D71" s="30"/>
    </row>
    <row r="72">
      <c r="B72" s="7"/>
      <c r="C72" s="30"/>
      <c r="D72" s="30"/>
    </row>
    <row r="73">
      <c r="B73" s="7"/>
      <c r="C73" s="30"/>
      <c r="D73" s="30"/>
    </row>
    <row r="74">
      <c r="B74" s="7"/>
      <c r="C74" s="30"/>
      <c r="D74" s="30"/>
    </row>
    <row r="75">
      <c r="B75" s="7"/>
      <c r="C75" s="30"/>
      <c r="D75" s="30"/>
    </row>
    <row r="76">
      <c r="B76" s="7"/>
      <c r="C76" s="30"/>
      <c r="D76" s="30"/>
    </row>
    <row r="77">
      <c r="B77" s="7"/>
      <c r="C77" s="30"/>
      <c r="D77" s="30"/>
    </row>
    <row r="78">
      <c r="B78" s="7"/>
      <c r="C78" s="30"/>
      <c r="D78" s="30"/>
    </row>
    <row r="79">
      <c r="B79" s="7"/>
      <c r="C79" s="30"/>
      <c r="D79" s="30"/>
    </row>
    <row r="80">
      <c r="B80" s="7"/>
      <c r="C80" s="30"/>
      <c r="D80" s="30"/>
    </row>
    <row r="81">
      <c r="B81" s="7"/>
      <c r="C81" s="30"/>
      <c r="D81" s="30"/>
    </row>
    <row r="82">
      <c r="B82" s="7"/>
      <c r="C82" s="30"/>
      <c r="D82" s="30"/>
    </row>
    <row r="83">
      <c r="B83" s="7"/>
      <c r="C83" s="30"/>
      <c r="D83" s="30"/>
    </row>
    <row r="84">
      <c r="B84" s="7"/>
      <c r="C84" s="30"/>
      <c r="D84" s="30"/>
    </row>
    <row r="85">
      <c r="B85" s="7"/>
      <c r="C85" s="30"/>
      <c r="D85" s="30"/>
    </row>
    <row r="86">
      <c r="B86" s="7"/>
      <c r="C86" s="30"/>
      <c r="D86" s="30"/>
    </row>
    <row r="87">
      <c r="B87" s="7"/>
      <c r="C87" s="30"/>
      <c r="D87" s="30"/>
    </row>
    <row r="88">
      <c r="B88" s="7"/>
      <c r="C88" s="30"/>
      <c r="D88" s="30"/>
    </row>
    <row r="89">
      <c r="B89" s="7"/>
      <c r="C89" s="30"/>
      <c r="D89" s="30"/>
    </row>
    <row r="90">
      <c r="B90" s="7"/>
      <c r="C90" s="30"/>
      <c r="D90" s="30"/>
    </row>
    <row r="91">
      <c r="B91" s="7"/>
      <c r="C91" s="30"/>
      <c r="D91" s="30"/>
    </row>
    <row r="92">
      <c r="B92" s="7"/>
      <c r="C92" s="30"/>
      <c r="D92" s="30"/>
    </row>
    <row r="93">
      <c r="B93" s="7"/>
      <c r="C93" s="30"/>
      <c r="D93" s="30"/>
    </row>
    <row r="94">
      <c r="B94" s="7"/>
      <c r="C94" s="30"/>
      <c r="D94" s="30"/>
    </row>
    <row r="95">
      <c r="B95" s="7"/>
      <c r="C95" s="30"/>
      <c r="D95" s="30"/>
    </row>
    <row r="96">
      <c r="B96" s="7"/>
      <c r="C96" s="30"/>
      <c r="D96" s="30"/>
    </row>
    <row r="97">
      <c r="B97" s="7"/>
      <c r="C97" s="30"/>
      <c r="D97" s="30"/>
    </row>
    <row r="98">
      <c r="B98" s="7"/>
      <c r="C98" s="30"/>
      <c r="D98" s="30"/>
    </row>
    <row r="99">
      <c r="B99" s="7"/>
      <c r="C99" s="30"/>
      <c r="D99" s="30"/>
    </row>
    <row r="100">
      <c r="B100" s="7"/>
      <c r="C100" s="30"/>
      <c r="D100" s="30"/>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3" max="3" width="20.86"/>
    <col customWidth="1" min="6" max="6" width="92.43"/>
  </cols>
  <sheetData>
    <row r="1" ht="15.0" customHeight="1">
      <c r="A1" s="29" t="s">
        <v>1383</v>
      </c>
      <c r="B1" s="29" t="s">
        <v>1384</v>
      </c>
      <c r="C1" s="29" t="s">
        <v>1385</v>
      </c>
      <c r="D1" s="29" t="s">
        <v>1386</v>
      </c>
      <c r="E1" s="29" t="s">
        <v>1387</v>
      </c>
      <c r="F1" s="29" t="s">
        <v>1388</v>
      </c>
      <c r="G1" s="29"/>
      <c r="H1" s="29"/>
      <c r="I1" s="29"/>
      <c r="J1" s="29"/>
      <c r="K1" s="29"/>
      <c r="L1" s="29"/>
      <c r="M1" s="29"/>
      <c r="N1" s="29"/>
      <c r="O1" s="29"/>
      <c r="P1" s="29"/>
      <c r="Q1" s="29"/>
      <c r="R1" s="29"/>
      <c r="S1" s="29"/>
      <c r="T1" s="29"/>
    </row>
    <row r="2" ht="15.0" customHeight="1">
      <c r="A2" t="s">
        <v>1373</v>
      </c>
      <c r="B2">
        <v>1</v>
      </c>
      <c r="C2" t="s">
        <v>1389</v>
      </c>
    </row>
    <row r="3" ht="15.0" customHeight="1">
      <c r="A3" t="s">
        <v>1375</v>
      </c>
      <c r="B3">
        <v>1</v>
      </c>
      <c r="C3" t="s">
        <v>1389</v>
      </c>
    </row>
    <row r="4" ht="15.0" customHeight="1">
      <c r="A4" t="s">
        <v>1378</v>
      </c>
      <c r="B4">
        <v>1</v>
      </c>
      <c r="C4" t="s">
        <v>1390</v>
      </c>
      <c r="F4" t="s">
        <v>1391</v>
      </c>
    </row>
    <row r="5" ht="15.0" customHeight="1">
      <c r="A5" t="s">
        <v>1378</v>
      </c>
      <c r="B5">
        <v>2</v>
      </c>
      <c r="C5" t="s">
        <v>1392</v>
      </c>
      <c r="F5" t="s">
        <v>1393</v>
      </c>
    </row>
    <row r="6" ht="15.0" customHeight="1">
      <c r="A6" t="s">
        <v>1378</v>
      </c>
      <c r="B6">
        <v>3</v>
      </c>
      <c r="C6" t="s">
        <v>1394</v>
      </c>
      <c r="F6" t="s">
        <v>1395</v>
      </c>
    </row>
    <row r="7" ht="15.0" customHeight="1">
      <c r="A7" t="s">
        <v>1378</v>
      </c>
      <c r="B7">
        <v>4</v>
      </c>
      <c r="C7" t="s">
        <v>43</v>
      </c>
      <c r="F7" t="s">
        <v>1396</v>
      </c>
    </row>
    <row r="8" ht="15.0" customHeight="1">
      <c r="A8" t="s">
        <v>1378</v>
      </c>
      <c r="B8">
        <v>5</v>
      </c>
      <c r="C8" t="s">
        <v>1397</v>
      </c>
      <c r="F8" t="s">
        <v>1398</v>
      </c>
    </row>
    <row r="9" ht="15.0" customHeight="1">
      <c r="A9" t="s">
        <v>1378</v>
      </c>
      <c r="B9">
        <v>6</v>
      </c>
      <c r="C9" t="s">
        <v>41</v>
      </c>
      <c r="F9" t="s">
        <v>1399</v>
      </c>
    </row>
    <row r="10" ht="15.0" customHeight="1">
      <c r="A10" t="s">
        <v>1378</v>
      </c>
      <c r="B10">
        <v>7</v>
      </c>
      <c r="C10" t="s">
        <v>1400</v>
      </c>
      <c r="F10" t="s">
        <v>1401</v>
      </c>
    </row>
    <row r="11" ht="15.0" customHeight="1">
      <c r="A11" t="s">
        <v>1378</v>
      </c>
      <c r="B11">
        <v>8</v>
      </c>
      <c r="C11" t="s">
        <v>1402</v>
      </c>
      <c r="F11" t="s">
        <v>1403</v>
      </c>
    </row>
    <row r="12" ht="15.0" customHeight="1">
      <c r="A12" t="s">
        <v>1378</v>
      </c>
      <c r="B12">
        <v>9</v>
      </c>
      <c r="C12" t="s">
        <v>1404</v>
      </c>
      <c r="D12">
        <v>600</v>
      </c>
      <c r="E12">
        <v>600</v>
      </c>
      <c r="F12" t="s">
        <v>1405</v>
      </c>
    </row>
    <row r="13" ht="15.0" customHeight="1">
      <c r="A13" t="s">
        <v>1378</v>
      </c>
      <c r="B13">
        <v>10</v>
      </c>
      <c r="C13" t="s">
        <v>1394</v>
      </c>
      <c r="D13">
        <v>11.1</v>
      </c>
      <c r="E13">
        <v>11.1</v>
      </c>
      <c r="F13" t="s">
        <v>1406</v>
      </c>
    </row>
    <row r="14" ht="15.0" customHeight="1">
      <c r="A14" t="s">
        <v>1378</v>
      </c>
      <c r="B14">
        <v>11</v>
      </c>
      <c r="C14" t="s">
        <v>1407</v>
      </c>
      <c r="F14" t="s">
        <v>1408</v>
      </c>
    </row>
    <row r="15" ht="15.0" customHeight="1">
      <c r="A15" t="s">
        <v>1378</v>
      </c>
      <c r="B15">
        <v>12</v>
      </c>
      <c r="C15" t="s">
        <v>1407</v>
      </c>
      <c r="D15">
        <v>2100</v>
      </c>
      <c r="E15">
        <v>2100</v>
      </c>
      <c r="F15" t="s">
        <v>1409</v>
      </c>
    </row>
    <row r="16" ht="15.0" customHeight="1">
      <c r="A16" t="s">
        <v>1381</v>
      </c>
      <c r="B16">
        <v>1</v>
      </c>
      <c r="C16" t="s">
        <v>1410</v>
      </c>
      <c r="F16" t="s">
        <v>1411</v>
      </c>
    </row>
    <row r="17" ht="15.0" customHeight="1">
      <c r="A17" t="s">
        <v>1381</v>
      </c>
      <c r="B17">
        <v>2</v>
      </c>
      <c r="C17" t="s">
        <v>1410</v>
      </c>
      <c r="F17" t="s">
        <v>1412</v>
      </c>
    </row>
    <row r="18" ht="15.0" customHeight="1">
      <c r="A18" t="s">
        <v>1381</v>
      </c>
      <c r="B18">
        <v>3</v>
      </c>
      <c r="C18" t="s">
        <v>1410</v>
      </c>
      <c r="F18" t="s">
        <v>1413</v>
      </c>
    </row>
    <row r="19" ht="15.0" customHeight="1">
      <c r="A19" t="s">
        <v>1381</v>
      </c>
      <c r="B19">
        <v>4</v>
      </c>
      <c r="C19" t="s">
        <v>1414</v>
      </c>
      <c r="F19" t="s">
        <v>1415</v>
      </c>
    </row>
    <row r="20" ht="15.0" customHeight="1">
      <c r="A20" t="s">
        <v>1381</v>
      </c>
      <c r="B20">
        <v>5</v>
      </c>
      <c r="C20" t="s">
        <v>1416</v>
      </c>
      <c r="F20" t="s">
        <v>1417</v>
      </c>
    </row>
    <row r="21" ht="15.0" customHeight="1">
      <c r="A21" t="s">
        <v>1381</v>
      </c>
      <c r="B21">
        <v>6</v>
      </c>
      <c r="C21" t="s">
        <v>1416</v>
      </c>
      <c r="F21" t="s">
        <v>1418</v>
      </c>
    </row>
    <row r="22" ht="15.0" customHeight="1">
      <c r="A22" t="s">
        <v>1381</v>
      </c>
      <c r="B22">
        <v>7</v>
      </c>
      <c r="C22" t="s">
        <v>1416</v>
      </c>
      <c r="F22" t="s">
        <v>1419</v>
      </c>
    </row>
    <row r="23" ht="15.0" customHeight="1">
      <c r="A23" t="s">
        <v>1381</v>
      </c>
      <c r="B23">
        <v>8</v>
      </c>
      <c r="C23" t="s">
        <v>1416</v>
      </c>
      <c r="F23" t="s">
        <v>1420</v>
      </c>
    </row>
    <row r="24" ht="15.0" customHeight="1">
      <c r="A24" t="s">
        <v>1381</v>
      </c>
      <c r="B24">
        <v>9</v>
      </c>
      <c r="C24" t="s">
        <v>1416</v>
      </c>
      <c r="F24" t="s">
        <v>1421</v>
      </c>
    </row>
    <row r="25" ht="15.0" customHeight="1">
      <c r="A25" t="s">
        <v>1381</v>
      </c>
      <c r="B25">
        <v>10</v>
      </c>
      <c r="C25" t="s">
        <v>1416</v>
      </c>
      <c r="F25" t="s">
        <v>1422</v>
      </c>
    </row>
    <row r="26" ht="15.0" customHeight="1">
      <c r="A26" t="s">
        <v>1381</v>
      </c>
      <c r="B26">
        <v>11</v>
      </c>
      <c r="C26" t="s">
        <v>1416</v>
      </c>
      <c r="F26" t="s">
        <v>1423</v>
      </c>
    </row>
    <row r="27" ht="15.0" customHeight="1">
      <c r="A27" t="s">
        <v>1381</v>
      </c>
      <c r="B27">
        <v>12</v>
      </c>
      <c r="C27" t="s">
        <v>1416</v>
      </c>
      <c r="F27" t="s">
        <v>1424</v>
      </c>
    </row>
    <row r="28" ht="15.0" customHeight="1">
      <c r="A28" t="s">
        <v>1381</v>
      </c>
      <c r="B28">
        <v>13</v>
      </c>
      <c r="C28" t="s">
        <v>1416</v>
      </c>
      <c r="F28" t="s">
        <v>1425</v>
      </c>
    </row>
    <row r="29" ht="15.0" customHeight="1">
      <c r="A29" t="s">
        <v>1381</v>
      </c>
      <c r="B29">
        <v>14</v>
      </c>
      <c r="C29" t="s">
        <v>1416</v>
      </c>
      <c r="F29" t="s">
        <v>1426</v>
      </c>
    </row>
    <row r="30" ht="15.0" customHeight="1">
      <c r="A30" t="s">
        <v>1381</v>
      </c>
      <c r="B30">
        <v>15</v>
      </c>
      <c r="C30" t="s">
        <v>1416</v>
      </c>
      <c r="F30" t="s">
        <v>1427</v>
      </c>
    </row>
    <row r="31" ht="15.0" customHeight="1">
      <c r="A31" t="s">
        <v>1381</v>
      </c>
      <c r="B31">
        <v>16</v>
      </c>
      <c r="C31" t="s">
        <v>1416</v>
      </c>
      <c r="F31" t="s">
        <v>1428</v>
      </c>
    </row>
    <row r="32" ht="15.0" customHeight="1">
      <c r="A32" t="s">
        <v>1381</v>
      </c>
      <c r="B32">
        <v>17</v>
      </c>
      <c r="C32" t="s">
        <v>1416</v>
      </c>
      <c r="F32" t="s">
        <v>1429</v>
      </c>
    </row>
    <row r="33" ht="15.0" customHeight="1">
      <c r="A33" t="s">
        <v>1381</v>
      </c>
      <c r="B33">
        <v>18</v>
      </c>
      <c r="C33" t="s">
        <v>1416</v>
      </c>
      <c r="F33" t="s">
        <v>1430</v>
      </c>
    </row>
    <row r="34" ht="15.0" customHeight="1">
      <c r="A34" t="s">
        <v>1381</v>
      </c>
      <c r="B34">
        <v>19</v>
      </c>
      <c r="C34" t="s">
        <v>1416</v>
      </c>
      <c r="F34" t="s">
        <v>1431</v>
      </c>
    </row>
    <row r="35" ht="15.0" customHeight="1">
      <c r="A35" t="s">
        <v>1381</v>
      </c>
      <c r="B35">
        <v>20</v>
      </c>
      <c r="C35" t="s">
        <v>1416</v>
      </c>
      <c r="F35" t="s">
        <v>1432</v>
      </c>
    </row>
    <row r="36" ht="15.0" customHeight="1">
      <c r="A36" t="s">
        <v>1381</v>
      </c>
      <c r="B36">
        <v>21</v>
      </c>
      <c r="C36" t="s">
        <v>1433</v>
      </c>
      <c r="F36" t="s">
        <v>1434</v>
      </c>
    </row>
    <row r="37" ht="15.0" customHeight="1"/>
    <row r="38" ht="15.0" customHeight="1"/>
    <row r="39" ht="15.0" customHeight="1"/>
    <row r="40" ht="15.0" customHeight="1"/>
    <row r="41" ht="15.0" customHeight="1"/>
    <row r="42" ht="15.0" customHeight="1"/>
    <row r="43" ht="15.0" customHeight="1"/>
    <row r="44" ht="15.0" customHeight="1"/>
    <row r="45" ht="15.0" customHeight="1"/>
    <row r="46" ht="15.0" customHeight="1"/>
    <row r="47" ht="15.0" customHeight="1"/>
    <row r="48" ht="15.0" customHeight="1"/>
    <row r="49" ht="15.0" customHeight="1"/>
    <row r="50" ht="15.0" customHeight="1"/>
    <row r="51" ht="15.0" customHeight="1"/>
    <row r="52" ht="15.0" customHeight="1"/>
    <row r="53" ht="15.0" customHeight="1"/>
    <row r="54" ht="15.0" customHeight="1"/>
    <row r="55" ht="15.0" customHeight="1"/>
    <row r="56" ht="15.0" customHeight="1"/>
    <row r="57" ht="15.0" customHeight="1"/>
    <row r="58" ht="15.0" customHeight="1"/>
    <row r="59" ht="15.0" customHeight="1"/>
    <row r="60" ht="15.0" customHeight="1"/>
    <row r="61" ht="15.0" customHeight="1"/>
    <row r="62" ht="15.0" customHeight="1"/>
    <row r="63" ht="15.0" customHeight="1"/>
    <row r="64" ht="15.0" customHeight="1"/>
    <row r="65" ht="15.0" customHeight="1"/>
    <row r="66" ht="15.0" customHeight="1"/>
    <row r="67" ht="15.0" customHeight="1"/>
    <row r="68" ht="15.0" customHeight="1"/>
    <row r="69" ht="15.0" customHeight="1"/>
    <row r="70" ht="15.0" customHeight="1"/>
    <row r="71" ht="15.0" customHeight="1"/>
    <row r="72" ht="15.0" customHeight="1"/>
    <row r="73" ht="15.0" customHeight="1"/>
    <row r="74" ht="15.0" customHeight="1"/>
    <row r="75" ht="15.0" customHeight="1"/>
    <row r="76" ht="15.0" customHeight="1"/>
    <row r="77" ht="15.0" customHeight="1"/>
    <row r="78" ht="15.0" customHeight="1"/>
    <row r="79" ht="15.0" customHeight="1"/>
    <row r="80" ht="15.0" customHeight="1"/>
    <row r="81" ht="15.0" customHeight="1"/>
    <row r="82" ht="15.0" customHeight="1"/>
    <row r="83" ht="15.0" customHeight="1"/>
    <row r="84" ht="15.0" customHeight="1"/>
    <row r="85" ht="15.0" customHeight="1"/>
    <row r="86" ht="15.0" customHeight="1"/>
    <row r="87" ht="15.0" customHeight="1"/>
    <row r="88" ht="15.0" customHeight="1"/>
    <row r="89" ht="15.0" customHeight="1"/>
    <row r="90" ht="15.0" customHeight="1"/>
    <row r="91" ht="15.0" customHeight="1"/>
    <row r="92" ht="15.0" customHeight="1"/>
    <row r="93" ht="15.0" customHeight="1"/>
    <row r="94" ht="15.0" customHeight="1"/>
    <row r="95" ht="15.0" customHeight="1"/>
    <row r="96" ht="15.0" customHeight="1"/>
    <row r="97" ht="15.0" customHeight="1"/>
    <row r="98" ht="15.0" customHeight="1"/>
    <row r="99" ht="15.0" customHeight="1"/>
  </sheetData>
</worksheet>
</file>