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0.xml" ContentType="application/vnd.openxmlformats-officedocument.drawing+xml"/>
  <Override PartName="/xl/drawings/drawing21.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https://d.docs.live.net/7b0092174b6fe311/Desktop/"/>
    </mc:Choice>
  </mc:AlternateContent>
  <xr:revisionPtr revIDLastSave="13" documentId="13_ncr:1_{E6DC25B1-2C7D-45F4-837C-C92091CC0BA2}" xr6:coauthVersionLast="47" xr6:coauthVersionMax="47" xr10:uidLastSave="{FEDF9535-60B0-41EB-B41B-3B3DF507B772}"/>
  <bookViews>
    <workbookView xWindow="-110" yWindow="-110" windowWidth="19420" windowHeight="10300" firstSheet="37" activeTab="41" xr2:uid="{00000000-000D-0000-FFFF-FFFF00000000}"/>
  </bookViews>
  <sheets>
    <sheet name="Data&gt;" sheetId="7" r:id="rId1"/>
    <sheet name="Profit &amp; Loss" sheetId="1" r:id="rId2"/>
    <sheet name="Quarters" sheetId="3" r:id="rId3"/>
    <sheet name="Balance Sheet" sheetId="2" r:id="rId4"/>
    <sheet name="Cash Flow" sheetId="4" r:id="rId5"/>
    <sheet name="Cash Flow Data" sheetId="45" r:id="rId6"/>
    <sheet name="Data Sheet" sheetId="6" r:id="rId7"/>
    <sheet name="Customization" sheetId="5" r:id="rId8"/>
    <sheet name="Company Profile &gt;" sheetId="47" r:id="rId9"/>
    <sheet name="TATA MOTORS LTD" sheetId="41" r:id="rId10"/>
    <sheet name="Financials &gt;" sheetId="12" r:id="rId11"/>
    <sheet name="Historical FS" sheetId="10" r:id="rId12"/>
    <sheet name="Cash Flow Statement" sheetId="44" r:id="rId13"/>
    <sheet name="Common Size Statement" sheetId="18" r:id="rId14"/>
    <sheet name="Ratio Analysis" sheetId="14" r:id="rId15"/>
    <sheet name="Forecasting" sheetId="16" r:id="rId16"/>
    <sheet name="Regression Beta &gt;" sheetId="48" r:id="rId17"/>
    <sheet name="TaMo Beta" sheetId="26" r:id="rId18"/>
    <sheet name="M&amp;M Beta" sheetId="27" r:id="rId19"/>
    <sheet name="MARUTI Beta" sheetId="28" r:id="rId20"/>
    <sheet name="Market Return" sheetId="29" r:id="rId21"/>
    <sheet name="Sales Regression" sheetId="15" r:id="rId22"/>
    <sheet name="Valuation &gt;" sheetId="49" r:id="rId23"/>
    <sheet name="WACC" sheetId="24" r:id="rId24"/>
    <sheet name="Peer Comps" sheetId="25" r:id="rId25"/>
    <sheet name="Intrinsic Growth" sheetId="20" r:id="rId26"/>
    <sheet name="Raw FS" sheetId="19" r:id="rId27"/>
    <sheet name="DCF" sheetId="21" r:id="rId28"/>
    <sheet name="Company Valuation" sheetId="52" r:id="rId29"/>
    <sheet name="Comps Data" sheetId="32" r:id="rId30"/>
    <sheet name="Football Field Analysis" sheetId="33" r:id="rId31"/>
    <sheet name="VAR &gt;" sheetId="38" r:id="rId32"/>
    <sheet name="Historical Approach" sheetId="36" r:id="rId33"/>
    <sheet name="Monte Carlo Simulation" sheetId="37" r:id="rId34"/>
    <sheet name="Analysis &gt;" sheetId="50" r:id="rId35"/>
    <sheet name="Dupont Analysis" sheetId="39" r:id="rId36"/>
    <sheet name="Dupont Analysis2" sheetId="53" r:id="rId37"/>
    <sheet name="Altman's Z Score" sheetId="40" r:id="rId38"/>
    <sheet name="Altman's Z Score2" sheetId="54" r:id="rId39"/>
    <sheet name="Rough Sheet &gt;" sheetId="35" r:id="rId40"/>
    <sheet name="Historical Data" sheetId="42" r:id="rId41"/>
    <sheet name="Source" sheetId="55" r:id="rId42"/>
  </sheets>
  <externalReferences>
    <externalReference r:id="rId43"/>
  </externalReferences>
  <definedNames>
    <definedName name="_xlnm._FilterDatabase" localSheetId="32" hidden="1">'Historical Approach'!$B$9:$E$9</definedName>
    <definedName name="_xlnm._FilterDatabase" localSheetId="19" hidden="1">'MARUTI Beta'!$B$6:$D$6</definedName>
    <definedName name="_xlnm._FilterDatabase" localSheetId="33" hidden="1">'Monte Carlo Simulation'!$B$9:$E$9</definedName>
    <definedName name="_xlnm._FilterDatabase" localSheetId="17" hidden="1">'TaMo Beta'!$B$12:$D$12</definedName>
    <definedName name="_xlchart.v1.0" hidden="1">'Historical Approach'!$E$10:$E$2482</definedName>
    <definedName name="_xlchart.v1.1" hidden="1">'Monte Carlo Simulation'!$H$10:$H$2482</definedName>
    <definedName name="IQ_CH">110000</definedName>
    <definedName name="IQ_CQ">5000</definedName>
    <definedName name="IQ_CY">10000</definedName>
    <definedName name="IQ_DAILY">500000</definedName>
    <definedName name="IQ_DNTM">700000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MTD">800000</definedName>
    <definedName name="IQ_NAMES_REVISION_DATE_" localSheetId="37" hidden="1">"04/29/2023 08:53:12"</definedName>
    <definedName name="IQ_NAMES_REVISION_DATE_" localSheetId="35" hidden="1">"04/29/2023 08:53:12"</definedName>
    <definedName name="IQ_NAMES_REVISION_DATE_" localSheetId="30" hidden="1">"03/29/2023 14:23:17"</definedName>
    <definedName name="IQ_NAMES_REVISION_DATE_" localSheetId="32" hidden="1">"04/29/2023 08:53:12"</definedName>
    <definedName name="IQ_NAMES_REVISION_DATE_" localSheetId="33" hidden="1">"04/29/2023 08:53:12"</definedName>
    <definedName name="IQ_NAMES_REVISION_DATE_">"01/26/2023 09:21:20"</definedName>
    <definedName name="IQ_NTM">6000</definedName>
    <definedName name="IQ_QTD">750000</definedName>
    <definedName name="IQ_TODAY">0</definedName>
    <definedName name="IQ_WEEK">50000</definedName>
    <definedName name="IQ_YTD">3000</definedName>
    <definedName name="IQ_YTDMONTH">130000</definedName>
    <definedName name="_xlnm.Print_Area" localSheetId="37">'Altman''s Z Score'!$A$1:$I$54</definedName>
    <definedName name="_xlnm.Print_Area" localSheetId="35">'Dupont Analysis'!$A$1:$I$55</definedName>
    <definedName name="UPDATE">'Data Sheet'!$E$1</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1" i="36" l="1"/>
  <c r="D62" i="36"/>
  <c r="D63" i="36"/>
  <c r="D64" i="36"/>
  <c r="D65" i="36"/>
  <c r="D66" i="36"/>
  <c r="D67" i="36"/>
  <c r="D68" i="36"/>
  <c r="D69" i="36"/>
  <c r="D70" i="36"/>
  <c r="D71" i="36"/>
  <c r="D72" i="36"/>
  <c r="D73" i="36"/>
  <c r="D74" i="36"/>
  <c r="D75" i="36"/>
  <c r="D76" i="36"/>
  <c r="D77" i="36"/>
  <c r="D78" i="36"/>
  <c r="D79" i="36"/>
  <c r="C76" i="10" l="1"/>
  <c r="D76" i="10"/>
  <c r="E76" i="10"/>
  <c r="F76" i="10"/>
  <c r="G76" i="10"/>
  <c r="H76" i="10"/>
  <c r="H82" i="10" s="1"/>
  <c r="I76" i="10"/>
  <c r="I82" i="10" s="1"/>
  <c r="J76" i="10"/>
  <c r="K76" i="10"/>
  <c r="K82" i="10" s="1"/>
  <c r="L76" i="10"/>
  <c r="L82" i="10" s="1"/>
  <c r="C78" i="10"/>
  <c r="D78" i="10"/>
  <c r="D82" i="10" s="1"/>
  <c r="E78" i="10"/>
  <c r="F78" i="10"/>
  <c r="G78" i="10"/>
  <c r="H78" i="10"/>
  <c r="I78" i="10"/>
  <c r="J78" i="10"/>
  <c r="K78" i="10"/>
  <c r="L78" i="10"/>
  <c r="C80" i="10"/>
  <c r="D80" i="10"/>
  <c r="E80" i="10"/>
  <c r="F80" i="10"/>
  <c r="F82" i="10" s="1"/>
  <c r="G80" i="10"/>
  <c r="G82" i="10" s="1"/>
  <c r="H80" i="10"/>
  <c r="I80" i="10"/>
  <c r="J80" i="10"/>
  <c r="K80" i="10"/>
  <c r="L80" i="10"/>
  <c r="I31" i="54"/>
  <c r="H31" i="54"/>
  <c r="G31" i="54"/>
  <c r="F31" i="54"/>
  <c r="E31" i="54"/>
  <c r="D31" i="54"/>
  <c r="C31" i="54"/>
  <c r="I26" i="54"/>
  <c r="H26" i="54"/>
  <c r="G26" i="54"/>
  <c r="F26" i="54"/>
  <c r="E26" i="54"/>
  <c r="D26" i="54"/>
  <c r="C26" i="54"/>
  <c r="I25" i="54"/>
  <c r="H25" i="54"/>
  <c r="G25" i="54"/>
  <c r="F25" i="54"/>
  <c r="E25" i="54"/>
  <c r="D25" i="54"/>
  <c r="C25" i="54"/>
  <c r="I8" i="54"/>
  <c r="I20" i="54" s="1"/>
  <c r="I32" i="54" s="1"/>
  <c r="H8" i="54"/>
  <c r="H20" i="54" s="1"/>
  <c r="H32" i="54" s="1"/>
  <c r="G8" i="54"/>
  <c r="G20" i="54" s="1"/>
  <c r="G32" i="54" s="1"/>
  <c r="F8" i="54"/>
  <c r="F20" i="54" s="1"/>
  <c r="F32" i="54" s="1"/>
  <c r="E8" i="54"/>
  <c r="E14" i="54" s="1"/>
  <c r="D8" i="54"/>
  <c r="D14" i="54" s="1"/>
  <c r="C8" i="54"/>
  <c r="C14" i="54" s="1"/>
  <c r="I7" i="54"/>
  <c r="H7" i="54"/>
  <c r="G7" i="54"/>
  <c r="F7" i="54"/>
  <c r="E7" i="54"/>
  <c r="D7" i="54"/>
  <c r="C7" i="54"/>
  <c r="I6" i="54"/>
  <c r="I12" i="54" s="1"/>
  <c r="H6" i="54"/>
  <c r="H12" i="54" s="1"/>
  <c r="G6" i="54"/>
  <c r="G12" i="54" s="1"/>
  <c r="G30" i="54" s="1"/>
  <c r="G36" i="54" s="1"/>
  <c r="F6" i="54"/>
  <c r="F12" i="54" s="1"/>
  <c r="F18" i="54" s="1"/>
  <c r="F24" i="54" s="1"/>
  <c r="E6" i="54"/>
  <c r="E12" i="54" s="1"/>
  <c r="E18" i="54" s="1"/>
  <c r="E24" i="54" s="1"/>
  <c r="D6" i="54"/>
  <c r="D12" i="54" s="1"/>
  <c r="D18" i="54" s="1"/>
  <c r="D24" i="54" s="1"/>
  <c r="C6" i="54"/>
  <c r="C12" i="54" s="1"/>
  <c r="B35" i="53"/>
  <c r="B22" i="53"/>
  <c r="B21" i="53"/>
  <c r="B30" i="53" s="1"/>
  <c r="I18" i="53"/>
  <c r="I21" i="53" s="1"/>
  <c r="H18" i="53"/>
  <c r="H21" i="53" s="1"/>
  <c r="G18" i="53"/>
  <c r="G21" i="53" s="1"/>
  <c r="F18" i="53"/>
  <c r="F21" i="53" s="1"/>
  <c r="E18" i="53"/>
  <c r="E21" i="53" s="1"/>
  <c r="D18" i="53"/>
  <c r="D21" i="53" s="1"/>
  <c r="C18" i="53"/>
  <c r="C21" i="53" s="1"/>
  <c r="I14" i="53"/>
  <c r="I17" i="53" s="1"/>
  <c r="I36" i="53" s="1"/>
  <c r="I39" i="53" s="1"/>
  <c r="H14" i="53"/>
  <c r="H17" i="53" s="1"/>
  <c r="H36" i="53" s="1"/>
  <c r="H39" i="53" s="1"/>
  <c r="G14" i="53"/>
  <c r="G17" i="53" s="1"/>
  <c r="F14" i="53"/>
  <c r="F17" i="53" s="1"/>
  <c r="E14" i="53"/>
  <c r="E17" i="53" s="1"/>
  <c r="D14" i="53"/>
  <c r="D17" i="53" s="1"/>
  <c r="C14" i="53"/>
  <c r="C17" i="53" s="1"/>
  <c r="B13" i="53"/>
  <c r="I8" i="53"/>
  <c r="I22" i="53" s="1"/>
  <c r="H8" i="53"/>
  <c r="H22" i="53" s="1"/>
  <c r="G8" i="53"/>
  <c r="G22" i="53" s="1"/>
  <c r="F8" i="53"/>
  <c r="F22" i="53" s="1"/>
  <c r="E8" i="53"/>
  <c r="E22" i="53" s="1"/>
  <c r="D8" i="53"/>
  <c r="D22" i="53" s="1"/>
  <c r="C8" i="53"/>
  <c r="C22" i="53" s="1"/>
  <c r="I7" i="53"/>
  <c r="I13" i="53" s="1"/>
  <c r="I29" i="53" s="1"/>
  <c r="H7" i="53"/>
  <c r="G7" i="53"/>
  <c r="F7" i="53"/>
  <c r="E7" i="53"/>
  <c r="E13" i="53" s="1"/>
  <c r="D7" i="53"/>
  <c r="D13" i="53" s="1"/>
  <c r="C7" i="53"/>
  <c r="E82" i="10" l="1"/>
  <c r="J82" i="10"/>
  <c r="C82" i="10"/>
  <c r="G33" i="54"/>
  <c r="H33" i="54"/>
  <c r="G27" i="54"/>
  <c r="F33" i="54"/>
  <c r="F9" i="54"/>
  <c r="G9" i="54"/>
  <c r="C27" i="54"/>
  <c r="H9" i="54"/>
  <c r="D27" i="54"/>
  <c r="F27" i="54"/>
  <c r="I9" i="54"/>
  <c r="E27" i="54"/>
  <c r="H27" i="54"/>
  <c r="I27" i="54"/>
  <c r="C20" i="54"/>
  <c r="C32" i="54" s="1"/>
  <c r="C33" i="54" s="1"/>
  <c r="C9" i="54"/>
  <c r="D20" i="54"/>
  <c r="D32" i="54" s="1"/>
  <c r="D33" i="54" s="1"/>
  <c r="I33" i="54"/>
  <c r="D9" i="54"/>
  <c r="E20" i="54"/>
  <c r="E32" i="54" s="1"/>
  <c r="E33" i="54" s="1"/>
  <c r="E9" i="54"/>
  <c r="G9" i="53"/>
  <c r="H9" i="53"/>
  <c r="D30" i="53"/>
  <c r="D40" i="53" s="1"/>
  <c r="E15" i="53"/>
  <c r="I9" i="53"/>
  <c r="G30" i="53"/>
  <c r="G40" i="53" s="1"/>
  <c r="E30" i="53"/>
  <c r="E40" i="53" s="1"/>
  <c r="F30" i="53"/>
  <c r="F40" i="53" s="1"/>
  <c r="F9" i="53"/>
  <c r="C30" i="53"/>
  <c r="C40" i="53" s="1"/>
  <c r="I19" i="53"/>
  <c r="C9" i="53"/>
  <c r="H30" i="53"/>
  <c r="H40" i="53" s="1"/>
  <c r="H41" i="53" s="1"/>
  <c r="F13" i="53"/>
  <c r="F15" i="53" s="1"/>
  <c r="G13" i="53"/>
  <c r="G15" i="53" s="1"/>
  <c r="I30" i="53"/>
  <c r="I40" i="53" s="1"/>
  <c r="I41" i="53" s="1"/>
  <c r="H13" i="53"/>
  <c r="H29" i="53" s="1"/>
  <c r="H35" i="53" s="1"/>
  <c r="H37" i="53" s="1"/>
  <c r="E9" i="53"/>
  <c r="C30" i="54"/>
  <c r="C36" i="54" s="1"/>
  <c r="C18" i="54"/>
  <c r="C24" i="54" s="1"/>
  <c r="H18" i="54"/>
  <c r="H24" i="54" s="1"/>
  <c r="H30" i="54"/>
  <c r="H36" i="54" s="1"/>
  <c r="I30" i="54"/>
  <c r="I36" i="54" s="1"/>
  <c r="I18" i="54"/>
  <c r="I24" i="54" s="1"/>
  <c r="F30" i="54"/>
  <c r="F36" i="54" s="1"/>
  <c r="F14" i="54"/>
  <c r="G14" i="54"/>
  <c r="H14" i="54"/>
  <c r="I14" i="54"/>
  <c r="G18" i="54"/>
  <c r="G24" i="54" s="1"/>
  <c r="D30" i="54"/>
  <c r="D36" i="54" s="1"/>
  <c r="E30" i="54"/>
  <c r="E36" i="54" s="1"/>
  <c r="G36" i="53"/>
  <c r="G39" i="53" s="1"/>
  <c r="G19" i="53"/>
  <c r="C23" i="53"/>
  <c r="F23" i="53"/>
  <c r="G23" i="53"/>
  <c r="D23" i="53"/>
  <c r="E23" i="53"/>
  <c r="C19" i="53"/>
  <c r="C36" i="53"/>
  <c r="C39" i="53" s="1"/>
  <c r="D29" i="53"/>
  <c r="D15" i="53"/>
  <c r="E19" i="53"/>
  <c r="E36" i="53"/>
  <c r="E39" i="53" s="1"/>
  <c r="H23" i="53"/>
  <c r="I35" i="53"/>
  <c r="I37" i="53" s="1"/>
  <c r="D19" i="53"/>
  <c r="D36" i="53"/>
  <c r="D39" i="53" s="1"/>
  <c r="F36" i="53"/>
  <c r="F39" i="53" s="1"/>
  <c r="F19" i="53"/>
  <c r="I23" i="53"/>
  <c r="H19" i="53"/>
  <c r="I15" i="53"/>
  <c r="E29" i="53"/>
  <c r="D9" i="53"/>
  <c r="C13" i="53"/>
  <c r="F41" i="53" l="1"/>
  <c r="D41" i="53"/>
  <c r="I31" i="53"/>
  <c r="C41" i="53"/>
  <c r="G41" i="53"/>
  <c r="G29" i="53"/>
  <c r="G31" i="53" s="1"/>
  <c r="F29" i="53"/>
  <c r="F31" i="53" s="1"/>
  <c r="G25" i="53"/>
  <c r="H31" i="53"/>
  <c r="E41" i="53"/>
  <c r="H15" i="53"/>
  <c r="H25" i="53" s="1"/>
  <c r="I25" i="53"/>
  <c r="E25" i="53"/>
  <c r="H43" i="53"/>
  <c r="D25" i="53"/>
  <c r="E31" i="53"/>
  <c r="E35" i="53"/>
  <c r="E37" i="53" s="1"/>
  <c r="G35" i="53"/>
  <c r="G37" i="53" s="1"/>
  <c r="G43" i="53" s="1"/>
  <c r="C29" i="53"/>
  <c r="C15" i="53"/>
  <c r="C25" i="53" s="1"/>
  <c r="F25" i="53"/>
  <c r="I43" i="53"/>
  <c r="D31" i="53"/>
  <c r="D35" i="53"/>
  <c r="D37" i="53" s="1"/>
  <c r="F35" i="53" l="1"/>
  <c r="F37" i="53" s="1"/>
  <c r="F43" i="53" s="1"/>
  <c r="D43" i="53"/>
  <c r="E43" i="53"/>
  <c r="C35" i="53"/>
  <c r="C37" i="53" s="1"/>
  <c r="C43" i="53" s="1"/>
  <c r="C31" i="53"/>
  <c r="M19" i="52" l="1"/>
  <c r="L19" i="52"/>
  <c r="K19" i="52"/>
  <c r="E19" i="52"/>
  <c r="D19" i="52"/>
  <c r="B19" i="52"/>
  <c r="M18" i="52"/>
  <c r="L18" i="52"/>
  <c r="K18" i="52"/>
  <c r="E18" i="52"/>
  <c r="D18" i="52"/>
  <c r="B18" i="52"/>
  <c r="M17" i="52"/>
  <c r="L17" i="52"/>
  <c r="K17" i="52"/>
  <c r="E17" i="52"/>
  <c r="D17" i="52"/>
  <c r="B17" i="52"/>
  <c r="M16" i="52"/>
  <c r="L16" i="52"/>
  <c r="K16" i="52"/>
  <c r="E16" i="52"/>
  <c r="D16" i="52"/>
  <c r="B16" i="52"/>
  <c r="M15" i="52"/>
  <c r="L15" i="52"/>
  <c r="K15" i="52"/>
  <c r="E15" i="52"/>
  <c r="Q33" i="52" s="1"/>
  <c r="D15" i="52"/>
  <c r="B15" i="52"/>
  <c r="B3" i="52"/>
  <c r="F16" i="52" l="1"/>
  <c r="Q16" i="52" s="1"/>
  <c r="F18" i="52"/>
  <c r="F19" i="52"/>
  <c r="F17" i="52"/>
  <c r="Q18" i="52"/>
  <c r="Q17" i="52"/>
  <c r="Q19" i="52"/>
  <c r="F15" i="52"/>
  <c r="O33" i="52"/>
  <c r="P33" i="52"/>
  <c r="Q15" i="52" l="1"/>
  <c r="Q24" i="52" l="1"/>
  <c r="Q32" i="52" s="1"/>
  <c r="Q26" i="52"/>
  <c r="Q25" i="52"/>
  <c r="Q23" i="52"/>
  <c r="Q22" i="52"/>
  <c r="Q21" i="52"/>
  <c r="Q35" i="52" l="1"/>
  <c r="Q38" i="52" l="1"/>
  <c r="M12" i="33"/>
  <c r="N12" i="33" s="1"/>
  <c r="C46" i="16"/>
  <c r="C47" i="16" s="1"/>
  <c r="C48" i="16" s="1"/>
  <c r="C49" i="16" s="1"/>
  <c r="C50" i="16" s="1"/>
  <c r="C51" i="16" s="1"/>
  <c r="C52" i="16" s="1"/>
  <c r="C53" i="16" s="1"/>
  <c r="C54" i="16" s="1"/>
  <c r="C55" i="16" s="1"/>
  <c r="C56" i="16" s="1"/>
  <c r="C57" i="16" s="1"/>
  <c r="C58" i="16" s="1"/>
  <c r="C59" i="16" s="1"/>
  <c r="C60" i="16" s="1"/>
  <c r="B44" i="16"/>
  <c r="B47" i="16"/>
  <c r="B48" i="16" s="1"/>
  <c r="B49" i="16" s="1"/>
  <c r="B50" i="16" s="1"/>
  <c r="B51" i="16" s="1"/>
  <c r="B52" i="16" s="1"/>
  <c r="B53" i="16" s="1"/>
  <c r="B54" i="16" s="1"/>
  <c r="B55" i="16" s="1"/>
  <c r="B56" i="16" s="1"/>
  <c r="B26" i="16"/>
  <c r="C28" i="16"/>
  <c r="B29" i="16"/>
  <c r="B30" i="16" s="1"/>
  <c r="B31" i="16" s="1"/>
  <c r="B32" i="16" s="1"/>
  <c r="B33" i="16" s="1"/>
  <c r="B34" i="16" s="1"/>
  <c r="B35" i="16" s="1"/>
  <c r="B36" i="16" s="1"/>
  <c r="B37" i="16" s="1"/>
  <c r="B38" i="16" s="1"/>
  <c r="C29" i="16"/>
  <c r="C30" i="16" s="1"/>
  <c r="C31" i="16" s="1"/>
  <c r="C32" i="16" s="1"/>
  <c r="C33" i="16" s="1"/>
  <c r="C34" i="16" s="1"/>
  <c r="C35" i="16" s="1"/>
  <c r="C36" i="16" s="1"/>
  <c r="C37" i="16" s="1"/>
  <c r="C38" i="16" s="1"/>
  <c r="C39" i="16" s="1"/>
  <c r="C40" i="16" s="1"/>
  <c r="C41" i="16" s="1"/>
  <c r="C42" i="16" s="1"/>
  <c r="B3" i="37"/>
  <c r="B3" i="36"/>
  <c r="B3" i="33"/>
  <c r="B3" i="21"/>
  <c r="B3" i="20"/>
  <c r="B3" i="24"/>
  <c r="B3" i="15"/>
  <c r="B2" i="29"/>
  <c r="B2" i="26"/>
  <c r="B2" i="16"/>
  <c r="B3" i="14"/>
  <c r="B9" i="14"/>
  <c r="C10" i="14"/>
  <c r="D10" i="14"/>
  <c r="E10" i="14"/>
  <c r="F10" i="14"/>
  <c r="G10" i="14"/>
  <c r="H10" i="14"/>
  <c r="I10" i="14"/>
  <c r="J10" i="14"/>
  <c r="K10" i="14"/>
  <c r="L10" i="14"/>
  <c r="B3" i="18"/>
  <c r="B3" i="44"/>
  <c r="C11" i="44"/>
  <c r="D11" i="44"/>
  <c r="E11" i="44"/>
  <c r="F11" i="44"/>
  <c r="G11" i="44"/>
  <c r="H11" i="44"/>
  <c r="I11" i="44"/>
  <c r="J11" i="44"/>
  <c r="K11" i="44"/>
  <c r="L11" i="44"/>
  <c r="C12" i="44"/>
  <c r="D12" i="44"/>
  <c r="E12" i="44"/>
  <c r="F12" i="44"/>
  <c r="G12" i="44"/>
  <c r="H12" i="44"/>
  <c r="I12" i="44"/>
  <c r="J12" i="44"/>
  <c r="K12" i="44"/>
  <c r="L12" i="44"/>
  <c r="C13" i="44"/>
  <c r="D13" i="44"/>
  <c r="E13" i="44"/>
  <c r="F13" i="44"/>
  <c r="G13" i="44"/>
  <c r="H13" i="44"/>
  <c r="I13" i="44"/>
  <c r="J13" i="44"/>
  <c r="K13" i="44"/>
  <c r="L13" i="44"/>
  <c r="C14" i="44"/>
  <c r="D14" i="44"/>
  <c r="E14" i="44"/>
  <c r="F14" i="44"/>
  <c r="G14" i="44"/>
  <c r="H14" i="44"/>
  <c r="I14" i="44"/>
  <c r="J14" i="44"/>
  <c r="K14" i="44"/>
  <c r="L14" i="44"/>
  <c r="C15" i="44"/>
  <c r="D15" i="44"/>
  <c r="E15" i="44"/>
  <c r="F15" i="44"/>
  <c r="G15" i="44"/>
  <c r="H15" i="44"/>
  <c r="I15" i="44"/>
  <c r="J15" i="44"/>
  <c r="K15" i="44"/>
  <c r="L15" i="44"/>
  <c r="B3" i="10"/>
  <c r="B2" i="41"/>
  <c r="L43" i="44"/>
  <c r="K43" i="44"/>
  <c r="J43" i="44"/>
  <c r="I43" i="44"/>
  <c r="H43" i="44"/>
  <c r="G43" i="44"/>
  <c r="F43" i="44"/>
  <c r="E43" i="44"/>
  <c r="D43" i="44"/>
  <c r="C43" i="44"/>
  <c r="L42" i="44"/>
  <c r="K42" i="44"/>
  <c r="J42" i="44"/>
  <c r="I42" i="44"/>
  <c r="H42" i="44"/>
  <c r="G42" i="44"/>
  <c r="F42" i="44"/>
  <c r="E42" i="44"/>
  <c r="D42" i="44"/>
  <c r="C42" i="44"/>
  <c r="L41" i="44"/>
  <c r="K41" i="44"/>
  <c r="J41" i="44"/>
  <c r="I41" i="44"/>
  <c r="H41" i="44"/>
  <c r="G41" i="44"/>
  <c r="F41" i="44"/>
  <c r="E41" i="44"/>
  <c r="D41" i="44"/>
  <c r="C41" i="44"/>
  <c r="L40" i="44"/>
  <c r="K40" i="44"/>
  <c r="J40" i="44"/>
  <c r="I40" i="44"/>
  <c r="H40" i="44"/>
  <c r="G40" i="44"/>
  <c r="F40" i="44"/>
  <c r="E40" i="44"/>
  <c r="D40" i="44"/>
  <c r="C40" i="44"/>
  <c r="L39" i="44"/>
  <c r="K39" i="44"/>
  <c r="J39" i="44"/>
  <c r="I39" i="44"/>
  <c r="H39" i="44"/>
  <c r="G39" i="44"/>
  <c r="F39" i="44"/>
  <c r="E39" i="44"/>
  <c r="D39" i="44"/>
  <c r="C39" i="44"/>
  <c r="L38" i="44"/>
  <c r="K38" i="44"/>
  <c r="J38" i="44"/>
  <c r="I38" i="44"/>
  <c r="H38" i="44"/>
  <c r="G38" i="44"/>
  <c r="F38" i="44"/>
  <c r="E38" i="44"/>
  <c r="D38" i="44"/>
  <c r="C38" i="44"/>
  <c r="L37" i="44"/>
  <c r="K37" i="44"/>
  <c r="J37" i="44"/>
  <c r="I37" i="44"/>
  <c r="H37" i="44"/>
  <c r="G37" i="44"/>
  <c r="F37" i="44"/>
  <c r="E37" i="44"/>
  <c r="D37" i="44"/>
  <c r="C37" i="44"/>
  <c r="L36" i="44"/>
  <c r="K36" i="44"/>
  <c r="J36" i="44"/>
  <c r="I36" i="44"/>
  <c r="H36" i="44"/>
  <c r="G36" i="44"/>
  <c r="F36" i="44"/>
  <c r="E36" i="44"/>
  <c r="D36" i="44"/>
  <c r="C36" i="44"/>
  <c r="L32" i="44"/>
  <c r="K32" i="44"/>
  <c r="J32" i="44"/>
  <c r="I32" i="44"/>
  <c r="H32" i="44"/>
  <c r="G32" i="44"/>
  <c r="F32" i="44"/>
  <c r="E32" i="44"/>
  <c r="D32" i="44"/>
  <c r="C32" i="44"/>
  <c r="L31" i="44"/>
  <c r="K31" i="44"/>
  <c r="J31" i="44"/>
  <c r="I31" i="44"/>
  <c r="H31" i="44"/>
  <c r="G31" i="44"/>
  <c r="F31" i="44"/>
  <c r="E31" i="44"/>
  <c r="D31" i="44"/>
  <c r="C31" i="44"/>
  <c r="L30" i="44"/>
  <c r="K30" i="44"/>
  <c r="J30" i="44"/>
  <c r="I30" i="44"/>
  <c r="H30" i="44"/>
  <c r="G30" i="44"/>
  <c r="F30" i="44"/>
  <c r="E30" i="44"/>
  <c r="D30" i="44"/>
  <c r="C30" i="44"/>
  <c r="L29" i="44"/>
  <c r="K29" i="44"/>
  <c r="J29" i="44"/>
  <c r="I29" i="44"/>
  <c r="H29" i="44"/>
  <c r="G29" i="44"/>
  <c r="F29" i="44"/>
  <c r="E29" i="44"/>
  <c r="D29" i="44"/>
  <c r="C29" i="44"/>
  <c r="L28" i="44"/>
  <c r="K28" i="44"/>
  <c r="J28" i="44"/>
  <c r="I28" i="44"/>
  <c r="H28" i="44"/>
  <c r="G28" i="44"/>
  <c r="F28" i="44"/>
  <c r="E28" i="44"/>
  <c r="D28" i="44"/>
  <c r="C28" i="44"/>
  <c r="L27" i="44"/>
  <c r="K27" i="44"/>
  <c r="J27" i="44"/>
  <c r="I27" i="44"/>
  <c r="H27" i="44"/>
  <c r="G27" i="44"/>
  <c r="F27" i="44"/>
  <c r="E27" i="44"/>
  <c r="D27" i="44"/>
  <c r="C27" i="44"/>
  <c r="L26" i="44"/>
  <c r="K26" i="44"/>
  <c r="J26" i="44"/>
  <c r="I26" i="44"/>
  <c r="H26" i="44"/>
  <c r="G26" i="44"/>
  <c r="F26" i="44"/>
  <c r="E26" i="44"/>
  <c r="D26" i="44"/>
  <c r="C26" i="44"/>
  <c r="L25" i="44"/>
  <c r="K25" i="44"/>
  <c r="J25" i="44"/>
  <c r="I25" i="44"/>
  <c r="H25" i="44"/>
  <c r="G25" i="44"/>
  <c r="F25" i="44"/>
  <c r="E25" i="44"/>
  <c r="D25" i="44"/>
  <c r="C25" i="44"/>
  <c r="L24" i="44"/>
  <c r="K24" i="44"/>
  <c r="J24" i="44"/>
  <c r="I24" i="44"/>
  <c r="H24" i="44"/>
  <c r="G24" i="44"/>
  <c r="F24" i="44"/>
  <c r="E24" i="44"/>
  <c r="D24" i="44"/>
  <c r="C24" i="44"/>
  <c r="L23" i="44"/>
  <c r="K23" i="44"/>
  <c r="J23" i="44"/>
  <c r="I23" i="44"/>
  <c r="H23" i="44"/>
  <c r="G23" i="44"/>
  <c r="F23" i="44"/>
  <c r="E23" i="44"/>
  <c r="D23" i="44"/>
  <c r="C23" i="44"/>
  <c r="L22" i="44"/>
  <c r="K22" i="44"/>
  <c r="J22" i="44"/>
  <c r="I22" i="44"/>
  <c r="H22" i="44"/>
  <c r="G22" i="44"/>
  <c r="F22" i="44"/>
  <c r="E22" i="44"/>
  <c r="D22" i="44"/>
  <c r="C22" i="44"/>
  <c r="L18" i="44"/>
  <c r="K18" i="44"/>
  <c r="J18" i="44"/>
  <c r="I18" i="44"/>
  <c r="H18" i="44"/>
  <c r="G18" i="44"/>
  <c r="F18" i="44"/>
  <c r="E18" i="44"/>
  <c r="D18" i="44"/>
  <c r="C18" i="44"/>
  <c r="L17" i="44"/>
  <c r="K17" i="44"/>
  <c r="J17" i="44"/>
  <c r="I17" i="44"/>
  <c r="H17" i="44"/>
  <c r="G17" i="44"/>
  <c r="F17" i="44"/>
  <c r="E17" i="44"/>
  <c r="D17" i="44"/>
  <c r="C17" i="44"/>
  <c r="L16" i="44"/>
  <c r="K16" i="44"/>
  <c r="J16" i="44"/>
  <c r="I16" i="44"/>
  <c r="H16" i="44"/>
  <c r="G16" i="44"/>
  <c r="F16" i="44"/>
  <c r="E16" i="44"/>
  <c r="D16" i="44"/>
  <c r="C16" i="44"/>
  <c r="G51" i="41"/>
  <c r="G52" i="41"/>
  <c r="G53" i="41"/>
  <c r="G54" i="41"/>
  <c r="G55" i="41"/>
  <c r="G56" i="41"/>
  <c r="G57" i="41"/>
  <c r="G50" i="41"/>
  <c r="E51" i="41"/>
  <c r="E52" i="41"/>
  <c r="E53" i="41"/>
  <c r="E54" i="41"/>
  <c r="E55" i="41"/>
  <c r="E56" i="41"/>
  <c r="E57" i="41"/>
  <c r="E50" i="41"/>
  <c r="E48" i="41"/>
  <c r="G48" i="41"/>
  <c r="C51" i="41"/>
  <c r="C52" i="41"/>
  <c r="C53" i="41"/>
  <c r="C54" i="41"/>
  <c r="C55" i="41"/>
  <c r="C56" i="41"/>
  <c r="C57" i="41"/>
  <c r="C50" i="41"/>
  <c r="B51" i="41"/>
  <c r="B52" i="41"/>
  <c r="B53" i="41"/>
  <c r="B54" i="41"/>
  <c r="B55" i="41"/>
  <c r="B56" i="41"/>
  <c r="B57" i="41"/>
  <c r="B50" i="41"/>
  <c r="J54" i="41"/>
  <c r="J53" i="41"/>
  <c r="J1256" i="42"/>
  <c r="J1255" i="42"/>
  <c r="J1254" i="42"/>
  <c r="J1253" i="42"/>
  <c r="J1252" i="42"/>
  <c r="J1251" i="42"/>
  <c r="E1260" i="42"/>
  <c r="E46" i="41" s="1"/>
  <c r="E1259" i="42"/>
  <c r="E45" i="41" s="1"/>
  <c r="E1258" i="42"/>
  <c r="E44" i="41" s="1"/>
  <c r="E1257" i="42"/>
  <c r="E43" i="41" s="1"/>
  <c r="E1256" i="42"/>
  <c r="E42" i="41" s="1"/>
  <c r="E1255" i="42"/>
  <c r="E41" i="41" s="1"/>
  <c r="E1254" i="42"/>
  <c r="E40" i="41" s="1"/>
  <c r="E1253" i="42"/>
  <c r="E39" i="41" s="1"/>
  <c r="E1252" i="42"/>
  <c r="E38" i="41" s="1"/>
  <c r="E1251" i="42"/>
  <c r="E37" i="41" s="1"/>
  <c r="E1249" i="42"/>
  <c r="C38" i="41"/>
  <c r="C39" i="41"/>
  <c r="C40" i="41"/>
  <c r="C41" i="41"/>
  <c r="C42" i="41"/>
  <c r="C43" i="41"/>
  <c r="C44" i="41"/>
  <c r="C45" i="41"/>
  <c r="C46" i="41"/>
  <c r="C37" i="41"/>
  <c r="B38" i="41"/>
  <c r="B39" i="41"/>
  <c r="B40" i="41"/>
  <c r="B41" i="41"/>
  <c r="B42" i="41"/>
  <c r="B43" i="41"/>
  <c r="B44" i="41"/>
  <c r="B45" i="41"/>
  <c r="B46" i="41"/>
  <c r="B37" i="41"/>
  <c r="F1260" i="42"/>
  <c r="F46" i="41" s="1"/>
  <c r="F1259" i="42"/>
  <c r="F45" i="41" s="1"/>
  <c r="F1258" i="42"/>
  <c r="F44" i="41" s="1"/>
  <c r="F1257" i="42"/>
  <c r="F43" i="41" s="1"/>
  <c r="F1256" i="42"/>
  <c r="F42" i="41" s="1"/>
  <c r="F1255" i="42"/>
  <c r="F41" i="41" s="1"/>
  <c r="F1254" i="42"/>
  <c r="F40" i="41" s="1"/>
  <c r="F1253" i="42"/>
  <c r="F39" i="41" s="1"/>
  <c r="F1252" i="42"/>
  <c r="F38" i="41" s="1"/>
  <c r="F1251" i="42"/>
  <c r="F37" i="41" s="1"/>
  <c r="B31" i="41"/>
  <c r="B30" i="41"/>
  <c r="B29" i="41"/>
  <c r="I77" i="6"/>
  <c r="J77" i="6"/>
  <c r="K77" i="6"/>
  <c r="C77" i="6"/>
  <c r="D77" i="6"/>
  <c r="E77" i="6"/>
  <c r="F77" i="6"/>
  <c r="G77" i="6"/>
  <c r="H77" i="6"/>
  <c r="B77" i="6"/>
  <c r="C99" i="6"/>
  <c r="D99" i="6"/>
  <c r="E99" i="6"/>
  <c r="F99" i="6"/>
  <c r="G99" i="6"/>
  <c r="H99" i="6"/>
  <c r="I99" i="6"/>
  <c r="J99" i="6"/>
  <c r="K99" i="6"/>
  <c r="B99" i="6"/>
  <c r="C98" i="6"/>
  <c r="D98" i="6"/>
  <c r="E98" i="6"/>
  <c r="F98" i="6"/>
  <c r="G98" i="6"/>
  <c r="H98" i="6"/>
  <c r="I98" i="6"/>
  <c r="J98" i="6"/>
  <c r="K98" i="6"/>
  <c r="B98" i="6"/>
  <c r="C97" i="6"/>
  <c r="D97" i="6"/>
  <c r="E97" i="6"/>
  <c r="F97" i="6"/>
  <c r="G97" i="6"/>
  <c r="H97" i="6"/>
  <c r="I97" i="6"/>
  <c r="J97" i="6"/>
  <c r="K97" i="6"/>
  <c r="B97" i="6"/>
  <c r="B57" i="16" l="1"/>
  <c r="B39" i="16"/>
  <c r="I48" i="20"/>
  <c r="G48" i="20"/>
  <c r="K48" i="20"/>
  <c r="J48" i="20"/>
  <c r="H48" i="20"/>
  <c r="B104" i="6"/>
  <c r="C44" i="44"/>
  <c r="H104" i="6"/>
  <c r="D31" i="41" s="1"/>
  <c r="J19" i="44"/>
  <c r="D44" i="44"/>
  <c r="I100" i="6"/>
  <c r="I103" i="6" s="1"/>
  <c r="E30" i="41" s="1"/>
  <c r="K19" i="44"/>
  <c r="L19" i="44"/>
  <c r="G19" i="44"/>
  <c r="H19" i="44"/>
  <c r="E19" i="44"/>
  <c r="I19" i="44"/>
  <c r="F19" i="44"/>
  <c r="C33" i="44"/>
  <c r="G33" i="44"/>
  <c r="E33" i="44"/>
  <c r="F33" i="44"/>
  <c r="E44" i="44"/>
  <c r="D33" i="44"/>
  <c r="F44" i="44"/>
  <c r="H33" i="44"/>
  <c r="I33" i="44"/>
  <c r="G44" i="44"/>
  <c r="K44" i="44"/>
  <c r="J33" i="44"/>
  <c r="H44" i="44"/>
  <c r="L44" i="44"/>
  <c r="C19" i="44"/>
  <c r="C46" i="44" s="1"/>
  <c r="K33" i="44"/>
  <c r="I44" i="44"/>
  <c r="D19" i="44"/>
  <c r="L33" i="44"/>
  <c r="J44" i="44"/>
  <c r="C104" i="6"/>
  <c r="J100" i="6"/>
  <c r="J103" i="6" s="1"/>
  <c r="F30" i="41" s="1"/>
  <c r="J104" i="6"/>
  <c r="F31" i="41" s="1"/>
  <c r="F104" i="6"/>
  <c r="I104" i="6"/>
  <c r="E31" i="41" s="1"/>
  <c r="G104" i="6"/>
  <c r="C31" i="41" s="1"/>
  <c r="B100" i="6"/>
  <c r="B103" i="6" s="1"/>
  <c r="H100" i="6"/>
  <c r="H103" i="6" s="1"/>
  <c r="D30" i="41" s="1"/>
  <c r="K104" i="6"/>
  <c r="G31" i="41" s="1"/>
  <c r="K100" i="6"/>
  <c r="K103" i="6" s="1"/>
  <c r="G30" i="41" s="1"/>
  <c r="E104" i="6"/>
  <c r="D100" i="6"/>
  <c r="D103" i="6" s="1"/>
  <c r="D104" i="6"/>
  <c r="G100" i="6"/>
  <c r="G103" i="6" s="1"/>
  <c r="C30" i="41" s="1"/>
  <c r="C100" i="6"/>
  <c r="C103" i="6" s="1"/>
  <c r="F100" i="6"/>
  <c r="E100" i="6"/>
  <c r="D36" i="6"/>
  <c r="E36" i="6"/>
  <c r="F36" i="6"/>
  <c r="G36" i="6"/>
  <c r="H36" i="6"/>
  <c r="I36" i="6"/>
  <c r="J36" i="6"/>
  <c r="K36" i="6"/>
  <c r="C36" i="6"/>
  <c r="D12" i="41"/>
  <c r="D26" i="41" s="1"/>
  <c r="E12" i="41"/>
  <c r="E26" i="41" s="1"/>
  <c r="F12" i="41"/>
  <c r="F26" i="41" s="1"/>
  <c r="G12" i="41"/>
  <c r="G26" i="41" s="1"/>
  <c r="C12" i="41"/>
  <c r="C26" i="41" s="1"/>
  <c r="B3" i="40"/>
  <c r="B3" i="39"/>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K29" i="37"/>
  <c r="D29" i="37"/>
  <c r="K28" i="37"/>
  <c r="D28" i="37"/>
  <c r="K27" i="37"/>
  <c r="D27" i="37"/>
  <c r="K26" i="37"/>
  <c r="D26" i="37"/>
  <c r="D25" i="37"/>
  <c r="D24" i="37"/>
  <c r="D23" i="37"/>
  <c r="D22" i="37"/>
  <c r="D21" i="37"/>
  <c r="D20" i="37"/>
  <c r="D19" i="37"/>
  <c r="D18" i="37"/>
  <c r="D17" i="37"/>
  <c r="D16" i="37"/>
  <c r="N15" i="37"/>
  <c r="D15" i="37"/>
  <c r="N14" i="37"/>
  <c r="D14" i="37"/>
  <c r="N13" i="37"/>
  <c r="D13" i="37"/>
  <c r="N12" i="37"/>
  <c r="D12" i="37"/>
  <c r="D11" i="37"/>
  <c r="D10" i="37"/>
  <c r="D2482" i="36"/>
  <c r="D2481" i="36"/>
  <c r="D2480" i="36"/>
  <c r="D2479" i="36"/>
  <c r="D2478" i="36"/>
  <c r="D2477" i="36"/>
  <c r="D2476" i="36"/>
  <c r="D2475" i="36"/>
  <c r="D2474" i="36"/>
  <c r="D2473" i="36"/>
  <c r="D2472" i="36"/>
  <c r="D2471" i="36"/>
  <c r="D2470" i="36"/>
  <c r="D2469" i="36"/>
  <c r="D2468" i="36"/>
  <c r="D2467" i="36"/>
  <c r="D2466" i="36"/>
  <c r="D2465" i="36"/>
  <c r="D2464" i="36"/>
  <c r="D2463" i="36"/>
  <c r="D2462" i="36"/>
  <c r="D2461" i="36"/>
  <c r="D2460" i="36"/>
  <c r="D2459" i="36"/>
  <c r="D2458" i="36"/>
  <c r="D2457" i="36"/>
  <c r="D2456" i="36"/>
  <c r="D2455" i="36"/>
  <c r="D2454" i="36"/>
  <c r="D2453" i="36"/>
  <c r="D2452" i="36"/>
  <c r="D2451" i="36"/>
  <c r="D2450" i="36"/>
  <c r="D2449" i="36"/>
  <c r="D2448" i="36"/>
  <c r="D2447" i="36"/>
  <c r="D2446" i="36"/>
  <c r="D2445" i="36"/>
  <c r="D2444" i="36"/>
  <c r="D2443" i="36"/>
  <c r="D2442" i="36"/>
  <c r="D2441" i="36"/>
  <c r="D2440" i="36"/>
  <c r="D2439" i="36"/>
  <c r="D2438" i="36"/>
  <c r="D2437" i="36"/>
  <c r="D2436" i="36"/>
  <c r="D2435" i="36"/>
  <c r="D2434" i="36"/>
  <c r="D2433" i="36"/>
  <c r="D2432" i="36"/>
  <c r="D2431" i="36"/>
  <c r="D2430" i="36"/>
  <c r="D2429" i="36"/>
  <c r="D2428" i="36"/>
  <c r="D2427" i="36"/>
  <c r="D2426" i="36"/>
  <c r="D2425" i="36"/>
  <c r="D2424" i="36"/>
  <c r="D2423" i="36"/>
  <c r="D2422" i="36"/>
  <c r="D2421" i="36"/>
  <c r="D2420" i="36"/>
  <c r="D2419" i="36"/>
  <c r="D2418" i="36"/>
  <c r="D2417" i="36"/>
  <c r="D2416" i="36"/>
  <c r="D2415" i="36"/>
  <c r="D2414" i="36"/>
  <c r="D2413" i="36"/>
  <c r="D2412" i="36"/>
  <c r="D2411" i="36"/>
  <c r="D2410" i="36"/>
  <c r="D2409" i="36"/>
  <c r="D2408" i="36"/>
  <c r="D2407" i="36"/>
  <c r="D2406" i="36"/>
  <c r="D2405" i="36"/>
  <c r="D2404" i="36"/>
  <c r="D2403" i="36"/>
  <c r="D2402" i="36"/>
  <c r="D2401" i="36"/>
  <c r="D2400" i="36"/>
  <c r="D2399" i="36"/>
  <c r="D2398" i="36"/>
  <c r="D2397" i="36"/>
  <c r="D2396" i="36"/>
  <c r="D2395" i="36"/>
  <c r="D2394" i="36"/>
  <c r="D2393" i="36"/>
  <c r="D2392" i="36"/>
  <c r="D2391" i="36"/>
  <c r="D2390" i="36"/>
  <c r="D2389" i="36"/>
  <c r="D2388" i="36"/>
  <c r="D2387" i="36"/>
  <c r="D2386" i="36"/>
  <c r="D2385" i="36"/>
  <c r="D2384" i="36"/>
  <c r="D2383" i="36"/>
  <c r="D2382" i="36"/>
  <c r="D2381" i="36"/>
  <c r="D2380" i="36"/>
  <c r="D2379" i="36"/>
  <c r="D2378" i="36"/>
  <c r="D2377" i="36"/>
  <c r="D2376" i="36"/>
  <c r="D2375" i="36"/>
  <c r="D2374" i="36"/>
  <c r="D2373" i="36"/>
  <c r="D2372" i="36"/>
  <c r="D2371" i="36"/>
  <c r="D2370" i="36"/>
  <c r="D2369" i="36"/>
  <c r="D2368" i="36"/>
  <c r="D2367" i="36"/>
  <c r="D2366" i="36"/>
  <c r="D2365" i="36"/>
  <c r="D2364" i="36"/>
  <c r="D2363" i="36"/>
  <c r="D2362" i="36"/>
  <c r="D2361" i="36"/>
  <c r="D2360" i="36"/>
  <c r="D2359" i="36"/>
  <c r="D2358" i="36"/>
  <c r="D2357" i="36"/>
  <c r="D2356" i="36"/>
  <c r="D2355" i="36"/>
  <c r="D2354" i="36"/>
  <c r="D2353" i="36"/>
  <c r="D2352" i="36"/>
  <c r="D2351" i="36"/>
  <c r="D2350" i="36"/>
  <c r="D2349" i="36"/>
  <c r="D2348" i="36"/>
  <c r="D2347" i="36"/>
  <c r="D2346" i="36"/>
  <c r="D2345" i="36"/>
  <c r="D2344" i="36"/>
  <c r="D2343" i="36"/>
  <c r="D2342" i="36"/>
  <c r="D2341" i="36"/>
  <c r="D2340" i="36"/>
  <c r="D2339" i="36"/>
  <c r="D2338" i="36"/>
  <c r="D2337" i="36"/>
  <c r="D2336" i="36"/>
  <c r="D2335" i="36"/>
  <c r="D2334" i="36"/>
  <c r="D2333" i="36"/>
  <c r="D2332" i="36"/>
  <c r="D2331" i="36"/>
  <c r="D2330" i="36"/>
  <c r="D2329" i="36"/>
  <c r="D2328" i="36"/>
  <c r="D2327" i="36"/>
  <c r="D2326" i="36"/>
  <c r="D2325" i="36"/>
  <c r="D2324" i="36"/>
  <c r="D2323" i="36"/>
  <c r="D2322" i="36"/>
  <c r="D2321" i="36"/>
  <c r="D2320" i="36"/>
  <c r="D2319" i="36"/>
  <c r="D2318" i="36"/>
  <c r="D2317" i="36"/>
  <c r="D2316" i="36"/>
  <c r="D2315" i="36"/>
  <c r="D2314" i="36"/>
  <c r="D2313" i="36"/>
  <c r="D2312" i="36"/>
  <c r="D2311" i="36"/>
  <c r="D2310" i="36"/>
  <c r="D2309" i="36"/>
  <c r="D2308" i="36"/>
  <c r="D2307" i="36"/>
  <c r="D2306" i="36"/>
  <c r="D2305" i="36"/>
  <c r="D2304" i="36"/>
  <c r="D2303" i="36"/>
  <c r="D2302" i="36"/>
  <c r="D2301" i="36"/>
  <c r="D2300" i="36"/>
  <c r="D2299" i="36"/>
  <c r="D2298" i="36"/>
  <c r="D2297" i="36"/>
  <c r="D2296" i="36"/>
  <c r="D2295" i="36"/>
  <c r="D2294" i="36"/>
  <c r="D2293" i="36"/>
  <c r="D2292" i="36"/>
  <c r="D2291" i="36"/>
  <c r="D2290" i="36"/>
  <c r="D2289" i="36"/>
  <c r="D2288" i="36"/>
  <c r="D2287" i="36"/>
  <c r="D2286" i="36"/>
  <c r="D2285" i="36"/>
  <c r="D2284" i="36"/>
  <c r="D2283" i="36"/>
  <c r="D2282" i="36"/>
  <c r="D2281" i="36"/>
  <c r="D2280" i="36"/>
  <c r="D2279" i="36"/>
  <c r="D2278" i="36"/>
  <c r="D2277" i="36"/>
  <c r="D2276" i="36"/>
  <c r="D2275" i="36"/>
  <c r="D2274" i="36"/>
  <c r="D2273" i="36"/>
  <c r="D2272" i="36"/>
  <c r="D2271" i="36"/>
  <c r="D2270" i="36"/>
  <c r="D2269" i="36"/>
  <c r="D2268" i="36"/>
  <c r="D2267" i="36"/>
  <c r="D2266" i="36"/>
  <c r="D2265" i="36"/>
  <c r="D2264" i="36"/>
  <c r="D2263" i="36"/>
  <c r="D2262" i="36"/>
  <c r="D2261" i="36"/>
  <c r="D2260" i="36"/>
  <c r="D2259" i="36"/>
  <c r="D2258" i="36"/>
  <c r="D2257" i="36"/>
  <c r="D2256" i="36"/>
  <c r="D2255" i="36"/>
  <c r="D2254" i="36"/>
  <c r="D2253" i="36"/>
  <c r="D2252" i="36"/>
  <c r="D2251" i="36"/>
  <c r="D2250" i="36"/>
  <c r="D2249" i="36"/>
  <c r="D2248" i="36"/>
  <c r="D2247" i="36"/>
  <c r="D2246" i="36"/>
  <c r="D2245" i="36"/>
  <c r="D2244" i="36"/>
  <c r="D2243" i="36"/>
  <c r="D2242" i="36"/>
  <c r="D2241" i="36"/>
  <c r="D2240" i="36"/>
  <c r="D2239" i="36"/>
  <c r="D2238" i="36"/>
  <c r="D2237" i="36"/>
  <c r="D2236" i="36"/>
  <c r="D2235" i="36"/>
  <c r="D2234" i="36"/>
  <c r="D2233" i="36"/>
  <c r="D2232" i="36"/>
  <c r="D2231" i="36"/>
  <c r="D2230" i="36"/>
  <c r="D2229" i="36"/>
  <c r="D2228" i="36"/>
  <c r="D2227" i="36"/>
  <c r="D2226" i="36"/>
  <c r="D2225" i="36"/>
  <c r="D2224" i="36"/>
  <c r="D2223" i="36"/>
  <c r="D2222" i="36"/>
  <c r="D2221" i="36"/>
  <c r="D2220" i="36"/>
  <c r="D2219" i="36"/>
  <c r="D2218" i="36"/>
  <c r="D2217" i="36"/>
  <c r="D2216" i="36"/>
  <c r="D2215" i="36"/>
  <c r="D2214" i="36"/>
  <c r="D2213" i="36"/>
  <c r="D2212" i="36"/>
  <c r="D2211" i="36"/>
  <c r="D2210" i="36"/>
  <c r="D2209" i="36"/>
  <c r="D2208" i="36"/>
  <c r="D2207" i="36"/>
  <c r="D2206" i="36"/>
  <c r="D2205" i="36"/>
  <c r="D2204" i="36"/>
  <c r="D2203" i="36"/>
  <c r="D2202" i="36"/>
  <c r="D2201" i="36"/>
  <c r="D2200" i="36"/>
  <c r="D2199" i="36"/>
  <c r="D2198" i="36"/>
  <c r="D2197" i="36"/>
  <c r="D2196" i="36"/>
  <c r="D2195" i="36"/>
  <c r="D2194" i="36"/>
  <c r="D2193" i="36"/>
  <c r="D2192" i="36"/>
  <c r="D2191" i="36"/>
  <c r="D2190" i="36"/>
  <c r="D2189" i="36"/>
  <c r="D2188" i="36"/>
  <c r="D2187" i="36"/>
  <c r="D2186" i="36"/>
  <c r="D2185" i="36"/>
  <c r="D2184" i="36"/>
  <c r="D2183" i="36"/>
  <c r="D2182" i="36"/>
  <c r="D2181" i="36"/>
  <c r="D2180" i="36"/>
  <c r="D2179" i="36"/>
  <c r="D2178" i="36"/>
  <c r="D2177" i="36"/>
  <c r="D2176" i="36"/>
  <c r="D2175" i="36"/>
  <c r="D2174" i="36"/>
  <c r="D2173" i="36"/>
  <c r="D2172" i="36"/>
  <c r="D2171" i="36"/>
  <c r="D2170" i="36"/>
  <c r="D2169" i="36"/>
  <c r="D2168" i="36"/>
  <c r="D2167" i="36"/>
  <c r="D2166" i="36"/>
  <c r="D2165" i="36"/>
  <c r="D2164" i="36"/>
  <c r="D2163" i="36"/>
  <c r="D2162" i="36"/>
  <c r="D2161" i="36"/>
  <c r="D2160" i="36"/>
  <c r="D2159" i="36"/>
  <c r="D2158" i="36"/>
  <c r="D2157" i="36"/>
  <c r="D2156" i="36"/>
  <c r="D2155" i="36"/>
  <c r="D2154" i="36"/>
  <c r="D2153" i="36"/>
  <c r="D2152" i="36"/>
  <c r="D2151" i="36"/>
  <c r="D2150" i="36"/>
  <c r="D2149" i="36"/>
  <c r="D2148" i="36"/>
  <c r="D2147" i="36"/>
  <c r="D2146" i="36"/>
  <c r="D2145" i="36"/>
  <c r="D2144" i="36"/>
  <c r="D2143" i="36"/>
  <c r="D2142" i="36"/>
  <c r="D2141" i="36"/>
  <c r="D2140" i="36"/>
  <c r="D2139" i="36"/>
  <c r="D2138" i="36"/>
  <c r="D2137" i="36"/>
  <c r="D2136" i="36"/>
  <c r="D2135" i="36"/>
  <c r="D2134" i="36"/>
  <c r="D2133" i="36"/>
  <c r="D2132" i="36"/>
  <c r="D2131" i="36"/>
  <c r="D2130" i="36"/>
  <c r="D2129" i="36"/>
  <c r="D2128" i="36"/>
  <c r="D2127" i="36"/>
  <c r="D2126" i="36"/>
  <c r="D2125" i="36"/>
  <c r="D2124" i="36"/>
  <c r="D2123" i="36"/>
  <c r="D2122" i="36"/>
  <c r="D2121" i="36"/>
  <c r="D2120" i="36"/>
  <c r="D2119" i="36"/>
  <c r="D2118" i="36"/>
  <c r="D2117" i="36"/>
  <c r="D2116" i="36"/>
  <c r="D2115" i="36"/>
  <c r="D2114" i="36"/>
  <c r="D2113" i="36"/>
  <c r="D2112" i="36"/>
  <c r="D2111" i="36"/>
  <c r="D2110" i="36"/>
  <c r="D2109" i="36"/>
  <c r="D2108" i="36"/>
  <c r="D2107" i="36"/>
  <c r="D2106" i="36"/>
  <c r="D2105" i="36"/>
  <c r="D2104" i="36"/>
  <c r="D2103" i="36"/>
  <c r="D2102" i="36"/>
  <c r="D2101" i="36"/>
  <c r="D2100" i="36"/>
  <c r="D2099" i="36"/>
  <c r="D2098" i="36"/>
  <c r="D2097" i="36"/>
  <c r="D2096" i="36"/>
  <c r="D2095" i="36"/>
  <c r="D2094" i="36"/>
  <c r="D2093" i="36"/>
  <c r="D2092" i="36"/>
  <c r="D2091" i="36"/>
  <c r="D2090" i="36"/>
  <c r="D2089" i="36"/>
  <c r="D2088" i="36"/>
  <c r="D2087" i="36"/>
  <c r="D2086" i="36"/>
  <c r="D2085" i="36"/>
  <c r="D2084" i="36"/>
  <c r="D2083" i="36"/>
  <c r="D2082" i="36"/>
  <c r="D2081" i="36"/>
  <c r="D2080" i="36"/>
  <c r="D2079" i="36"/>
  <c r="D2078" i="36"/>
  <c r="D2077" i="36"/>
  <c r="D2076" i="36"/>
  <c r="D2075" i="36"/>
  <c r="D2074" i="36"/>
  <c r="D2073" i="36"/>
  <c r="D2072" i="36"/>
  <c r="D2071" i="36"/>
  <c r="D2070" i="36"/>
  <c r="D2069" i="36"/>
  <c r="D2068" i="36"/>
  <c r="D2067" i="36"/>
  <c r="D2066" i="36"/>
  <c r="D2065" i="36"/>
  <c r="D2064" i="36"/>
  <c r="D2063" i="36"/>
  <c r="D2062" i="36"/>
  <c r="D2061" i="36"/>
  <c r="D2060" i="36"/>
  <c r="D2059" i="36"/>
  <c r="D2058" i="36"/>
  <c r="D2057" i="36"/>
  <c r="D2056" i="36"/>
  <c r="D2055" i="36"/>
  <c r="D2054" i="36"/>
  <c r="D2053" i="36"/>
  <c r="D2052" i="36"/>
  <c r="D2051" i="36"/>
  <c r="D2050" i="36"/>
  <c r="D2049" i="36"/>
  <c r="D2048" i="36"/>
  <c r="D2047" i="36"/>
  <c r="D2046" i="36"/>
  <c r="D2045" i="36"/>
  <c r="D2044" i="36"/>
  <c r="D2043" i="36"/>
  <c r="D2042" i="36"/>
  <c r="D2041" i="36"/>
  <c r="D2040" i="36"/>
  <c r="D2039" i="36"/>
  <c r="D2038" i="36"/>
  <c r="D2037" i="36"/>
  <c r="D2036" i="36"/>
  <c r="D2035" i="36"/>
  <c r="D2034" i="36"/>
  <c r="D2033" i="36"/>
  <c r="D2032" i="36"/>
  <c r="D2031" i="36"/>
  <c r="D2030" i="36"/>
  <c r="D2029" i="36"/>
  <c r="D2028" i="36"/>
  <c r="D2027" i="36"/>
  <c r="D2026" i="36"/>
  <c r="D2025" i="36"/>
  <c r="D2024" i="36"/>
  <c r="D2023" i="36"/>
  <c r="D2022" i="36"/>
  <c r="D2021" i="36"/>
  <c r="D2020" i="36"/>
  <c r="D2019" i="36"/>
  <c r="D2018" i="36"/>
  <c r="D2017" i="36"/>
  <c r="D2016" i="36"/>
  <c r="D2015" i="36"/>
  <c r="D2014" i="36"/>
  <c r="D2013" i="36"/>
  <c r="D2012" i="36"/>
  <c r="D2011" i="36"/>
  <c r="D2010" i="36"/>
  <c r="D2009" i="36"/>
  <c r="D2008" i="36"/>
  <c r="D2007" i="36"/>
  <c r="D2006" i="36"/>
  <c r="D2005" i="36"/>
  <c r="D2004" i="36"/>
  <c r="D2003" i="36"/>
  <c r="D2002" i="36"/>
  <c r="D2001" i="36"/>
  <c r="D2000" i="36"/>
  <c r="D1999" i="36"/>
  <c r="D1998" i="36"/>
  <c r="D1997" i="36"/>
  <c r="D1996" i="36"/>
  <c r="D1995" i="36"/>
  <c r="D1994" i="36"/>
  <c r="D1993" i="36"/>
  <c r="D1992" i="36"/>
  <c r="D1991" i="36"/>
  <c r="D1990" i="36"/>
  <c r="D1989" i="36"/>
  <c r="D1988" i="36"/>
  <c r="D1987" i="36"/>
  <c r="D1986" i="36"/>
  <c r="D1985" i="36"/>
  <c r="D1984" i="36"/>
  <c r="D1983" i="36"/>
  <c r="D1982" i="36"/>
  <c r="D1981" i="36"/>
  <c r="D1980" i="36"/>
  <c r="D1979" i="36"/>
  <c r="D1978" i="36"/>
  <c r="D1977" i="36"/>
  <c r="D1976" i="36"/>
  <c r="D1975" i="36"/>
  <c r="D1974" i="36"/>
  <c r="D1973" i="36"/>
  <c r="D1972" i="36"/>
  <c r="D1971" i="36"/>
  <c r="D1970" i="36"/>
  <c r="D1969" i="36"/>
  <c r="D1968" i="36"/>
  <c r="D1967" i="36"/>
  <c r="D1966" i="36"/>
  <c r="D1965" i="36"/>
  <c r="D1964" i="36"/>
  <c r="D1963" i="36"/>
  <c r="D1962" i="36"/>
  <c r="D1961" i="36"/>
  <c r="D1960" i="36"/>
  <c r="D1959" i="36"/>
  <c r="D1958" i="36"/>
  <c r="D1957" i="36"/>
  <c r="D1956" i="36"/>
  <c r="D1955" i="36"/>
  <c r="D1954" i="36"/>
  <c r="D1953" i="36"/>
  <c r="D1952" i="36"/>
  <c r="D1951" i="36"/>
  <c r="D1950" i="36"/>
  <c r="D1949" i="36"/>
  <c r="D1948" i="36"/>
  <c r="D1947" i="36"/>
  <c r="D1946" i="36"/>
  <c r="D1945" i="36"/>
  <c r="D1944" i="36"/>
  <c r="D1943" i="36"/>
  <c r="D1942" i="36"/>
  <c r="D1941" i="36"/>
  <c r="D1940" i="36"/>
  <c r="D1939" i="36"/>
  <c r="D1938" i="36"/>
  <c r="D1937" i="36"/>
  <c r="D1936" i="36"/>
  <c r="D1935" i="36"/>
  <c r="D1934" i="36"/>
  <c r="D1933" i="36"/>
  <c r="D1932" i="36"/>
  <c r="D1931" i="36"/>
  <c r="D1930" i="36"/>
  <c r="D1929" i="36"/>
  <c r="D1928" i="36"/>
  <c r="D1927" i="36"/>
  <c r="D1926" i="36"/>
  <c r="D1925" i="36"/>
  <c r="D1924" i="36"/>
  <c r="D1923" i="36"/>
  <c r="D1922" i="36"/>
  <c r="D1921" i="36"/>
  <c r="D1920" i="36"/>
  <c r="D1919" i="36"/>
  <c r="D1918" i="36"/>
  <c r="D1917" i="36"/>
  <c r="D1916" i="36"/>
  <c r="D1915" i="36"/>
  <c r="D1914" i="36"/>
  <c r="D1913" i="36"/>
  <c r="D1912" i="36"/>
  <c r="D1911" i="36"/>
  <c r="D1910" i="36"/>
  <c r="D1909" i="36"/>
  <c r="D1908" i="36"/>
  <c r="D1907" i="36"/>
  <c r="D1906" i="36"/>
  <c r="D1905" i="36"/>
  <c r="D1904" i="36"/>
  <c r="D1903" i="36"/>
  <c r="D1902" i="36"/>
  <c r="D1901" i="36"/>
  <c r="D1900" i="36"/>
  <c r="D1899" i="36"/>
  <c r="D1898" i="36"/>
  <c r="D1897" i="36"/>
  <c r="D1896" i="36"/>
  <c r="D1895" i="36"/>
  <c r="D1894" i="36"/>
  <c r="D1893" i="36"/>
  <c r="D1892" i="36"/>
  <c r="D1891" i="36"/>
  <c r="D1890" i="36"/>
  <c r="D1889" i="36"/>
  <c r="D1888" i="36"/>
  <c r="D1887" i="36"/>
  <c r="D1886" i="36"/>
  <c r="D1885" i="36"/>
  <c r="D1884" i="36"/>
  <c r="D1883" i="36"/>
  <c r="D1882" i="36"/>
  <c r="D1881" i="36"/>
  <c r="D1880" i="36"/>
  <c r="D1879" i="36"/>
  <c r="D1878" i="36"/>
  <c r="D1877" i="36"/>
  <c r="D1876" i="36"/>
  <c r="D1875" i="36"/>
  <c r="D1874" i="36"/>
  <c r="D1873" i="36"/>
  <c r="D1872" i="36"/>
  <c r="D1871" i="36"/>
  <c r="D1870" i="36"/>
  <c r="D1869" i="36"/>
  <c r="D1868" i="36"/>
  <c r="D1867" i="36"/>
  <c r="D1866" i="36"/>
  <c r="D1865" i="36"/>
  <c r="D1864" i="36"/>
  <c r="D1863" i="36"/>
  <c r="D1862" i="36"/>
  <c r="D1861" i="36"/>
  <c r="D1860" i="36"/>
  <c r="D1859" i="36"/>
  <c r="D1858" i="36"/>
  <c r="D1857" i="36"/>
  <c r="D1856" i="36"/>
  <c r="D1855" i="36"/>
  <c r="D1854" i="36"/>
  <c r="D1853" i="36"/>
  <c r="D1852" i="36"/>
  <c r="D1851" i="36"/>
  <c r="D1850" i="36"/>
  <c r="D1849" i="36"/>
  <c r="D1848" i="36"/>
  <c r="D1847" i="36"/>
  <c r="D1846" i="36"/>
  <c r="D1845" i="36"/>
  <c r="D1844" i="36"/>
  <c r="D1843" i="36"/>
  <c r="D1842" i="36"/>
  <c r="D1841" i="36"/>
  <c r="D1840" i="36"/>
  <c r="D1839" i="36"/>
  <c r="D1838" i="36"/>
  <c r="D1837" i="36"/>
  <c r="D1836" i="36"/>
  <c r="D1835" i="36"/>
  <c r="D1834" i="36"/>
  <c r="D1833" i="36"/>
  <c r="D1832" i="36"/>
  <c r="D1831" i="36"/>
  <c r="D1830" i="36"/>
  <c r="D1829" i="36"/>
  <c r="D1828" i="36"/>
  <c r="D1827" i="36"/>
  <c r="D1826" i="36"/>
  <c r="D1825" i="36"/>
  <c r="D1824" i="36"/>
  <c r="D1823" i="36"/>
  <c r="D1822" i="36"/>
  <c r="D1821" i="36"/>
  <c r="D1820" i="36"/>
  <c r="D1819" i="36"/>
  <c r="D1818" i="36"/>
  <c r="D1817" i="36"/>
  <c r="D1816" i="36"/>
  <c r="D1815" i="36"/>
  <c r="D1814" i="36"/>
  <c r="D1813" i="36"/>
  <c r="D1812" i="36"/>
  <c r="D1811" i="36"/>
  <c r="D1810" i="36"/>
  <c r="D1809" i="36"/>
  <c r="D1808" i="36"/>
  <c r="D1807" i="36"/>
  <c r="D1806" i="36"/>
  <c r="D1805" i="36"/>
  <c r="D1804" i="36"/>
  <c r="D1803" i="36"/>
  <c r="D1802" i="36"/>
  <c r="D1801" i="36"/>
  <c r="D1800" i="36"/>
  <c r="D1799" i="36"/>
  <c r="D1798" i="36"/>
  <c r="D1797" i="36"/>
  <c r="D1796" i="36"/>
  <c r="D1795" i="36"/>
  <c r="D1794" i="36"/>
  <c r="D1793" i="36"/>
  <c r="D1792" i="36"/>
  <c r="D1791" i="36"/>
  <c r="D1790" i="36"/>
  <c r="D1789" i="36"/>
  <c r="D1788" i="36"/>
  <c r="D1787" i="36"/>
  <c r="D1786" i="36"/>
  <c r="D1785" i="36"/>
  <c r="D1784" i="36"/>
  <c r="D1783" i="36"/>
  <c r="D1782" i="36"/>
  <c r="D1781" i="36"/>
  <c r="D1780" i="36"/>
  <c r="D1779" i="36"/>
  <c r="D1778" i="36"/>
  <c r="D1777" i="36"/>
  <c r="D1776" i="36"/>
  <c r="D1775" i="36"/>
  <c r="D1774" i="36"/>
  <c r="D1773" i="36"/>
  <c r="D1772" i="36"/>
  <c r="D1771" i="36"/>
  <c r="D1770" i="36"/>
  <c r="D1769" i="36"/>
  <c r="D1768" i="36"/>
  <c r="D1767" i="36"/>
  <c r="D1766" i="36"/>
  <c r="D1765" i="36"/>
  <c r="D1764" i="36"/>
  <c r="D1763" i="36"/>
  <c r="D1762" i="36"/>
  <c r="D1761" i="36"/>
  <c r="D1760" i="36"/>
  <c r="D1759" i="36"/>
  <c r="D1758" i="36"/>
  <c r="D1757" i="36"/>
  <c r="D1756" i="36"/>
  <c r="D1755" i="36"/>
  <c r="D1754" i="36"/>
  <c r="D1753" i="36"/>
  <c r="D1752" i="36"/>
  <c r="D1751" i="36"/>
  <c r="D1750" i="36"/>
  <c r="D1749" i="36"/>
  <c r="D1748" i="36"/>
  <c r="D1747" i="36"/>
  <c r="D1746" i="36"/>
  <c r="D1745" i="36"/>
  <c r="D1744" i="36"/>
  <c r="D1743" i="36"/>
  <c r="D1742" i="36"/>
  <c r="D1741" i="36"/>
  <c r="D1740" i="36"/>
  <c r="D1739" i="36"/>
  <c r="D1738" i="36"/>
  <c r="D1737" i="36"/>
  <c r="D1736" i="36"/>
  <c r="D1735" i="36"/>
  <c r="D1734" i="36"/>
  <c r="D1733" i="36"/>
  <c r="D1732" i="36"/>
  <c r="D1731" i="36"/>
  <c r="D1730" i="36"/>
  <c r="D1729" i="36"/>
  <c r="D1728" i="36"/>
  <c r="D1727" i="36"/>
  <c r="D1726" i="36"/>
  <c r="D1725" i="36"/>
  <c r="D1724" i="36"/>
  <c r="D1723" i="36"/>
  <c r="D1722" i="36"/>
  <c r="D1721" i="36"/>
  <c r="D1720" i="36"/>
  <c r="D1719" i="36"/>
  <c r="D1718" i="36"/>
  <c r="D1717" i="36"/>
  <c r="D1716" i="36"/>
  <c r="D1715" i="36"/>
  <c r="D1714" i="36"/>
  <c r="D1713" i="36"/>
  <c r="D1712" i="36"/>
  <c r="D1711" i="36"/>
  <c r="D1710" i="36"/>
  <c r="D1709" i="36"/>
  <c r="D1708" i="36"/>
  <c r="D1707" i="36"/>
  <c r="D1706" i="36"/>
  <c r="D1705" i="36"/>
  <c r="D1704" i="36"/>
  <c r="D1703" i="36"/>
  <c r="D1702" i="36"/>
  <c r="D1701" i="36"/>
  <c r="D1700" i="36"/>
  <c r="D1699" i="36"/>
  <c r="D1698" i="36"/>
  <c r="D1697" i="36"/>
  <c r="D1696" i="36"/>
  <c r="D1695" i="36"/>
  <c r="D1694" i="36"/>
  <c r="D1693" i="36"/>
  <c r="D1692" i="36"/>
  <c r="D1691" i="36"/>
  <c r="D1690" i="36"/>
  <c r="D1689" i="36"/>
  <c r="D1688" i="36"/>
  <c r="D1687" i="36"/>
  <c r="D1686" i="36"/>
  <c r="D1685" i="36"/>
  <c r="D1684" i="36"/>
  <c r="D1683" i="36"/>
  <c r="D1682" i="36"/>
  <c r="D1681" i="36"/>
  <c r="D1680" i="36"/>
  <c r="D1679" i="36"/>
  <c r="D1678" i="36"/>
  <c r="D1677" i="36"/>
  <c r="D1676" i="36"/>
  <c r="D1675" i="36"/>
  <c r="D1674" i="36"/>
  <c r="D1673" i="36"/>
  <c r="D1672" i="36"/>
  <c r="D1671" i="36"/>
  <c r="D1670" i="36"/>
  <c r="D1669" i="36"/>
  <c r="D1668" i="36"/>
  <c r="D1667" i="36"/>
  <c r="D1666" i="36"/>
  <c r="D1665" i="36"/>
  <c r="D1664" i="36"/>
  <c r="D1663" i="36"/>
  <c r="D1662" i="36"/>
  <c r="D1661" i="36"/>
  <c r="D1660" i="36"/>
  <c r="D1659" i="36"/>
  <c r="D1658" i="36"/>
  <c r="D1657" i="36"/>
  <c r="D1656" i="36"/>
  <c r="D1655" i="36"/>
  <c r="D1654" i="36"/>
  <c r="D1653" i="36"/>
  <c r="D1652" i="36"/>
  <c r="D1651" i="36"/>
  <c r="D1650" i="36"/>
  <c r="D1649" i="36"/>
  <c r="D1648" i="36"/>
  <c r="D1647" i="36"/>
  <c r="D1646" i="36"/>
  <c r="D1645" i="36"/>
  <c r="D1644" i="36"/>
  <c r="D1643" i="36"/>
  <c r="D1642" i="36"/>
  <c r="D1641" i="36"/>
  <c r="D1640" i="36"/>
  <c r="D1639" i="36"/>
  <c r="D1638" i="36"/>
  <c r="D1637" i="36"/>
  <c r="D1636" i="36"/>
  <c r="D1635" i="36"/>
  <c r="D1634" i="36"/>
  <c r="D1633" i="36"/>
  <c r="D1632" i="36"/>
  <c r="D1631" i="36"/>
  <c r="D1630" i="36"/>
  <c r="D1629" i="36"/>
  <c r="D1628" i="36"/>
  <c r="D1627" i="36"/>
  <c r="D1626" i="36"/>
  <c r="D1625" i="36"/>
  <c r="D1624" i="36"/>
  <c r="D1623" i="36"/>
  <c r="D1622" i="36"/>
  <c r="D1621" i="36"/>
  <c r="D1620" i="36"/>
  <c r="D1619" i="36"/>
  <c r="D1618" i="36"/>
  <c r="D1617" i="36"/>
  <c r="D1616" i="36"/>
  <c r="D1615" i="36"/>
  <c r="D1614" i="36"/>
  <c r="D1613" i="36"/>
  <c r="D1612" i="36"/>
  <c r="D1611" i="36"/>
  <c r="D1610" i="36"/>
  <c r="D1609" i="36"/>
  <c r="D1608" i="36"/>
  <c r="D1607" i="36"/>
  <c r="D1606" i="36"/>
  <c r="D1605" i="36"/>
  <c r="D1604" i="36"/>
  <c r="D1603" i="36"/>
  <c r="D1602" i="36"/>
  <c r="D1601" i="36"/>
  <c r="D1600" i="36"/>
  <c r="D1599" i="36"/>
  <c r="D1598" i="36"/>
  <c r="D1597" i="36"/>
  <c r="D1596" i="36"/>
  <c r="D1595" i="36"/>
  <c r="D1594" i="36"/>
  <c r="D1593" i="36"/>
  <c r="D1592" i="36"/>
  <c r="D1591" i="36"/>
  <c r="D1590" i="36"/>
  <c r="D1589" i="36"/>
  <c r="D1588" i="36"/>
  <c r="D1587" i="36"/>
  <c r="D1586" i="36"/>
  <c r="D1585" i="36"/>
  <c r="D1584" i="36"/>
  <c r="D1583" i="36"/>
  <c r="D1582" i="36"/>
  <c r="D1581" i="36"/>
  <c r="D1580" i="36"/>
  <c r="D1579" i="36"/>
  <c r="D1578" i="36"/>
  <c r="D1577" i="36"/>
  <c r="D1576" i="36"/>
  <c r="D1575" i="36"/>
  <c r="D1574" i="36"/>
  <c r="D1573" i="36"/>
  <c r="D1572" i="36"/>
  <c r="D1571" i="36"/>
  <c r="D1570" i="36"/>
  <c r="D1569" i="36"/>
  <c r="D1568" i="36"/>
  <c r="D1567" i="36"/>
  <c r="D1566" i="36"/>
  <c r="D1565" i="36"/>
  <c r="D1564" i="36"/>
  <c r="D1563" i="36"/>
  <c r="D1562" i="36"/>
  <c r="D1561" i="36"/>
  <c r="D1560" i="36"/>
  <c r="D1559" i="36"/>
  <c r="D1558" i="36"/>
  <c r="D1557" i="36"/>
  <c r="D1556" i="36"/>
  <c r="D1555" i="36"/>
  <c r="D1554" i="36"/>
  <c r="D1553" i="36"/>
  <c r="D1552" i="36"/>
  <c r="D1551" i="36"/>
  <c r="D1550" i="36"/>
  <c r="D1549" i="36"/>
  <c r="D1548" i="36"/>
  <c r="D1547" i="36"/>
  <c r="D1546" i="36"/>
  <c r="D1545" i="36"/>
  <c r="D1544" i="36"/>
  <c r="D1543" i="36"/>
  <c r="D1542" i="36"/>
  <c r="D1541" i="36"/>
  <c r="D1540" i="36"/>
  <c r="D1539" i="36"/>
  <c r="D1538" i="36"/>
  <c r="D1537" i="36"/>
  <c r="D1536" i="36"/>
  <c r="D1535" i="36"/>
  <c r="D1534" i="36"/>
  <c r="D1533" i="36"/>
  <c r="D1532" i="36"/>
  <c r="D1531" i="36"/>
  <c r="D1530" i="36"/>
  <c r="D1529" i="36"/>
  <c r="D1528" i="36"/>
  <c r="D1527" i="36"/>
  <c r="D1526" i="36"/>
  <c r="D1525" i="36"/>
  <c r="D1524" i="36"/>
  <c r="D1523" i="36"/>
  <c r="D1522" i="36"/>
  <c r="D1521" i="36"/>
  <c r="D1520" i="36"/>
  <c r="D1519" i="36"/>
  <c r="D1518" i="36"/>
  <c r="D1517" i="36"/>
  <c r="D1516" i="36"/>
  <c r="D1515" i="36"/>
  <c r="D1514" i="36"/>
  <c r="D1513" i="36"/>
  <c r="D1512" i="36"/>
  <c r="D1511" i="36"/>
  <c r="D1510" i="36"/>
  <c r="D1509" i="36"/>
  <c r="D1508" i="36"/>
  <c r="D1507" i="36"/>
  <c r="D1506" i="36"/>
  <c r="D1505" i="36"/>
  <c r="D1504" i="36"/>
  <c r="D1503" i="36"/>
  <c r="D1502" i="36"/>
  <c r="D1501" i="36"/>
  <c r="D1500" i="36"/>
  <c r="D1499" i="36"/>
  <c r="D1498" i="36"/>
  <c r="D1497" i="36"/>
  <c r="D1496" i="36"/>
  <c r="D1495" i="36"/>
  <c r="D1494" i="36"/>
  <c r="D1493" i="36"/>
  <c r="D1492" i="36"/>
  <c r="D1491" i="36"/>
  <c r="D1490" i="36"/>
  <c r="D1489" i="36"/>
  <c r="D1488" i="36"/>
  <c r="D1487" i="36"/>
  <c r="D1486" i="36"/>
  <c r="D1485" i="36"/>
  <c r="D1484" i="36"/>
  <c r="D1483" i="36"/>
  <c r="D1482" i="36"/>
  <c r="D1481" i="36"/>
  <c r="D1480" i="36"/>
  <c r="D1479" i="36"/>
  <c r="D1478" i="36"/>
  <c r="D1477" i="36"/>
  <c r="D1476" i="36"/>
  <c r="D1475" i="36"/>
  <c r="D1474" i="36"/>
  <c r="D1473" i="36"/>
  <c r="D1472" i="36"/>
  <c r="D1471" i="36"/>
  <c r="D1470" i="36"/>
  <c r="D1469" i="36"/>
  <c r="D1468" i="36"/>
  <c r="D1467" i="36"/>
  <c r="D1466" i="36"/>
  <c r="D1465" i="36"/>
  <c r="D1464" i="36"/>
  <c r="D1463" i="36"/>
  <c r="D1462" i="36"/>
  <c r="D1461" i="36"/>
  <c r="D1460" i="36"/>
  <c r="D1459" i="36"/>
  <c r="D1458" i="36"/>
  <c r="D1457" i="36"/>
  <c r="D1456" i="36"/>
  <c r="D1455" i="36"/>
  <c r="D1454" i="36"/>
  <c r="D1453" i="36"/>
  <c r="D1452" i="36"/>
  <c r="D1451" i="36"/>
  <c r="D1450" i="36"/>
  <c r="D1449" i="36"/>
  <c r="D1448" i="36"/>
  <c r="D1447" i="36"/>
  <c r="D1446" i="36"/>
  <c r="D1445" i="36"/>
  <c r="D1444" i="36"/>
  <c r="D1443" i="36"/>
  <c r="D1442" i="36"/>
  <c r="D1441" i="36"/>
  <c r="D1440" i="36"/>
  <c r="D1439" i="36"/>
  <c r="D1438" i="36"/>
  <c r="D1437" i="36"/>
  <c r="D1436" i="36"/>
  <c r="D1435" i="36"/>
  <c r="D1434" i="36"/>
  <c r="D1433" i="36"/>
  <c r="D1432" i="36"/>
  <c r="D1431" i="36"/>
  <c r="D1430" i="36"/>
  <c r="D1429" i="36"/>
  <c r="D1428" i="36"/>
  <c r="D1427" i="36"/>
  <c r="D1426" i="36"/>
  <c r="D1425" i="36"/>
  <c r="D1424" i="36"/>
  <c r="D1423" i="36"/>
  <c r="D1422" i="36"/>
  <c r="D1421" i="36"/>
  <c r="D1420" i="36"/>
  <c r="D1419" i="36"/>
  <c r="D1418" i="36"/>
  <c r="D1417" i="36"/>
  <c r="D1416" i="36"/>
  <c r="D1415" i="36"/>
  <c r="D1414" i="36"/>
  <c r="D1413" i="36"/>
  <c r="D1412" i="36"/>
  <c r="D1411" i="36"/>
  <c r="D1410" i="36"/>
  <c r="D1409" i="36"/>
  <c r="D1408" i="36"/>
  <c r="D1407" i="36"/>
  <c r="D1406" i="36"/>
  <c r="D1405" i="36"/>
  <c r="D1404" i="36"/>
  <c r="D1403" i="36"/>
  <c r="D1402" i="36"/>
  <c r="D1401" i="36"/>
  <c r="D1400" i="36"/>
  <c r="D1399" i="36"/>
  <c r="D1398" i="36"/>
  <c r="D1397" i="36"/>
  <c r="D1396" i="36"/>
  <c r="D1395" i="36"/>
  <c r="D1394" i="36"/>
  <c r="D1393" i="36"/>
  <c r="D1392" i="36"/>
  <c r="D1391" i="36"/>
  <c r="D1390" i="36"/>
  <c r="D1389" i="36"/>
  <c r="D1388" i="36"/>
  <c r="D1387" i="36"/>
  <c r="D1386" i="36"/>
  <c r="D1385" i="36"/>
  <c r="D1384" i="36"/>
  <c r="D1383" i="36"/>
  <c r="D1382" i="36"/>
  <c r="D1381" i="36"/>
  <c r="D1380" i="36"/>
  <c r="D1379" i="36"/>
  <c r="D1378" i="36"/>
  <c r="D1377" i="36"/>
  <c r="D1376" i="36"/>
  <c r="D1375" i="36"/>
  <c r="D1374" i="36"/>
  <c r="D1373" i="36"/>
  <c r="D1372" i="36"/>
  <c r="D1371" i="36"/>
  <c r="D1370" i="36"/>
  <c r="D1369" i="36"/>
  <c r="D1368" i="36"/>
  <c r="D1367" i="36"/>
  <c r="D1366" i="36"/>
  <c r="D1365" i="36"/>
  <c r="D1364" i="36"/>
  <c r="D1363" i="36"/>
  <c r="D1362" i="36"/>
  <c r="D1361" i="36"/>
  <c r="D1360" i="36"/>
  <c r="D1359" i="36"/>
  <c r="D1358" i="36"/>
  <c r="D1357" i="36"/>
  <c r="D1356" i="36"/>
  <c r="D1355" i="36"/>
  <c r="D1354" i="36"/>
  <c r="D1353" i="36"/>
  <c r="D1352" i="36"/>
  <c r="D1351" i="36"/>
  <c r="D1350" i="36"/>
  <c r="D1349" i="36"/>
  <c r="D1348" i="36"/>
  <c r="D1347" i="36"/>
  <c r="D1346" i="36"/>
  <c r="D1345" i="36"/>
  <c r="D1344" i="36"/>
  <c r="D1343" i="36"/>
  <c r="D1342" i="36"/>
  <c r="D1341" i="36"/>
  <c r="D1340" i="36"/>
  <c r="D1339" i="36"/>
  <c r="D1338" i="36"/>
  <c r="D1337" i="36"/>
  <c r="D1336" i="36"/>
  <c r="D1335" i="36"/>
  <c r="D1334" i="36"/>
  <c r="D1333" i="36"/>
  <c r="D1332" i="36"/>
  <c r="D1331" i="36"/>
  <c r="D1330" i="36"/>
  <c r="D1329" i="36"/>
  <c r="D1328" i="36"/>
  <c r="D1327" i="36"/>
  <c r="D1326" i="36"/>
  <c r="D1325" i="36"/>
  <c r="D1324" i="36"/>
  <c r="D1323" i="36"/>
  <c r="D1322" i="36"/>
  <c r="D1321" i="36"/>
  <c r="D1320" i="36"/>
  <c r="D1319" i="36"/>
  <c r="D1318" i="36"/>
  <c r="D1317" i="36"/>
  <c r="D1316" i="36"/>
  <c r="D1315" i="36"/>
  <c r="D1314" i="36"/>
  <c r="D1313" i="36"/>
  <c r="D1312" i="36"/>
  <c r="D1311" i="36"/>
  <c r="D1310" i="36"/>
  <c r="D1309" i="36"/>
  <c r="D1308" i="36"/>
  <c r="D1307" i="36"/>
  <c r="D1306" i="36"/>
  <c r="D1305" i="36"/>
  <c r="D1304" i="36"/>
  <c r="D1303" i="36"/>
  <c r="D1302" i="36"/>
  <c r="D1301" i="36"/>
  <c r="D1300" i="36"/>
  <c r="D1299" i="36"/>
  <c r="D1298" i="36"/>
  <c r="D1297" i="36"/>
  <c r="D1296" i="36"/>
  <c r="D1295" i="36"/>
  <c r="D1294" i="36"/>
  <c r="D1293" i="36"/>
  <c r="D1292" i="36"/>
  <c r="D1291" i="36"/>
  <c r="D1290" i="36"/>
  <c r="D1289" i="36"/>
  <c r="D1288" i="36"/>
  <c r="D1287" i="36"/>
  <c r="D1286" i="36"/>
  <c r="D1285" i="36"/>
  <c r="D1284" i="36"/>
  <c r="D1283" i="36"/>
  <c r="D1282" i="36"/>
  <c r="D1281" i="36"/>
  <c r="D1280" i="36"/>
  <c r="D1279" i="36"/>
  <c r="D1278" i="36"/>
  <c r="D1277" i="36"/>
  <c r="D1276" i="36"/>
  <c r="D1275" i="36"/>
  <c r="D1274" i="36"/>
  <c r="D1273" i="36"/>
  <c r="D1272" i="36"/>
  <c r="D1271" i="36"/>
  <c r="D1270" i="36"/>
  <c r="D1269" i="36"/>
  <c r="D1268" i="36"/>
  <c r="D1267" i="36"/>
  <c r="D1266" i="36"/>
  <c r="D1265" i="36"/>
  <c r="D1264" i="36"/>
  <c r="D1263" i="36"/>
  <c r="D1262" i="36"/>
  <c r="D1261" i="36"/>
  <c r="D1260" i="36"/>
  <c r="D1259" i="36"/>
  <c r="D1258" i="36"/>
  <c r="D1257" i="36"/>
  <c r="D1256" i="36"/>
  <c r="D1255" i="36"/>
  <c r="D1254" i="36"/>
  <c r="D1253" i="36"/>
  <c r="D1252" i="36"/>
  <c r="D1251" i="36"/>
  <c r="D1250" i="36"/>
  <c r="D1249" i="36"/>
  <c r="D1248" i="36"/>
  <c r="D1247" i="36"/>
  <c r="D1246" i="36"/>
  <c r="D1245" i="36"/>
  <c r="D1244" i="36"/>
  <c r="D1243" i="36"/>
  <c r="D1242" i="36"/>
  <c r="D1241" i="36"/>
  <c r="D1240" i="36"/>
  <c r="D1239" i="36"/>
  <c r="D1238" i="36"/>
  <c r="D1237" i="36"/>
  <c r="D1236" i="36"/>
  <c r="D1235" i="36"/>
  <c r="D1234" i="36"/>
  <c r="D1233" i="36"/>
  <c r="D1232" i="36"/>
  <c r="D1231" i="36"/>
  <c r="D1230" i="36"/>
  <c r="D1229" i="36"/>
  <c r="D1228" i="36"/>
  <c r="D1227" i="36"/>
  <c r="D1226" i="36"/>
  <c r="D1225" i="36"/>
  <c r="D1224" i="36"/>
  <c r="D1223" i="36"/>
  <c r="D1222" i="36"/>
  <c r="D1221" i="36"/>
  <c r="D1220" i="36"/>
  <c r="D1219" i="36"/>
  <c r="D1218" i="36"/>
  <c r="D1217" i="36"/>
  <c r="D1216" i="36"/>
  <c r="D1215" i="36"/>
  <c r="D1214" i="36"/>
  <c r="D1213" i="36"/>
  <c r="D1212" i="36"/>
  <c r="D1211" i="36"/>
  <c r="D1210" i="36"/>
  <c r="D1209" i="36"/>
  <c r="D1208" i="36"/>
  <c r="D1207" i="36"/>
  <c r="D1206" i="36"/>
  <c r="D1205" i="36"/>
  <c r="D1204" i="36"/>
  <c r="D1203" i="36"/>
  <c r="D1202" i="36"/>
  <c r="D1201" i="36"/>
  <c r="D1200" i="36"/>
  <c r="D1199" i="36"/>
  <c r="D1198" i="36"/>
  <c r="D1197" i="36"/>
  <c r="D1196" i="36"/>
  <c r="D1195" i="36"/>
  <c r="D1194" i="36"/>
  <c r="D1193" i="36"/>
  <c r="D1192" i="36"/>
  <c r="D1191" i="36"/>
  <c r="D1190" i="36"/>
  <c r="D1189" i="36"/>
  <c r="D1188" i="36"/>
  <c r="D1187" i="36"/>
  <c r="D1186" i="36"/>
  <c r="D1185" i="36"/>
  <c r="D1184" i="36"/>
  <c r="D1183" i="36"/>
  <c r="D1182" i="36"/>
  <c r="D1181" i="36"/>
  <c r="D1180" i="36"/>
  <c r="D1179" i="36"/>
  <c r="D1178" i="36"/>
  <c r="D1177" i="36"/>
  <c r="D1176" i="36"/>
  <c r="D1175" i="36"/>
  <c r="D1174" i="36"/>
  <c r="D1173" i="36"/>
  <c r="D1172" i="36"/>
  <c r="D1171" i="36"/>
  <c r="D1170" i="36"/>
  <c r="D1169" i="36"/>
  <c r="D1168" i="36"/>
  <c r="D1167" i="36"/>
  <c r="D1166" i="36"/>
  <c r="D1165" i="36"/>
  <c r="D1164" i="36"/>
  <c r="D1163" i="36"/>
  <c r="D1162" i="36"/>
  <c r="D1161" i="36"/>
  <c r="D1160" i="36"/>
  <c r="D1159" i="36"/>
  <c r="D1158" i="36"/>
  <c r="D1157" i="36"/>
  <c r="D1156" i="36"/>
  <c r="D1155" i="36"/>
  <c r="D1154" i="36"/>
  <c r="D1153" i="36"/>
  <c r="D1152" i="36"/>
  <c r="D1151" i="36"/>
  <c r="D1150" i="36"/>
  <c r="D1149" i="36"/>
  <c r="D1148" i="36"/>
  <c r="D1147" i="36"/>
  <c r="D1146" i="36"/>
  <c r="D1145" i="36"/>
  <c r="D1144" i="36"/>
  <c r="D1143" i="36"/>
  <c r="D1142" i="36"/>
  <c r="D1141" i="36"/>
  <c r="D1140" i="36"/>
  <c r="D1139" i="36"/>
  <c r="D1138" i="36"/>
  <c r="D1137" i="36"/>
  <c r="D1136" i="36"/>
  <c r="D1135" i="36"/>
  <c r="D1134" i="36"/>
  <c r="D1133" i="36"/>
  <c r="D1132" i="36"/>
  <c r="D1131" i="36"/>
  <c r="D1130" i="36"/>
  <c r="D1129" i="36"/>
  <c r="D1128" i="36"/>
  <c r="D1127" i="36"/>
  <c r="D1126" i="36"/>
  <c r="D1125" i="36"/>
  <c r="D1124" i="36"/>
  <c r="D1123" i="36"/>
  <c r="D1122" i="36"/>
  <c r="D1121" i="36"/>
  <c r="D1120" i="36"/>
  <c r="D1119" i="36"/>
  <c r="D1118" i="36"/>
  <c r="D1117" i="36"/>
  <c r="D1116" i="36"/>
  <c r="D1115" i="36"/>
  <c r="D1114" i="36"/>
  <c r="D1113" i="36"/>
  <c r="D1112" i="36"/>
  <c r="D1111" i="36"/>
  <c r="D1110" i="36"/>
  <c r="D1109" i="36"/>
  <c r="D1108" i="36"/>
  <c r="D1107" i="36"/>
  <c r="D1106" i="36"/>
  <c r="D1105" i="36"/>
  <c r="D1104" i="36"/>
  <c r="D1103" i="36"/>
  <c r="D1102" i="36"/>
  <c r="D1101" i="36"/>
  <c r="D1100" i="36"/>
  <c r="D1099" i="36"/>
  <c r="D1098" i="36"/>
  <c r="D1097" i="36"/>
  <c r="D1096" i="36"/>
  <c r="D1095" i="36"/>
  <c r="D1094" i="36"/>
  <c r="D1093" i="36"/>
  <c r="D1092" i="36"/>
  <c r="D1091" i="36"/>
  <c r="D1090" i="36"/>
  <c r="D1089" i="36"/>
  <c r="D1088" i="36"/>
  <c r="D1087" i="36"/>
  <c r="D1086" i="36"/>
  <c r="D1085" i="36"/>
  <c r="D1084" i="36"/>
  <c r="D1083" i="36"/>
  <c r="D1082" i="36"/>
  <c r="D1081" i="36"/>
  <c r="D1080" i="36"/>
  <c r="D1079" i="36"/>
  <c r="D1078" i="36"/>
  <c r="D1077" i="36"/>
  <c r="D1076" i="36"/>
  <c r="D1075" i="36"/>
  <c r="D1074" i="36"/>
  <c r="D1073" i="36"/>
  <c r="D1072" i="36"/>
  <c r="D1071" i="36"/>
  <c r="D1070" i="36"/>
  <c r="D1069" i="36"/>
  <c r="D1068" i="36"/>
  <c r="D1067" i="36"/>
  <c r="D1066" i="36"/>
  <c r="D1065" i="36"/>
  <c r="D1064" i="36"/>
  <c r="D1063" i="36"/>
  <c r="D1062" i="36"/>
  <c r="D1061" i="36"/>
  <c r="D1060" i="36"/>
  <c r="D1059" i="36"/>
  <c r="D1058" i="36"/>
  <c r="D1057" i="36"/>
  <c r="D1056" i="36"/>
  <c r="D1055" i="36"/>
  <c r="D1054" i="36"/>
  <c r="D1053" i="36"/>
  <c r="D1052" i="36"/>
  <c r="D1051" i="36"/>
  <c r="D1050" i="36"/>
  <c r="D1049" i="36"/>
  <c r="D1048" i="36"/>
  <c r="D1047" i="36"/>
  <c r="D1046" i="36"/>
  <c r="D1045" i="36"/>
  <c r="D1044" i="36"/>
  <c r="D1043" i="36"/>
  <c r="D1042" i="36"/>
  <c r="D1041" i="36"/>
  <c r="D1040" i="36"/>
  <c r="D1039" i="36"/>
  <c r="D1038" i="36"/>
  <c r="D1037" i="36"/>
  <c r="D1036" i="36"/>
  <c r="D1035" i="36"/>
  <c r="D1034" i="36"/>
  <c r="D1033" i="36"/>
  <c r="D1032" i="36"/>
  <c r="D1031" i="36"/>
  <c r="D1030" i="36"/>
  <c r="D1029" i="36"/>
  <c r="D1028" i="36"/>
  <c r="D1027" i="36"/>
  <c r="D1026" i="36"/>
  <c r="D1025" i="36"/>
  <c r="D1024" i="36"/>
  <c r="D1023" i="36"/>
  <c r="D1022" i="36"/>
  <c r="D1021" i="36"/>
  <c r="D1020" i="36"/>
  <c r="D1019" i="36"/>
  <c r="D1018" i="36"/>
  <c r="D1017" i="36"/>
  <c r="D1016" i="36"/>
  <c r="D1015" i="36"/>
  <c r="D1014" i="36"/>
  <c r="D1013" i="36"/>
  <c r="D1012" i="36"/>
  <c r="D1011" i="36"/>
  <c r="D1010" i="36"/>
  <c r="D1009" i="36"/>
  <c r="D1008" i="36"/>
  <c r="D1007" i="36"/>
  <c r="D1006" i="36"/>
  <c r="D1005" i="36"/>
  <c r="D1004" i="36"/>
  <c r="D1003" i="36"/>
  <c r="D1002" i="36"/>
  <c r="D1001" i="36"/>
  <c r="D1000" i="36"/>
  <c r="D999" i="36"/>
  <c r="D998" i="36"/>
  <c r="D997" i="36"/>
  <c r="D996" i="36"/>
  <c r="D995" i="36"/>
  <c r="D994" i="36"/>
  <c r="D993" i="36"/>
  <c r="D992" i="36"/>
  <c r="D991" i="36"/>
  <c r="D990" i="36"/>
  <c r="D989" i="36"/>
  <c r="D988" i="36"/>
  <c r="D987" i="36"/>
  <c r="D986" i="36"/>
  <c r="D985" i="36"/>
  <c r="D984" i="36"/>
  <c r="D983" i="36"/>
  <c r="D982" i="36"/>
  <c r="D981" i="36"/>
  <c r="D980" i="36"/>
  <c r="D979" i="36"/>
  <c r="D978" i="36"/>
  <c r="D977" i="36"/>
  <c r="D976" i="36"/>
  <c r="D975" i="36"/>
  <c r="D974" i="36"/>
  <c r="D973" i="36"/>
  <c r="D972" i="36"/>
  <c r="D971" i="36"/>
  <c r="D970" i="36"/>
  <c r="D969" i="36"/>
  <c r="D968" i="36"/>
  <c r="D967" i="36"/>
  <c r="D966" i="36"/>
  <c r="D965" i="36"/>
  <c r="D964" i="36"/>
  <c r="D963" i="36"/>
  <c r="D962" i="36"/>
  <c r="D961" i="36"/>
  <c r="D960" i="36"/>
  <c r="D959" i="36"/>
  <c r="D958" i="36"/>
  <c r="D957" i="36"/>
  <c r="D956" i="36"/>
  <c r="D955" i="36"/>
  <c r="D954" i="36"/>
  <c r="D953" i="36"/>
  <c r="D952" i="36"/>
  <c r="D951" i="36"/>
  <c r="D950" i="36"/>
  <c r="D949" i="36"/>
  <c r="D948" i="36"/>
  <c r="D947" i="36"/>
  <c r="D946" i="36"/>
  <c r="D945" i="36"/>
  <c r="D944" i="36"/>
  <c r="D943" i="36"/>
  <c r="D942" i="36"/>
  <c r="D941" i="36"/>
  <c r="D940" i="36"/>
  <c r="D939" i="36"/>
  <c r="D938" i="36"/>
  <c r="D937" i="36"/>
  <c r="D936" i="36"/>
  <c r="D935" i="36"/>
  <c r="D934" i="36"/>
  <c r="D933" i="36"/>
  <c r="D932" i="36"/>
  <c r="D931" i="36"/>
  <c r="D930" i="36"/>
  <c r="D929" i="36"/>
  <c r="D928" i="36"/>
  <c r="D927" i="36"/>
  <c r="D926" i="36"/>
  <c r="D925" i="36"/>
  <c r="D924" i="36"/>
  <c r="D923" i="36"/>
  <c r="D922" i="36"/>
  <c r="D921" i="36"/>
  <c r="D920" i="36"/>
  <c r="D919" i="36"/>
  <c r="D918" i="36"/>
  <c r="D917" i="36"/>
  <c r="D916" i="36"/>
  <c r="D915" i="36"/>
  <c r="D914" i="36"/>
  <c r="D913" i="36"/>
  <c r="D912" i="36"/>
  <c r="D911" i="36"/>
  <c r="D910" i="36"/>
  <c r="D909" i="36"/>
  <c r="D908" i="36"/>
  <c r="D907" i="36"/>
  <c r="D906" i="36"/>
  <c r="D905" i="36"/>
  <c r="D904" i="36"/>
  <c r="D903" i="36"/>
  <c r="D902" i="36"/>
  <c r="D901" i="36"/>
  <c r="D900" i="36"/>
  <c r="D899" i="36"/>
  <c r="D898" i="36"/>
  <c r="D897" i="36"/>
  <c r="D896" i="36"/>
  <c r="D895" i="36"/>
  <c r="D894" i="36"/>
  <c r="D893" i="36"/>
  <c r="D892" i="36"/>
  <c r="D891" i="36"/>
  <c r="D890" i="36"/>
  <c r="D889" i="36"/>
  <c r="D888" i="36"/>
  <c r="D887" i="36"/>
  <c r="D886" i="36"/>
  <c r="D885" i="36"/>
  <c r="D884" i="36"/>
  <c r="D883" i="36"/>
  <c r="D882" i="36"/>
  <c r="D881" i="36"/>
  <c r="D880" i="36"/>
  <c r="D879" i="36"/>
  <c r="D878" i="36"/>
  <c r="D877" i="36"/>
  <c r="D876" i="36"/>
  <c r="D875" i="36"/>
  <c r="D874" i="36"/>
  <c r="D873" i="36"/>
  <c r="D872" i="36"/>
  <c r="D871" i="36"/>
  <c r="D870" i="36"/>
  <c r="D869" i="36"/>
  <c r="D868" i="36"/>
  <c r="D867" i="36"/>
  <c r="D866" i="36"/>
  <c r="D865" i="36"/>
  <c r="D864" i="36"/>
  <c r="D863" i="36"/>
  <c r="D862" i="36"/>
  <c r="D861" i="36"/>
  <c r="D860" i="36"/>
  <c r="D859" i="36"/>
  <c r="D858" i="36"/>
  <c r="D857" i="36"/>
  <c r="D856" i="36"/>
  <c r="D855" i="36"/>
  <c r="D854" i="36"/>
  <c r="D853" i="36"/>
  <c r="D852" i="36"/>
  <c r="D851" i="36"/>
  <c r="D850" i="36"/>
  <c r="D849" i="36"/>
  <c r="D848" i="36"/>
  <c r="D847" i="36"/>
  <c r="D846" i="36"/>
  <c r="D845" i="36"/>
  <c r="D844" i="36"/>
  <c r="D843" i="36"/>
  <c r="D842" i="36"/>
  <c r="D841" i="36"/>
  <c r="D840" i="36"/>
  <c r="D839" i="36"/>
  <c r="D838" i="36"/>
  <c r="D837" i="36"/>
  <c r="D836" i="36"/>
  <c r="D835" i="36"/>
  <c r="D834" i="36"/>
  <c r="D833" i="36"/>
  <c r="D832" i="36"/>
  <c r="D831" i="36"/>
  <c r="D830" i="36"/>
  <c r="D829" i="36"/>
  <c r="D828" i="36"/>
  <c r="D827" i="36"/>
  <c r="D826" i="36"/>
  <c r="D825" i="36"/>
  <c r="D824" i="36"/>
  <c r="D823" i="36"/>
  <c r="D822" i="36"/>
  <c r="D821" i="36"/>
  <c r="D820" i="36"/>
  <c r="D819" i="36"/>
  <c r="D818" i="36"/>
  <c r="D817" i="36"/>
  <c r="D816" i="36"/>
  <c r="D815" i="36"/>
  <c r="D814" i="36"/>
  <c r="D813" i="36"/>
  <c r="D812" i="36"/>
  <c r="D811" i="36"/>
  <c r="D810" i="36"/>
  <c r="D809" i="36"/>
  <c r="D808" i="36"/>
  <c r="D807" i="36"/>
  <c r="D806" i="36"/>
  <c r="D805" i="36"/>
  <c r="D804" i="36"/>
  <c r="D803" i="36"/>
  <c r="D802" i="36"/>
  <c r="D801" i="36"/>
  <c r="D800" i="36"/>
  <c r="D799" i="36"/>
  <c r="D798" i="36"/>
  <c r="D797" i="36"/>
  <c r="D796" i="36"/>
  <c r="D795" i="36"/>
  <c r="D794" i="36"/>
  <c r="D793" i="36"/>
  <c r="D792" i="36"/>
  <c r="D791" i="36"/>
  <c r="D790" i="36"/>
  <c r="D789" i="36"/>
  <c r="D788" i="36"/>
  <c r="D787" i="36"/>
  <c r="D786" i="36"/>
  <c r="D785" i="36"/>
  <c r="D784" i="36"/>
  <c r="D783" i="36"/>
  <c r="D782" i="36"/>
  <c r="D781" i="36"/>
  <c r="D780" i="36"/>
  <c r="D779" i="36"/>
  <c r="D778" i="36"/>
  <c r="D777" i="36"/>
  <c r="D776" i="36"/>
  <c r="D775" i="36"/>
  <c r="D774" i="36"/>
  <c r="D773" i="36"/>
  <c r="D772" i="36"/>
  <c r="D771" i="36"/>
  <c r="D770" i="36"/>
  <c r="D769" i="36"/>
  <c r="D768" i="36"/>
  <c r="D767" i="36"/>
  <c r="D766" i="36"/>
  <c r="D765" i="36"/>
  <c r="D764" i="36"/>
  <c r="D763" i="36"/>
  <c r="D762" i="36"/>
  <c r="D761" i="36"/>
  <c r="D760" i="36"/>
  <c r="D759" i="36"/>
  <c r="D758" i="36"/>
  <c r="D757" i="36"/>
  <c r="D756" i="36"/>
  <c r="D755" i="36"/>
  <c r="D754" i="36"/>
  <c r="D753" i="36"/>
  <c r="D752" i="36"/>
  <c r="D751" i="36"/>
  <c r="D750" i="36"/>
  <c r="D749" i="36"/>
  <c r="D748" i="36"/>
  <c r="D747" i="36"/>
  <c r="D746" i="36"/>
  <c r="D745" i="36"/>
  <c r="D744" i="36"/>
  <c r="D743" i="36"/>
  <c r="D742" i="36"/>
  <c r="D741" i="36"/>
  <c r="D740" i="36"/>
  <c r="D739" i="36"/>
  <c r="D738" i="36"/>
  <c r="D737" i="36"/>
  <c r="D736" i="36"/>
  <c r="D735" i="36"/>
  <c r="D734" i="36"/>
  <c r="D733" i="36"/>
  <c r="D732" i="36"/>
  <c r="D731" i="36"/>
  <c r="D730" i="36"/>
  <c r="D729" i="36"/>
  <c r="D728" i="36"/>
  <c r="D727" i="36"/>
  <c r="D726" i="36"/>
  <c r="D725" i="36"/>
  <c r="D724" i="36"/>
  <c r="D723" i="36"/>
  <c r="D722" i="36"/>
  <c r="D721" i="36"/>
  <c r="D720" i="36"/>
  <c r="D719" i="36"/>
  <c r="D718" i="36"/>
  <c r="D717" i="36"/>
  <c r="D716" i="36"/>
  <c r="D715" i="36"/>
  <c r="D714" i="36"/>
  <c r="D713" i="36"/>
  <c r="D712" i="36"/>
  <c r="D711" i="36"/>
  <c r="D710" i="36"/>
  <c r="D709" i="36"/>
  <c r="D708" i="36"/>
  <c r="D707" i="36"/>
  <c r="D706" i="36"/>
  <c r="D705" i="36"/>
  <c r="D704" i="36"/>
  <c r="D703" i="36"/>
  <c r="D702" i="36"/>
  <c r="D701" i="36"/>
  <c r="D700" i="36"/>
  <c r="D699" i="36"/>
  <c r="D698" i="36"/>
  <c r="D697" i="36"/>
  <c r="D696" i="36"/>
  <c r="D695" i="36"/>
  <c r="D694" i="36"/>
  <c r="D693" i="36"/>
  <c r="D692" i="36"/>
  <c r="D691" i="36"/>
  <c r="D690" i="36"/>
  <c r="D689" i="36"/>
  <c r="D688" i="36"/>
  <c r="D687" i="36"/>
  <c r="D686" i="36"/>
  <c r="D685" i="36"/>
  <c r="D684" i="36"/>
  <c r="D683" i="36"/>
  <c r="D682" i="36"/>
  <c r="D681" i="36"/>
  <c r="D680" i="36"/>
  <c r="D679" i="36"/>
  <c r="D678" i="36"/>
  <c r="D677" i="36"/>
  <c r="D676" i="36"/>
  <c r="D675" i="36"/>
  <c r="D674" i="36"/>
  <c r="D673" i="36"/>
  <c r="D672" i="36"/>
  <c r="D671" i="36"/>
  <c r="D670" i="36"/>
  <c r="D669" i="36"/>
  <c r="D668" i="36"/>
  <c r="D667" i="36"/>
  <c r="D666" i="36"/>
  <c r="D665" i="36"/>
  <c r="D664" i="36"/>
  <c r="D663" i="36"/>
  <c r="D662" i="36"/>
  <c r="D661" i="36"/>
  <c r="D660" i="36"/>
  <c r="D659" i="36"/>
  <c r="D658" i="36"/>
  <c r="D657" i="36"/>
  <c r="D656" i="36"/>
  <c r="D655" i="36"/>
  <c r="D654" i="36"/>
  <c r="D653" i="36"/>
  <c r="D652" i="36"/>
  <c r="D651" i="36"/>
  <c r="D650" i="36"/>
  <c r="D649" i="36"/>
  <c r="D648" i="36"/>
  <c r="D647" i="36"/>
  <c r="D646" i="36"/>
  <c r="D645" i="36"/>
  <c r="D644" i="36"/>
  <c r="D643" i="36"/>
  <c r="D642" i="36"/>
  <c r="D641" i="36"/>
  <c r="D640" i="36"/>
  <c r="D639" i="36"/>
  <c r="D638" i="36"/>
  <c r="D637" i="36"/>
  <c r="D636" i="36"/>
  <c r="D635" i="36"/>
  <c r="D634" i="36"/>
  <c r="D633" i="36"/>
  <c r="D632" i="36"/>
  <c r="D631" i="36"/>
  <c r="D630" i="36"/>
  <c r="D629" i="36"/>
  <c r="D628" i="36"/>
  <c r="D627" i="36"/>
  <c r="D626" i="36"/>
  <c r="D625" i="36"/>
  <c r="D624" i="36"/>
  <c r="D623" i="36"/>
  <c r="D622" i="36"/>
  <c r="D621" i="36"/>
  <c r="D620" i="36"/>
  <c r="D619" i="36"/>
  <c r="D618" i="36"/>
  <c r="D617" i="36"/>
  <c r="D616" i="36"/>
  <c r="D615" i="36"/>
  <c r="D614" i="36"/>
  <c r="D613" i="36"/>
  <c r="D612" i="36"/>
  <c r="D611" i="36"/>
  <c r="D610" i="36"/>
  <c r="D609" i="36"/>
  <c r="D608" i="36"/>
  <c r="D607" i="36"/>
  <c r="D606" i="36"/>
  <c r="D605" i="36"/>
  <c r="D604" i="36"/>
  <c r="D603" i="36"/>
  <c r="D602" i="36"/>
  <c r="D601" i="36"/>
  <c r="D600" i="36"/>
  <c r="D599" i="36"/>
  <c r="D598" i="36"/>
  <c r="D597" i="36"/>
  <c r="D596" i="36"/>
  <c r="D595" i="36"/>
  <c r="D594" i="36"/>
  <c r="D593" i="36"/>
  <c r="D592" i="36"/>
  <c r="D591" i="36"/>
  <c r="D590" i="36"/>
  <c r="D589" i="36"/>
  <c r="D588" i="36"/>
  <c r="D587" i="36"/>
  <c r="D586" i="36"/>
  <c r="D585" i="36"/>
  <c r="D584" i="36"/>
  <c r="D583" i="36"/>
  <c r="D582" i="36"/>
  <c r="D581" i="36"/>
  <c r="D580" i="36"/>
  <c r="D579" i="36"/>
  <c r="D578" i="36"/>
  <c r="D577" i="36"/>
  <c r="D576" i="36"/>
  <c r="D575" i="36"/>
  <c r="D574" i="36"/>
  <c r="D573" i="36"/>
  <c r="D572" i="36"/>
  <c r="D571" i="36"/>
  <c r="D570" i="36"/>
  <c r="D569" i="36"/>
  <c r="D568" i="36"/>
  <c r="D567" i="36"/>
  <c r="D566" i="36"/>
  <c r="D565" i="36"/>
  <c r="D564" i="36"/>
  <c r="D563" i="36"/>
  <c r="D562" i="36"/>
  <c r="D561" i="36"/>
  <c r="D560" i="36"/>
  <c r="D559" i="36"/>
  <c r="D558" i="36"/>
  <c r="D557" i="36"/>
  <c r="D556" i="36"/>
  <c r="D555" i="36"/>
  <c r="D554" i="36"/>
  <c r="D553" i="36"/>
  <c r="D552" i="36"/>
  <c r="D551" i="36"/>
  <c r="D550" i="36"/>
  <c r="D549" i="36"/>
  <c r="D548" i="36"/>
  <c r="D547" i="36"/>
  <c r="D546" i="36"/>
  <c r="D545" i="36"/>
  <c r="D544" i="36"/>
  <c r="D543" i="36"/>
  <c r="D542" i="36"/>
  <c r="D541" i="36"/>
  <c r="D540" i="36"/>
  <c r="D539" i="36"/>
  <c r="D538" i="36"/>
  <c r="D537" i="36"/>
  <c r="D536" i="36"/>
  <c r="D535" i="36"/>
  <c r="D534" i="36"/>
  <c r="D533" i="36"/>
  <c r="D532" i="36"/>
  <c r="D531" i="36"/>
  <c r="D530" i="36"/>
  <c r="D529" i="36"/>
  <c r="D528" i="36"/>
  <c r="D527" i="36"/>
  <c r="D526" i="36"/>
  <c r="D525" i="36"/>
  <c r="D524" i="36"/>
  <c r="D523" i="36"/>
  <c r="D522" i="36"/>
  <c r="D521" i="36"/>
  <c r="D520" i="36"/>
  <c r="D519" i="36"/>
  <c r="D518" i="36"/>
  <c r="D517" i="36"/>
  <c r="D516" i="36"/>
  <c r="D515" i="36"/>
  <c r="D514" i="36"/>
  <c r="D513" i="36"/>
  <c r="D512" i="36"/>
  <c r="D511" i="36"/>
  <c r="D510" i="36"/>
  <c r="D509" i="36"/>
  <c r="D508" i="36"/>
  <c r="D507" i="36"/>
  <c r="D506" i="36"/>
  <c r="D505" i="36"/>
  <c r="D504" i="36"/>
  <c r="D503" i="36"/>
  <c r="D502" i="36"/>
  <c r="D501" i="36"/>
  <c r="D500" i="36"/>
  <c r="D499" i="36"/>
  <c r="D498" i="36"/>
  <c r="D497" i="36"/>
  <c r="D496" i="36"/>
  <c r="D495" i="36"/>
  <c r="D494" i="36"/>
  <c r="D493" i="36"/>
  <c r="D492" i="36"/>
  <c r="D491" i="36"/>
  <c r="D490" i="36"/>
  <c r="D489" i="36"/>
  <c r="D488" i="36"/>
  <c r="D487" i="36"/>
  <c r="D486" i="36"/>
  <c r="D485" i="36"/>
  <c r="D484" i="36"/>
  <c r="D483" i="36"/>
  <c r="D482" i="36"/>
  <c r="D481" i="36"/>
  <c r="D480" i="36"/>
  <c r="D479" i="36"/>
  <c r="D478" i="36"/>
  <c r="D477" i="36"/>
  <c r="D476" i="36"/>
  <c r="D475" i="36"/>
  <c r="D474" i="36"/>
  <c r="D473" i="36"/>
  <c r="D472" i="36"/>
  <c r="D471" i="36"/>
  <c r="D470" i="36"/>
  <c r="D469" i="36"/>
  <c r="D468" i="36"/>
  <c r="D467" i="36"/>
  <c r="D466" i="36"/>
  <c r="D465" i="36"/>
  <c r="D464" i="36"/>
  <c r="D463" i="36"/>
  <c r="D462" i="36"/>
  <c r="D461" i="36"/>
  <c r="D460" i="36"/>
  <c r="D459" i="36"/>
  <c r="D458" i="36"/>
  <c r="D457" i="36"/>
  <c r="D456" i="36"/>
  <c r="D455" i="36"/>
  <c r="D454" i="36"/>
  <c r="D453" i="36"/>
  <c r="D452" i="36"/>
  <c r="D451" i="36"/>
  <c r="D450" i="36"/>
  <c r="D449" i="36"/>
  <c r="D448" i="36"/>
  <c r="D447" i="36"/>
  <c r="D446" i="36"/>
  <c r="D445" i="36"/>
  <c r="D444" i="36"/>
  <c r="D443" i="36"/>
  <c r="D442" i="36"/>
  <c r="D441" i="36"/>
  <c r="D440" i="36"/>
  <c r="D439" i="36"/>
  <c r="D438" i="36"/>
  <c r="D437" i="36"/>
  <c r="D436" i="36"/>
  <c r="D435" i="36"/>
  <c r="D434" i="36"/>
  <c r="D433" i="36"/>
  <c r="D432" i="36"/>
  <c r="D431" i="36"/>
  <c r="D430" i="36"/>
  <c r="D429" i="36"/>
  <c r="D428" i="36"/>
  <c r="D427" i="36"/>
  <c r="D426" i="36"/>
  <c r="D425" i="36"/>
  <c r="D424" i="36"/>
  <c r="D423" i="36"/>
  <c r="D422" i="36"/>
  <c r="D421" i="36"/>
  <c r="D420" i="36"/>
  <c r="D419" i="36"/>
  <c r="D418" i="36"/>
  <c r="D417" i="36"/>
  <c r="D416" i="36"/>
  <c r="D415" i="36"/>
  <c r="D414" i="36"/>
  <c r="D413" i="36"/>
  <c r="D412" i="36"/>
  <c r="D411" i="36"/>
  <c r="D410" i="36"/>
  <c r="D409" i="36"/>
  <c r="D408" i="36"/>
  <c r="D407" i="36"/>
  <c r="D406" i="36"/>
  <c r="D405" i="36"/>
  <c r="D404" i="36"/>
  <c r="D403" i="36"/>
  <c r="D402" i="36"/>
  <c r="D401" i="36"/>
  <c r="D400" i="36"/>
  <c r="D399" i="36"/>
  <c r="D398" i="36"/>
  <c r="D397" i="36"/>
  <c r="D396" i="36"/>
  <c r="D395" i="36"/>
  <c r="D394" i="36"/>
  <c r="D393" i="36"/>
  <c r="D392" i="36"/>
  <c r="D391" i="36"/>
  <c r="D390" i="36"/>
  <c r="D389" i="36"/>
  <c r="D388" i="36"/>
  <c r="D387" i="36"/>
  <c r="D386" i="36"/>
  <c r="D385" i="36"/>
  <c r="D384" i="36"/>
  <c r="D383" i="36"/>
  <c r="D382" i="36"/>
  <c r="D381" i="36"/>
  <c r="D380" i="36"/>
  <c r="D379" i="36"/>
  <c r="D378" i="36"/>
  <c r="D377" i="36"/>
  <c r="D376" i="36"/>
  <c r="D375" i="36"/>
  <c r="D374" i="36"/>
  <c r="D373" i="36"/>
  <c r="D372" i="36"/>
  <c r="D371" i="36"/>
  <c r="D370" i="36"/>
  <c r="D369" i="36"/>
  <c r="D368" i="36"/>
  <c r="D367" i="36"/>
  <c r="D366" i="36"/>
  <c r="D365" i="36"/>
  <c r="D364" i="36"/>
  <c r="D363" i="36"/>
  <c r="D362" i="36"/>
  <c r="D361" i="36"/>
  <c r="D360" i="36"/>
  <c r="D359" i="36"/>
  <c r="D358" i="36"/>
  <c r="D357" i="36"/>
  <c r="D356" i="36"/>
  <c r="D355" i="36"/>
  <c r="D354" i="36"/>
  <c r="D353" i="36"/>
  <c r="D352" i="36"/>
  <c r="D351" i="36"/>
  <c r="D350" i="36"/>
  <c r="D349" i="36"/>
  <c r="D348" i="36"/>
  <c r="D347" i="36"/>
  <c r="D346" i="36"/>
  <c r="D345" i="36"/>
  <c r="D344" i="36"/>
  <c r="D343" i="36"/>
  <c r="D342" i="36"/>
  <c r="D341" i="36"/>
  <c r="D340" i="36"/>
  <c r="D339" i="36"/>
  <c r="D338" i="36"/>
  <c r="D337" i="36"/>
  <c r="D336" i="36"/>
  <c r="D335" i="36"/>
  <c r="D334" i="36"/>
  <c r="D333" i="36"/>
  <c r="D332" i="36"/>
  <c r="D331" i="36"/>
  <c r="D330" i="36"/>
  <c r="D329" i="36"/>
  <c r="D328" i="36"/>
  <c r="D327" i="36"/>
  <c r="D326" i="36"/>
  <c r="D325" i="36"/>
  <c r="D324" i="36"/>
  <c r="D323" i="36"/>
  <c r="D322" i="36"/>
  <c r="D321" i="36"/>
  <c r="D320" i="36"/>
  <c r="D319" i="36"/>
  <c r="D318" i="36"/>
  <c r="D317" i="36"/>
  <c r="D316" i="36"/>
  <c r="D315" i="36"/>
  <c r="D314" i="36"/>
  <c r="D313" i="36"/>
  <c r="D312" i="36"/>
  <c r="D311" i="36"/>
  <c r="D310" i="36"/>
  <c r="D309" i="36"/>
  <c r="D308" i="36"/>
  <c r="D307" i="36"/>
  <c r="D306" i="36"/>
  <c r="D305" i="36"/>
  <c r="D304" i="36"/>
  <c r="D303" i="36"/>
  <c r="D302" i="36"/>
  <c r="D301" i="36"/>
  <c r="D300" i="36"/>
  <c r="D299" i="36"/>
  <c r="D298" i="36"/>
  <c r="D297" i="36"/>
  <c r="D296" i="36"/>
  <c r="D295" i="36"/>
  <c r="D294" i="36"/>
  <c r="D293" i="36"/>
  <c r="D292" i="36"/>
  <c r="D291" i="36"/>
  <c r="D290" i="36"/>
  <c r="D289" i="36"/>
  <c r="D288" i="36"/>
  <c r="D287" i="36"/>
  <c r="D286" i="36"/>
  <c r="D285" i="36"/>
  <c r="D284" i="36"/>
  <c r="D283" i="36"/>
  <c r="D282" i="36"/>
  <c r="D281" i="36"/>
  <c r="D280" i="36"/>
  <c r="D279" i="36"/>
  <c r="D278" i="36"/>
  <c r="D277" i="36"/>
  <c r="D276" i="36"/>
  <c r="D275" i="36"/>
  <c r="D274" i="36"/>
  <c r="D273" i="36"/>
  <c r="D272" i="36"/>
  <c r="D271" i="36"/>
  <c r="D270" i="36"/>
  <c r="D269" i="36"/>
  <c r="D268" i="36"/>
  <c r="D267" i="36"/>
  <c r="D266" i="36"/>
  <c r="D265" i="36"/>
  <c r="D264" i="36"/>
  <c r="D263" i="36"/>
  <c r="D262" i="36"/>
  <c r="D261" i="36"/>
  <c r="D260" i="36"/>
  <c r="D259" i="36"/>
  <c r="D258" i="36"/>
  <c r="D257" i="36"/>
  <c r="D256" i="36"/>
  <c r="D255" i="36"/>
  <c r="D254" i="36"/>
  <c r="D253" i="36"/>
  <c r="D252" i="36"/>
  <c r="D251" i="36"/>
  <c r="D250" i="36"/>
  <c r="D249" i="36"/>
  <c r="D248" i="36"/>
  <c r="D247" i="36"/>
  <c r="D246" i="36"/>
  <c r="D245" i="36"/>
  <c r="D244" i="36"/>
  <c r="D243" i="36"/>
  <c r="D242" i="36"/>
  <c r="D241" i="36"/>
  <c r="D240" i="36"/>
  <c r="D239" i="36"/>
  <c r="D238" i="36"/>
  <c r="D237" i="36"/>
  <c r="D236" i="36"/>
  <c r="D235" i="36"/>
  <c r="D234" i="36"/>
  <c r="D233" i="36"/>
  <c r="D232" i="36"/>
  <c r="D231" i="36"/>
  <c r="D230" i="36"/>
  <c r="D229" i="36"/>
  <c r="D228" i="36"/>
  <c r="D227" i="36"/>
  <c r="D226" i="36"/>
  <c r="D225" i="36"/>
  <c r="D224" i="36"/>
  <c r="D223" i="36"/>
  <c r="D222" i="36"/>
  <c r="D221" i="36"/>
  <c r="D220" i="36"/>
  <c r="D219" i="36"/>
  <c r="D218" i="36"/>
  <c r="D217" i="36"/>
  <c r="D216" i="36"/>
  <c r="D215" i="36"/>
  <c r="D214" i="36"/>
  <c r="D213" i="36"/>
  <c r="D212" i="36"/>
  <c r="D211" i="36"/>
  <c r="D210" i="36"/>
  <c r="D209" i="36"/>
  <c r="D208" i="36"/>
  <c r="D207" i="36"/>
  <c r="D206" i="36"/>
  <c r="D205" i="36"/>
  <c r="D204" i="36"/>
  <c r="D203" i="36"/>
  <c r="D202" i="36"/>
  <c r="D201" i="36"/>
  <c r="D200" i="36"/>
  <c r="D199" i="36"/>
  <c r="D198" i="36"/>
  <c r="D197" i="36"/>
  <c r="D196" i="36"/>
  <c r="D195" i="36"/>
  <c r="D194" i="36"/>
  <c r="D193" i="36"/>
  <c r="D192" i="36"/>
  <c r="D191" i="36"/>
  <c r="D190" i="36"/>
  <c r="D189" i="36"/>
  <c r="D188" i="36"/>
  <c r="D187" i="36"/>
  <c r="D186" i="36"/>
  <c r="D185" i="36"/>
  <c r="D184" i="36"/>
  <c r="D183" i="36"/>
  <c r="D182" i="36"/>
  <c r="D181" i="36"/>
  <c r="D180" i="36"/>
  <c r="D179" i="36"/>
  <c r="D178" i="36"/>
  <c r="D177" i="36"/>
  <c r="D176" i="36"/>
  <c r="D175" i="36"/>
  <c r="D174" i="36"/>
  <c r="D173" i="36"/>
  <c r="D172" i="36"/>
  <c r="D171" i="36"/>
  <c r="D170" i="36"/>
  <c r="D169" i="36"/>
  <c r="D168" i="36"/>
  <c r="D167" i="36"/>
  <c r="D166" i="36"/>
  <c r="D165" i="36"/>
  <c r="D164" i="36"/>
  <c r="D163" i="36"/>
  <c r="D162" i="36"/>
  <c r="D161" i="36"/>
  <c r="D160" i="36"/>
  <c r="D159" i="36"/>
  <c r="D158" i="36"/>
  <c r="D157" i="36"/>
  <c r="D156" i="36"/>
  <c r="D155" i="36"/>
  <c r="D154" i="36"/>
  <c r="D153" i="36"/>
  <c r="D152" i="36"/>
  <c r="D151" i="36"/>
  <c r="D150" i="36"/>
  <c r="D149" i="36"/>
  <c r="D148" i="36"/>
  <c r="D147" i="36"/>
  <c r="D146" i="36"/>
  <c r="D145" i="36"/>
  <c r="D144" i="36"/>
  <c r="D143" i="36"/>
  <c r="D142" i="36"/>
  <c r="D141" i="36"/>
  <c r="D140" i="36"/>
  <c r="D139" i="36"/>
  <c r="D138" i="36"/>
  <c r="D137" i="36"/>
  <c r="D136" i="36"/>
  <c r="D135" i="36"/>
  <c r="D134" i="36"/>
  <c r="D133" i="36"/>
  <c r="D132" i="36"/>
  <c r="D131" i="36"/>
  <c r="D130" i="36"/>
  <c r="D129" i="36"/>
  <c r="D128" i="36"/>
  <c r="D127" i="36"/>
  <c r="D126" i="36"/>
  <c r="D125" i="36"/>
  <c r="D124" i="36"/>
  <c r="D123" i="36"/>
  <c r="D122" i="36"/>
  <c r="D121" i="36"/>
  <c r="D120" i="36"/>
  <c r="D119" i="36"/>
  <c r="D118" i="36"/>
  <c r="D117" i="36"/>
  <c r="D116" i="36"/>
  <c r="D115" i="36"/>
  <c r="D114" i="36"/>
  <c r="D113" i="36"/>
  <c r="D112" i="36"/>
  <c r="D111" i="36"/>
  <c r="D110" i="36"/>
  <c r="D109" i="36"/>
  <c r="D108" i="36"/>
  <c r="D107" i="36"/>
  <c r="D106" i="36"/>
  <c r="D105" i="36"/>
  <c r="D104" i="36"/>
  <c r="D103" i="36"/>
  <c r="D102" i="36"/>
  <c r="D101" i="36"/>
  <c r="D100" i="36"/>
  <c r="D99" i="36"/>
  <c r="D98" i="36"/>
  <c r="D97" i="36"/>
  <c r="D96" i="36"/>
  <c r="D95" i="36"/>
  <c r="D94" i="36"/>
  <c r="D93" i="36"/>
  <c r="D92" i="36"/>
  <c r="D91" i="36"/>
  <c r="D90" i="36"/>
  <c r="D89" i="36"/>
  <c r="D88" i="36"/>
  <c r="D87" i="36"/>
  <c r="D86" i="36"/>
  <c r="D85" i="36"/>
  <c r="D84" i="36"/>
  <c r="D83" i="36"/>
  <c r="D82" i="36"/>
  <c r="D81" i="36"/>
  <c r="D80" i="36"/>
  <c r="D60" i="36"/>
  <c r="D59" i="36"/>
  <c r="D58" i="36"/>
  <c r="D57" i="36"/>
  <c r="D56" i="36"/>
  <c r="D55" i="36"/>
  <c r="D54" i="36"/>
  <c r="D53" i="36"/>
  <c r="D52" i="36"/>
  <c r="D51" i="36"/>
  <c r="D50" i="36"/>
  <c r="D49" i="36"/>
  <c r="D48" i="36"/>
  <c r="D47" i="36"/>
  <c r="D46" i="36"/>
  <c r="D45" i="36"/>
  <c r="D44" i="36"/>
  <c r="D43" i="36"/>
  <c r="D42" i="36"/>
  <c r="D41" i="36"/>
  <c r="D40" i="36"/>
  <c r="D39" i="36"/>
  <c r="D38" i="36"/>
  <c r="D37" i="36"/>
  <c r="D36" i="36"/>
  <c r="D35" i="36"/>
  <c r="D34" i="36"/>
  <c r="D33" i="36"/>
  <c r="D32" i="36"/>
  <c r="D31" i="36"/>
  <c r="D30" i="36"/>
  <c r="D29" i="36"/>
  <c r="D28" i="36"/>
  <c r="D27" i="36"/>
  <c r="D26" i="36"/>
  <c r="D25" i="36"/>
  <c r="D24" i="36"/>
  <c r="D23" i="36"/>
  <c r="D22" i="36"/>
  <c r="D21" i="36"/>
  <c r="I20" i="36"/>
  <c r="J20" i="36" s="1"/>
  <c r="K20" i="36" s="1"/>
  <c r="H20" i="36"/>
  <c r="D20" i="36"/>
  <c r="I19" i="36"/>
  <c r="J19" i="36" s="1"/>
  <c r="K19" i="36" s="1"/>
  <c r="H19" i="36"/>
  <c r="D19" i="36"/>
  <c r="I18" i="36"/>
  <c r="J18" i="36" s="1"/>
  <c r="K18" i="36" s="1"/>
  <c r="H18" i="36"/>
  <c r="D18" i="36"/>
  <c r="I17" i="36"/>
  <c r="J17" i="36" s="1"/>
  <c r="K17" i="36" s="1"/>
  <c r="H17" i="36"/>
  <c r="D17" i="36"/>
  <c r="D16" i="36"/>
  <c r="D15" i="36"/>
  <c r="D14" i="36"/>
  <c r="K13" i="36"/>
  <c r="D13" i="36"/>
  <c r="K12" i="36"/>
  <c r="D12" i="36"/>
  <c r="K11" i="36"/>
  <c r="D11" i="36"/>
  <c r="K10" i="36"/>
  <c r="D10" i="36"/>
  <c r="P13" i="33"/>
  <c r="O13" i="33" s="1"/>
  <c r="N13" i="33"/>
  <c r="M13" i="33" s="1"/>
  <c r="P15" i="33"/>
  <c r="O15" i="33" s="1"/>
  <c r="N15" i="33"/>
  <c r="M15" i="33" s="1"/>
  <c r="P14" i="33"/>
  <c r="O14" i="33" s="1"/>
  <c r="N14" i="33"/>
  <c r="M14" i="33" s="1"/>
  <c r="K34" i="6"/>
  <c r="F11" i="21" s="1"/>
  <c r="O16" i="33"/>
  <c r="M16" i="33"/>
  <c r="B58" i="16" l="1"/>
  <c r="B40" i="16"/>
  <c r="H2393" i="37"/>
  <c r="L46" i="44"/>
  <c r="G46" i="44"/>
  <c r="D46" i="44"/>
  <c r="I46" i="44"/>
  <c r="F46" i="44"/>
  <c r="E46" i="44"/>
  <c r="J46" i="44"/>
  <c r="H46" i="44"/>
  <c r="K46" i="44"/>
  <c r="E103" i="6"/>
  <c r="F103" i="6"/>
  <c r="H127" i="37"/>
  <c r="H2109" i="37"/>
  <c r="H2166" i="37"/>
  <c r="H1148" i="37"/>
  <c r="H422" i="37"/>
  <c r="H714" i="37"/>
  <c r="H1350" i="37"/>
  <c r="H1552" i="37"/>
  <c r="H2225" i="37"/>
  <c r="H572" i="37"/>
  <c r="H960" i="37"/>
  <c r="H680" i="37"/>
  <c r="H1116" i="37"/>
  <c r="H1304" i="37"/>
  <c r="H541" i="37"/>
  <c r="H2041" i="37"/>
  <c r="H1182" i="37"/>
  <c r="H378" i="37"/>
  <c r="H870" i="37"/>
  <c r="H1472" i="37"/>
  <c r="H1722" i="37"/>
  <c r="H2031" i="37"/>
  <c r="H2421" i="37"/>
  <c r="H356" i="37"/>
  <c r="H1974" i="37"/>
  <c r="H2352" i="37"/>
  <c r="H193" i="37"/>
  <c r="H650" i="37"/>
  <c r="H1026" i="37"/>
  <c r="H312" i="37"/>
  <c r="H804" i="37"/>
  <c r="H992" i="37"/>
  <c r="H496" i="37"/>
  <c r="H836" i="37"/>
  <c r="H1272" i="37"/>
  <c r="H1770" i="37"/>
  <c r="H474" i="37"/>
  <c r="H626" i="37"/>
  <c r="H24" i="37"/>
  <c r="H31" i="37"/>
  <c r="H149" i="37"/>
  <c r="H172" i="37"/>
  <c r="H290" i="37"/>
  <c r="H17" i="37"/>
  <c r="H142" i="37"/>
  <c r="H371" i="37"/>
  <c r="H392" i="37"/>
  <c r="H829" i="37"/>
  <c r="H862" i="37"/>
  <c r="H985" i="37"/>
  <c r="H1018" i="37"/>
  <c r="H1074" i="37"/>
  <c r="H1141" i="37"/>
  <c r="H1174" i="37"/>
  <c r="H1230" i="37"/>
  <c r="H1264" i="37"/>
  <c r="H1624" i="37"/>
  <c r="H1853" i="37"/>
  <c r="H2136" i="37"/>
  <c r="H68" i="37"/>
  <c r="H186" i="37"/>
  <c r="H415" i="37"/>
  <c r="H534" i="37"/>
  <c r="H588" i="37"/>
  <c r="H763" i="37"/>
  <c r="H919" i="37"/>
  <c r="H1297" i="37"/>
  <c r="H1410" i="37"/>
  <c r="H1499" i="37"/>
  <c r="H1614" i="37"/>
  <c r="H1694" i="37"/>
  <c r="H1807" i="37"/>
  <c r="H2263" i="37"/>
  <c r="H2322" i="37"/>
  <c r="H12" i="37"/>
  <c r="H90" i="37"/>
  <c r="H208" i="37"/>
  <c r="H252" i="37"/>
  <c r="H274" i="37"/>
  <c r="H437" i="37"/>
  <c r="H611" i="37"/>
  <c r="H665" i="37"/>
  <c r="H698" i="37"/>
  <c r="H730" i="37"/>
  <c r="H976" i="37"/>
  <c r="H1132" i="37"/>
  <c r="H1165" i="37"/>
  <c r="H1332" i="37"/>
  <c r="H1489" i="37"/>
  <c r="H1946" i="37"/>
  <c r="H2371" i="37"/>
  <c r="H28" i="37"/>
  <c r="H134" i="37"/>
  <c r="H319" i="37"/>
  <c r="H460" i="37"/>
  <c r="H481" i="37"/>
  <c r="H821" i="37"/>
  <c r="H854" i="37"/>
  <c r="H886" i="37"/>
  <c r="H1010" i="37"/>
  <c r="H1366" i="37"/>
  <c r="H1685" i="37"/>
  <c r="H1798" i="37"/>
  <c r="H1890" i="37"/>
  <c r="H156" i="37"/>
  <c r="H364" i="37"/>
  <c r="H385" i="37"/>
  <c r="H503" i="37"/>
  <c r="H580" i="37"/>
  <c r="H634" i="37"/>
  <c r="H755" i="37"/>
  <c r="H1067" i="37"/>
  <c r="H1223" i="37"/>
  <c r="H1289" i="37"/>
  <c r="H1402" i="37"/>
  <c r="H1606" i="37"/>
  <c r="H1937" i="37"/>
  <c r="H2060" i="37"/>
  <c r="H2243" i="37"/>
  <c r="H2451" i="37"/>
  <c r="H38" i="37"/>
  <c r="H61" i="37"/>
  <c r="H179" i="37"/>
  <c r="H200" i="37"/>
  <c r="H408" i="37"/>
  <c r="H527" i="37"/>
  <c r="H548" i="37"/>
  <c r="H722" i="37"/>
  <c r="H812" i="37"/>
  <c r="H877" i="37"/>
  <c r="H968" i="37"/>
  <c r="H1033" i="37"/>
  <c r="H1124" i="37"/>
  <c r="H1189" i="37"/>
  <c r="H1436" i="37"/>
  <c r="H1481" i="37"/>
  <c r="H1560" i="37"/>
  <c r="H2118" i="37"/>
  <c r="H2175" i="37"/>
  <c r="H2441" i="37"/>
  <c r="H83" i="37"/>
  <c r="H104" i="37"/>
  <c r="H245" i="37"/>
  <c r="H430" i="37"/>
  <c r="H604" i="37"/>
  <c r="H658" i="37"/>
  <c r="H779" i="37"/>
  <c r="H935" i="37"/>
  <c r="H1091" i="37"/>
  <c r="H1247" i="37"/>
  <c r="H1280" i="37"/>
  <c r="H1358" i="37"/>
  <c r="H1732" i="37"/>
  <c r="H1778" i="37"/>
  <c r="H1928" i="37"/>
  <c r="H2051" i="37"/>
  <c r="H2234" i="37"/>
  <c r="H76" i="37"/>
  <c r="H97" i="37"/>
  <c r="H215" i="37"/>
  <c r="H238" i="37"/>
  <c r="H259" i="37"/>
  <c r="H444" i="37"/>
  <c r="H618" i="37"/>
  <c r="H1418" i="37"/>
  <c r="H1464" i="37"/>
  <c r="H1507" i="37"/>
  <c r="H1669" i="37"/>
  <c r="H1714" i="37"/>
  <c r="H1862" i="37"/>
  <c r="H2022" i="37"/>
  <c r="H2101" i="37"/>
  <c r="H120" i="37"/>
  <c r="H305" i="37"/>
  <c r="H326" i="37"/>
  <c r="H349" i="37"/>
  <c r="H467" i="37"/>
  <c r="H488" i="37"/>
  <c r="H565" i="37"/>
  <c r="H673" i="37"/>
  <c r="H706" i="37"/>
  <c r="H1966" i="37"/>
  <c r="H2012" i="37"/>
  <c r="H2401" i="37"/>
  <c r="H32" i="37"/>
  <c r="H62" i="37"/>
  <c r="H77" i="37"/>
  <c r="H121" i="37"/>
  <c r="H136" i="37"/>
  <c r="H143" i="37"/>
  <c r="H166" i="37"/>
  <c r="H306" i="37"/>
  <c r="H535" i="37"/>
  <c r="H566" i="37"/>
  <c r="H598" i="37"/>
  <c r="H659" i="37"/>
  <c r="H691" i="37"/>
  <c r="H896" i="37"/>
  <c r="H1117" i="37"/>
  <c r="H1183" i="37"/>
  <c r="H1208" i="37"/>
  <c r="H1224" i="37"/>
  <c r="H1325" i="37"/>
  <c r="H1343" i="37"/>
  <c r="H1351" i="37"/>
  <c r="H1378" i="37"/>
  <c r="H1403" i="37"/>
  <c r="H20" i="37"/>
  <c r="H26" i="37"/>
  <c r="H48" i="37"/>
  <c r="H70" i="37"/>
  <c r="H100" i="37"/>
  <c r="H254" i="37"/>
  <c r="H277" i="37"/>
  <c r="H292" i="37"/>
  <c r="H299" i="37"/>
  <c r="H336" i="37"/>
  <c r="H343" i="37"/>
  <c r="H358" i="37"/>
  <c r="H395" i="37"/>
  <c r="H521" i="37"/>
  <c r="H613" i="37"/>
  <c r="H620" i="37"/>
  <c r="H652" i="37"/>
  <c r="H700" i="37"/>
  <c r="H716" i="37"/>
  <c r="H733" i="37"/>
  <c r="H757" i="37"/>
  <c r="H798" i="37"/>
  <c r="H856" i="37"/>
  <c r="H864" i="37"/>
  <c r="H954" i="37"/>
  <c r="H995" i="37"/>
  <c r="H1020" i="37"/>
  <c r="H1061" i="37"/>
  <c r="H1069" i="37"/>
  <c r="H1110" i="37"/>
  <c r="H1126" i="37"/>
  <c r="H1151" i="37"/>
  <c r="H1159" i="37"/>
  <c r="H1217" i="37"/>
  <c r="H1266" i="37"/>
  <c r="H1387" i="37"/>
  <c r="H1466" i="37"/>
  <c r="H1492" i="37"/>
  <c r="H1510" i="37"/>
  <c r="H1536" i="37"/>
  <c r="H1591" i="37"/>
  <c r="H1626" i="37"/>
  <c r="H1679" i="37"/>
  <c r="H1687" i="37"/>
  <c r="H1763" i="37"/>
  <c r="H1855" i="37"/>
  <c r="H1874" i="37"/>
  <c r="H1912" i="37"/>
  <c r="H1921" i="37"/>
  <c r="H1930" i="37"/>
  <c r="H1987" i="37"/>
  <c r="H2015" i="37"/>
  <c r="H2024" i="37"/>
  <c r="H2034" i="37"/>
  <c r="H2073" i="37"/>
  <c r="H2094" i="37"/>
  <c r="H2103" i="37"/>
  <c r="H2217" i="37"/>
  <c r="H2227" i="37"/>
  <c r="H41" i="37"/>
  <c r="H167" i="37"/>
  <c r="H196" i="37"/>
  <c r="H211" i="37"/>
  <c r="H226" i="37"/>
  <c r="H270" i="37"/>
  <c r="H307" i="37"/>
  <c r="H329" i="37"/>
  <c r="H366" i="37"/>
  <c r="H462" i="37"/>
  <c r="H514" i="37"/>
  <c r="H529" i="37"/>
  <c r="H575" i="37"/>
  <c r="H599" i="37"/>
  <c r="H606" i="37"/>
  <c r="H684" i="37"/>
  <c r="H791" i="37"/>
  <c r="H1045" i="37"/>
  <c r="H1118" i="37"/>
  <c r="H1259" i="37"/>
  <c r="H1283" i="37"/>
  <c r="H1326" i="37"/>
  <c r="H1344" i="37"/>
  <c r="H1379" i="37"/>
  <c r="H1396" i="37"/>
  <c r="H1404" i="37"/>
  <c r="H1450" i="37"/>
  <c r="H1475" i="37"/>
  <c r="H1520" i="37"/>
  <c r="H1600" i="37"/>
  <c r="H1663" i="37"/>
  <c r="H1829" i="37"/>
  <c r="H2112" i="37"/>
  <c r="H2130" i="37"/>
  <c r="H2179" i="37"/>
  <c r="H2287" i="37"/>
  <c r="H2307" i="37"/>
  <c r="H2316" i="37"/>
  <c r="H2395" i="37"/>
  <c r="H56" i="37"/>
  <c r="H71" i="37"/>
  <c r="H94" i="37"/>
  <c r="H101" i="37"/>
  <c r="H108" i="37"/>
  <c r="H115" i="37"/>
  <c r="H130" i="37"/>
  <c r="H234" i="37"/>
  <c r="H241" i="37"/>
  <c r="H248" i="37"/>
  <c r="H278" i="37"/>
  <c r="H293" i="37"/>
  <c r="H300" i="37"/>
  <c r="H337" i="37"/>
  <c r="H344" i="37"/>
  <c r="H352" i="37"/>
  <c r="H359" i="37"/>
  <c r="H382" i="37"/>
  <c r="H389" i="37"/>
  <c r="H396" i="37"/>
  <c r="H403" i="37"/>
  <c r="H418" i="37"/>
  <c r="H522" i="37"/>
  <c r="H545" i="37"/>
  <c r="H568" i="37"/>
  <c r="H584" i="37"/>
  <c r="H592" i="37"/>
  <c r="H614" i="37"/>
  <c r="H630" i="37"/>
  <c r="H653" i="37"/>
  <c r="H677" i="37"/>
  <c r="H701" i="37"/>
  <c r="H726" i="37"/>
  <c r="H758" i="37"/>
  <c r="H784" i="37"/>
  <c r="H799" i="37"/>
  <c r="H857" i="37"/>
  <c r="H882" i="37"/>
  <c r="H914" i="37"/>
  <c r="H940" i="37"/>
  <c r="H955" i="37"/>
  <c r="H1013" i="37"/>
  <c r="H1054" i="37"/>
  <c r="H1070" i="37"/>
  <c r="H1087" i="37"/>
  <c r="H1096" i="37"/>
  <c r="H1111" i="37"/>
  <c r="H1152" i="37"/>
  <c r="H1169" i="37"/>
  <c r="H1210" i="37"/>
  <c r="H1218" i="37"/>
  <c r="H1226" i="37"/>
  <c r="H1243" i="37"/>
  <c r="H1267" i="37"/>
  <c r="H1309" i="37"/>
  <c r="H1318" i="37"/>
  <c r="H1336" i="37"/>
  <c r="H1362" i="37"/>
  <c r="H1388" i="37"/>
  <c r="H1459" i="37"/>
  <c r="H1529" i="37"/>
  <c r="H1584" i="37"/>
  <c r="H1592" i="37"/>
  <c r="H1672" i="37"/>
  <c r="H1680" i="37"/>
  <c r="H1718" i="37"/>
  <c r="H1746" i="37"/>
  <c r="H1754" i="37"/>
  <c r="H1764" i="37"/>
  <c r="H1866" i="37"/>
  <c r="H1885" i="37"/>
  <c r="H1931" i="37"/>
  <c r="H1988" i="37"/>
  <c r="H2016" i="37"/>
  <c r="H2190" i="37"/>
  <c r="H2201" i="37"/>
  <c r="H2267" i="37"/>
  <c r="H2378" i="37"/>
  <c r="H2387" i="37"/>
  <c r="H21" i="37"/>
  <c r="H600" i="37"/>
  <c r="H638" i="37"/>
  <c r="H670" i="37"/>
  <c r="H751" i="37"/>
  <c r="H899" i="37"/>
  <c r="H907" i="37"/>
  <c r="H948" i="37"/>
  <c r="H1038" i="37"/>
  <c r="H1063" i="37"/>
  <c r="H1104" i="37"/>
  <c r="H1145" i="37"/>
  <c r="H1194" i="37"/>
  <c r="H1372" i="37"/>
  <c r="H1451" i="37"/>
  <c r="H1468" i="37"/>
  <c r="H2369" i="37"/>
  <c r="H2437" i="37"/>
  <c r="H2447" i="37"/>
  <c r="H15" i="37"/>
  <c r="H50" i="37"/>
  <c r="H65" i="37"/>
  <c r="H80" i="37"/>
  <c r="H88" i="37"/>
  <c r="H95" i="37"/>
  <c r="H102" i="37"/>
  <c r="H109" i="37"/>
  <c r="H116" i="37"/>
  <c r="H124" i="37"/>
  <c r="H139" i="37"/>
  <c r="H154" i="37"/>
  <c r="H198" i="37"/>
  <c r="H235" i="37"/>
  <c r="H257" i="37"/>
  <c r="H294" i="37"/>
  <c r="H338" i="37"/>
  <c r="H353" i="37"/>
  <c r="H368" i="37"/>
  <c r="H376" i="37"/>
  <c r="H383" i="37"/>
  <c r="H390" i="37"/>
  <c r="H397" i="37"/>
  <c r="H404" i="37"/>
  <c r="H412" i="37"/>
  <c r="H427" i="37"/>
  <c r="H442" i="37"/>
  <c r="H486" i="37"/>
  <c r="H539" i="37"/>
  <c r="H546" i="37"/>
  <c r="H593" i="37"/>
  <c r="H631" i="37"/>
  <c r="H678" i="37"/>
  <c r="H694" i="37"/>
  <c r="H719" i="37"/>
  <c r="H727" i="37"/>
  <c r="H736" i="37"/>
  <c r="H785" i="37"/>
  <c r="H834" i="37"/>
  <c r="H850" i="37"/>
  <c r="H875" i="37"/>
  <c r="H883" i="37"/>
  <c r="H941" i="37"/>
  <c r="H956" i="37"/>
  <c r="H982" i="37"/>
  <c r="H1006" i="37"/>
  <c r="H1031" i="37"/>
  <c r="H1080" i="37"/>
  <c r="H1097" i="37"/>
  <c r="H1112" i="37"/>
  <c r="H1138" i="37"/>
  <c r="H1162" i="37"/>
  <c r="H1187" i="37"/>
  <c r="H1211" i="37"/>
  <c r="H1236" i="37"/>
  <c r="H1244" i="37"/>
  <c r="H1268" i="37"/>
  <c r="H1294" i="37"/>
  <c r="H1302" i="37"/>
  <c r="H1310" i="37"/>
  <c r="H1319" i="37"/>
  <c r="H1355" i="37"/>
  <c r="H1381" i="37"/>
  <c r="H1460" i="37"/>
  <c r="H1495" i="37"/>
  <c r="H1513" i="37"/>
  <c r="H1522" i="37"/>
  <c r="H1566" i="37"/>
  <c r="H1585" i="37"/>
  <c r="H1673" i="37"/>
  <c r="H1700" i="37"/>
  <c r="H1739" i="37"/>
  <c r="H1747" i="37"/>
  <c r="H1822" i="37"/>
  <c r="H1831" i="37"/>
  <c r="H1896" i="37"/>
  <c r="H1924" i="37"/>
  <c r="H1962" i="37"/>
  <c r="H1989" i="37"/>
  <c r="H2057" i="37"/>
  <c r="H2087" i="37"/>
  <c r="H2202" i="37"/>
  <c r="H2309" i="37"/>
  <c r="H2349" i="37"/>
  <c r="H2379" i="37"/>
  <c r="H2469" i="37"/>
  <c r="H36" i="37"/>
  <c r="H58" i="37"/>
  <c r="H176" i="37"/>
  <c r="H228" i="37"/>
  <c r="H272" i="37"/>
  <c r="H280" i="37"/>
  <c r="H287" i="37"/>
  <c r="H310" i="37"/>
  <c r="H317" i="37"/>
  <c r="H324" i="37"/>
  <c r="H331" i="37"/>
  <c r="H346" i="37"/>
  <c r="H450" i="37"/>
  <c r="H457" i="37"/>
  <c r="H464" i="37"/>
  <c r="H494" i="37"/>
  <c r="H509" i="37"/>
  <c r="H516" i="37"/>
  <c r="H532" i="37"/>
  <c r="H554" i="37"/>
  <c r="H562" i="37"/>
  <c r="H578" i="37"/>
  <c r="H586" i="37"/>
  <c r="H601" i="37"/>
  <c r="H624" i="37"/>
  <c r="H647" i="37"/>
  <c r="H671" i="37"/>
  <c r="H686" i="37"/>
  <c r="H712" i="37"/>
  <c r="H744" i="37"/>
  <c r="H769" i="37"/>
  <c r="H818" i="37"/>
  <c r="H827" i="37"/>
  <c r="H842" i="37"/>
  <c r="H868" i="37"/>
  <c r="H900" i="37"/>
  <c r="H925" i="37"/>
  <c r="H949" i="37"/>
  <c r="H974" i="37"/>
  <c r="H998" i="37"/>
  <c r="H1024" i="37"/>
  <c r="H1039" i="37"/>
  <c r="H1056" i="37"/>
  <c r="H1105" i="37"/>
  <c r="H1130" i="37"/>
  <c r="H1154" i="37"/>
  <c r="H1195" i="37"/>
  <c r="H1253" i="37"/>
  <c r="H1261" i="37"/>
  <c r="H1286" i="37"/>
  <c r="H1364" i="37"/>
  <c r="H1390" i="37"/>
  <c r="H1424" i="37"/>
  <c r="H1531" i="37"/>
  <c r="H1594" i="37"/>
  <c r="H1621" i="37"/>
  <c r="H1630" i="37"/>
  <c r="H1649" i="37"/>
  <c r="H1657" i="37"/>
  <c r="H1711" i="37"/>
  <c r="H1805" i="37"/>
  <c r="H1813" i="37"/>
  <c r="H1840" i="37"/>
  <c r="H1878" i="37"/>
  <c r="H2143" i="37"/>
  <c r="H2163" i="37"/>
  <c r="H2250" i="37"/>
  <c r="H2300" i="37"/>
  <c r="H10" i="37"/>
  <c r="H74" i="37"/>
  <c r="H89" i="37"/>
  <c r="H96" i="37"/>
  <c r="H103" i="37"/>
  <c r="H110" i="37"/>
  <c r="H133" i="37"/>
  <c r="H140" i="37"/>
  <c r="H148" i="37"/>
  <c r="H155" i="37"/>
  <c r="H192" i="37"/>
  <c r="H199" i="37"/>
  <c r="H214" i="37"/>
  <c r="H251" i="37"/>
  <c r="H258" i="37"/>
  <c r="H362" i="37"/>
  <c r="H377" i="37"/>
  <c r="H384" i="37"/>
  <c r="H391" i="37"/>
  <c r="H398" i="37"/>
  <c r="H421" i="37"/>
  <c r="H428" i="37"/>
  <c r="H436" i="37"/>
  <c r="H443" i="37"/>
  <c r="H480" i="37"/>
  <c r="H487" i="37"/>
  <c r="H502" i="37"/>
  <c r="H540" i="37"/>
  <c r="H547" i="37"/>
  <c r="H571" i="37"/>
  <c r="H594" i="37"/>
  <c r="H617" i="37"/>
  <c r="H632" i="37"/>
  <c r="H640" i="37"/>
  <c r="H656" i="37"/>
  <c r="H664" i="37"/>
  <c r="H679" i="37"/>
  <c r="H720" i="37"/>
  <c r="H737" i="37"/>
  <c r="H778" i="37"/>
  <c r="H786" i="37"/>
  <c r="H794" i="37"/>
  <c r="H811" i="37"/>
  <c r="H835" i="37"/>
  <c r="H876" i="37"/>
  <c r="H884" i="37"/>
  <c r="H917" i="37"/>
  <c r="H934" i="37"/>
  <c r="H942" i="37"/>
  <c r="H991" i="37"/>
  <c r="H1032" i="37"/>
  <c r="H1048" i="37"/>
  <c r="H1073" i="37"/>
  <c r="H1090" i="37"/>
  <c r="H1098" i="37"/>
  <c r="H1139" i="37"/>
  <c r="H1172" i="37"/>
  <c r="H1188" i="37"/>
  <c r="H1204" i="37"/>
  <c r="H1229" i="37"/>
  <c r="H1237" i="37"/>
  <c r="H1303" i="37"/>
  <c r="H1339" i="37"/>
  <c r="H1348" i="37"/>
  <c r="H1374" i="37"/>
  <c r="H1382" i="37"/>
  <c r="H1435" i="37"/>
  <c r="H1444" i="37"/>
  <c r="H1453" i="37"/>
  <c r="H1488" i="37"/>
  <c r="H1506" i="37"/>
  <c r="H1514" i="37"/>
  <c r="H1523" i="37"/>
  <c r="H1559" i="37"/>
  <c r="H1586" i="37"/>
  <c r="H1721" i="37"/>
  <c r="H1740" i="37"/>
  <c r="H1748" i="37"/>
  <c r="H1786" i="37"/>
  <c r="H1832" i="37"/>
  <c r="H1897" i="37"/>
  <c r="H1944" i="37"/>
  <c r="H1973" i="37"/>
  <c r="H2039" i="37"/>
  <c r="H2058" i="37"/>
  <c r="H2078" i="37"/>
  <c r="H2183" i="37"/>
  <c r="H2232" i="37"/>
  <c r="H2241" i="37"/>
  <c r="H2330" i="37"/>
  <c r="H2341" i="37"/>
  <c r="H2361" i="37"/>
  <c r="H2482" i="37"/>
  <c r="H2476" i="37"/>
  <c r="H2470" i="37"/>
  <c r="H2464" i="37"/>
  <c r="H2458" i="37"/>
  <c r="H2452" i="37"/>
  <c r="H2446" i="37"/>
  <c r="H2440" i="37"/>
  <c r="H2434" i="37"/>
  <c r="H2428" i="37"/>
  <c r="H2422" i="37"/>
  <c r="H2416" i="37"/>
  <c r="H2410" i="37"/>
  <c r="H2404" i="37"/>
  <c r="H2398" i="37"/>
  <c r="H2392" i="37"/>
  <c r="H2386" i="37"/>
  <c r="H2380" i="37"/>
  <c r="H2374" i="37"/>
  <c r="H2368" i="37"/>
  <c r="H2362" i="37"/>
  <c r="H2356" i="37"/>
  <c r="H2350" i="37"/>
  <c r="H2344" i="37"/>
  <c r="H2338" i="37"/>
  <c r="H2332" i="37"/>
  <c r="H2326" i="37"/>
  <c r="H2320" i="37"/>
  <c r="H2314" i="37"/>
  <c r="H2308" i="37"/>
  <c r="H2302" i="37"/>
  <c r="H2296" i="37"/>
  <c r="H2290" i="37"/>
  <c r="H2284" i="37"/>
  <c r="H2278" i="37"/>
  <c r="H2272" i="37"/>
  <c r="H2266" i="37"/>
  <c r="H2260" i="37"/>
  <c r="H2254" i="37"/>
  <c r="H2248" i="37"/>
  <c r="H2242" i="37"/>
  <c r="H2236" i="37"/>
  <c r="H2230" i="37"/>
  <c r="H2224" i="37"/>
  <c r="H2218" i="37"/>
  <c r="H2212" i="37"/>
  <c r="H2206" i="37"/>
  <c r="H2200" i="37"/>
  <c r="H2194" i="37"/>
  <c r="H2188" i="37"/>
  <c r="H2182" i="37"/>
  <c r="H2176" i="37"/>
  <c r="H2170" i="37"/>
  <c r="H2164" i="37"/>
  <c r="H2158" i="37"/>
  <c r="H2152" i="37"/>
  <c r="H2146" i="37"/>
  <c r="H2140" i="37"/>
  <c r="H2134" i="37"/>
  <c r="H2128" i="37"/>
  <c r="H2122" i="37"/>
  <c r="H2116" i="37"/>
  <c r="H2110" i="37"/>
  <c r="H2104" i="37"/>
  <c r="H2098" i="37"/>
  <c r="H2092" i="37"/>
  <c r="H2086" i="37"/>
  <c r="H2080" i="37"/>
  <c r="H2074" i="37"/>
  <c r="H2068" i="37"/>
  <c r="H2062" i="37"/>
  <c r="H2056" i="37"/>
  <c r="H2050" i="37"/>
  <c r="H2044" i="37"/>
  <c r="H2038" i="37"/>
  <c r="H2032" i="37"/>
  <c r="H2026" i="37"/>
  <c r="H2020" i="37"/>
  <c r="H2014" i="37"/>
  <c r="H2008" i="37"/>
  <c r="H2002" i="37"/>
  <c r="H1996" i="37"/>
  <c r="H1990" i="37"/>
  <c r="H1984" i="37"/>
  <c r="H1978" i="37"/>
  <c r="H2475" i="37"/>
  <c r="H2462" i="37"/>
  <c r="H2449" i="37"/>
  <c r="H2436" i="37"/>
  <c r="H2423" i="37"/>
  <c r="H2403" i="37"/>
  <c r="H2390" i="37"/>
  <c r="H2377" i="37"/>
  <c r="H2364" i="37"/>
  <c r="H2351" i="37"/>
  <c r="H2331" i="37"/>
  <c r="H2318" i="37"/>
  <c r="H2305" i="37"/>
  <c r="H2292" i="37"/>
  <c r="H2279" i="37"/>
  <c r="H2259" i="37"/>
  <c r="H2246" i="37"/>
  <c r="H2233" i="37"/>
  <c r="H2220" i="37"/>
  <c r="H2207" i="37"/>
  <c r="H2187" i="37"/>
  <c r="H2174" i="37"/>
  <c r="H2161" i="37"/>
  <c r="H2148" i="37"/>
  <c r="H2135" i="37"/>
  <c r="H2115" i="37"/>
  <c r="H2102" i="37"/>
  <c r="H2089" i="37"/>
  <c r="H2076" i="37"/>
  <c r="H2063" i="37"/>
  <c r="H2043" i="37"/>
  <c r="H2030" i="37"/>
  <c r="H2017" i="37"/>
  <c r="H2004" i="37"/>
  <c r="H1991" i="37"/>
  <c r="H2481" i="37"/>
  <c r="H2468" i="37"/>
  <c r="H2455" i="37"/>
  <c r="H2442" i="37"/>
  <c r="H2429" i="37"/>
  <c r="H2409" i="37"/>
  <c r="H2396" i="37"/>
  <c r="H2383" i="37"/>
  <c r="H2370" i="37"/>
  <c r="H2357" i="37"/>
  <c r="H2337" i="37"/>
  <c r="H2324" i="37"/>
  <c r="H2311" i="37"/>
  <c r="H2298" i="37"/>
  <c r="H2285" i="37"/>
  <c r="H2265" i="37"/>
  <c r="H2252" i="37"/>
  <c r="H2239" i="37"/>
  <c r="H2226" i="37"/>
  <c r="H2213" i="37"/>
  <c r="H2193" i="37"/>
  <c r="H2180" i="37"/>
  <c r="H2167" i="37"/>
  <c r="H2154" i="37"/>
  <c r="H2141" i="37"/>
  <c r="H2121" i="37"/>
  <c r="H2108" i="37"/>
  <c r="H2095" i="37"/>
  <c r="H2082" i="37"/>
  <c r="H2069" i="37"/>
  <c r="H2049" i="37"/>
  <c r="H2036" i="37"/>
  <c r="H2023" i="37"/>
  <c r="H2010" i="37"/>
  <c r="H1997" i="37"/>
  <c r="H1977" i="37"/>
  <c r="H1971" i="37"/>
  <c r="H1965" i="37"/>
  <c r="H1959" i="37"/>
  <c r="H1953" i="37"/>
  <c r="H1947" i="37"/>
  <c r="H1941" i="37"/>
  <c r="H1935" i="37"/>
  <c r="H1929" i="37"/>
  <c r="H1923" i="37"/>
  <c r="H1917" i="37"/>
  <c r="H1911" i="37"/>
  <c r="H1905" i="37"/>
  <c r="H1899" i="37"/>
  <c r="H1893" i="37"/>
  <c r="H1887" i="37"/>
  <c r="H1881" i="37"/>
  <c r="H1875" i="37"/>
  <c r="H1869" i="37"/>
  <c r="H1863" i="37"/>
  <c r="H1857" i="37"/>
  <c r="H1851" i="37"/>
  <c r="H1845" i="37"/>
  <c r="H1839" i="37"/>
  <c r="H1833" i="37"/>
  <c r="H1827" i="37"/>
  <c r="H1821" i="37"/>
  <c r="H1815" i="37"/>
  <c r="H1809" i="37"/>
  <c r="H1803" i="37"/>
  <c r="H1797" i="37"/>
  <c r="H1791" i="37"/>
  <c r="H1785" i="37"/>
  <c r="H1779" i="37"/>
  <c r="H1773" i="37"/>
  <c r="H1767" i="37"/>
  <c r="H1761" i="37"/>
  <c r="H1755" i="37"/>
  <c r="H1749" i="37"/>
  <c r="H1743" i="37"/>
  <c r="H1737" i="37"/>
  <c r="H1731" i="37"/>
  <c r="H1725" i="37"/>
  <c r="H1719" i="37"/>
  <c r="H1713" i="37"/>
  <c r="H1707" i="37"/>
  <c r="H1701" i="37"/>
  <c r="H1695" i="37"/>
  <c r="H1689" i="37"/>
  <c r="H1683" i="37"/>
  <c r="H2474" i="37"/>
  <c r="H2467" i="37"/>
  <c r="H2460" i="37"/>
  <c r="H2453" i="37"/>
  <c r="H2411" i="37"/>
  <c r="H2389" i="37"/>
  <c r="H2382" i="37"/>
  <c r="H2375" i="37"/>
  <c r="H2340" i="37"/>
  <c r="H2333" i="37"/>
  <c r="H2304" i="37"/>
  <c r="H2297" i="37"/>
  <c r="H2269" i="37"/>
  <c r="H2262" i="37"/>
  <c r="H2255" i="37"/>
  <c r="H2219" i="37"/>
  <c r="H2198" i="37"/>
  <c r="H2191" i="37"/>
  <c r="H2184" i="37"/>
  <c r="H2177" i="37"/>
  <c r="H2127" i="37"/>
  <c r="H2120" i="37"/>
  <c r="H2113" i="37"/>
  <c r="H2106" i="37"/>
  <c r="H2099" i="37"/>
  <c r="H2042" i="37"/>
  <c r="H2035" i="37"/>
  <c r="H2028" i="37"/>
  <c r="H2021" i="37"/>
  <c r="H1979" i="37"/>
  <c r="H1972" i="37"/>
  <c r="H1952" i="37"/>
  <c r="H1939" i="37"/>
  <c r="H1926" i="37"/>
  <c r="H1913" i="37"/>
  <c r="H1900" i="37"/>
  <c r="H1880" i="37"/>
  <c r="H1867" i="37"/>
  <c r="H1854" i="37"/>
  <c r="H1841" i="37"/>
  <c r="H1828" i="37"/>
  <c r="H1808" i="37"/>
  <c r="H1795" i="37"/>
  <c r="H1782" i="37"/>
  <c r="H1769" i="37"/>
  <c r="H1756" i="37"/>
  <c r="H1736" i="37"/>
  <c r="H1723" i="37"/>
  <c r="H1710" i="37"/>
  <c r="H1697" i="37"/>
  <c r="H1684" i="37"/>
  <c r="H19" i="37"/>
  <c r="H14" i="37"/>
  <c r="H2445" i="37"/>
  <c r="H2438" i="37"/>
  <c r="H2431" i="37"/>
  <c r="H2424" i="37"/>
  <c r="H2417" i="37"/>
  <c r="H2367" i="37"/>
  <c r="H2360" i="37"/>
  <c r="H2353" i="37"/>
  <c r="H2346" i="37"/>
  <c r="H2325" i="37"/>
  <c r="H2289" i="37"/>
  <c r="H2282" i="37"/>
  <c r="H2275" i="37"/>
  <c r="H2247" i="37"/>
  <c r="H2240" i="37"/>
  <c r="H2211" i="37"/>
  <c r="H2204" i="37"/>
  <c r="H2169" i="37"/>
  <c r="H2162" i="37"/>
  <c r="H2155" i="37"/>
  <c r="H2133" i="37"/>
  <c r="H2091" i="37"/>
  <c r="H2084" i="37"/>
  <c r="H2077" i="37"/>
  <c r="H2070" i="37"/>
  <c r="H2013" i="37"/>
  <c r="H2006" i="37"/>
  <c r="H1999" i="37"/>
  <c r="H1992" i="37"/>
  <c r="H1985" i="37"/>
  <c r="H1958" i="37"/>
  <c r="H1945" i="37"/>
  <c r="H1932" i="37"/>
  <c r="H1919" i="37"/>
  <c r="H1906" i="37"/>
  <c r="H1886" i="37"/>
  <c r="H1873" i="37"/>
  <c r="H1860" i="37"/>
  <c r="H1847" i="37"/>
  <c r="H1834" i="37"/>
  <c r="H1814" i="37"/>
  <c r="H1801" i="37"/>
  <c r="H1788" i="37"/>
  <c r="H1775" i="37"/>
  <c r="H1762" i="37"/>
  <c r="H1742" i="37"/>
  <c r="H1729" i="37"/>
  <c r="H1716" i="37"/>
  <c r="H1703" i="37"/>
  <c r="H1690" i="37"/>
  <c r="H1677" i="37"/>
  <c r="H1671" i="37"/>
  <c r="H1665" i="37"/>
  <c r="H1659" i="37"/>
  <c r="H1653" i="37"/>
  <c r="H1647" i="37"/>
  <c r="H1641" i="37"/>
  <c r="H1635" i="37"/>
  <c r="H1629" i="37"/>
  <c r="H1623" i="37"/>
  <c r="H1617" i="37"/>
  <c r="H1611" i="37"/>
  <c r="H1605" i="37"/>
  <c r="H1599" i="37"/>
  <c r="H1593" i="37"/>
  <c r="H1587" i="37"/>
  <c r="H1581" i="37"/>
  <c r="H1575" i="37"/>
  <c r="H1569" i="37"/>
  <c r="H1563" i="37"/>
  <c r="H1557" i="37"/>
  <c r="H1551" i="37"/>
  <c r="H1545" i="37"/>
  <c r="H1539" i="37"/>
  <c r="H1533" i="37"/>
  <c r="H1527" i="37"/>
  <c r="H1521" i="37"/>
  <c r="H1515" i="37"/>
  <c r="H1509" i="37"/>
  <c r="H1503" i="37"/>
  <c r="H1497" i="37"/>
  <c r="H1491" i="37"/>
  <c r="H1485" i="37"/>
  <c r="H1479" i="37"/>
  <c r="H1473" i="37"/>
  <c r="H1467" i="37"/>
  <c r="H1461" i="37"/>
  <c r="H1455" i="37"/>
  <c r="H1449" i="37"/>
  <c r="H1443" i="37"/>
  <c r="H1437" i="37"/>
  <c r="H1431" i="37"/>
  <c r="H1425" i="37"/>
  <c r="H1419" i="37"/>
  <c r="H1413" i="37"/>
  <c r="H1407" i="37"/>
  <c r="H1401" i="37"/>
  <c r="H1395" i="37"/>
  <c r="H1389" i="37"/>
  <c r="H1383" i="37"/>
  <c r="H1377" i="37"/>
  <c r="H1371" i="37"/>
  <c r="H1365" i="37"/>
  <c r="H1359" i="37"/>
  <c r="H1353" i="37"/>
  <c r="H1347" i="37"/>
  <c r="H1341" i="37"/>
  <c r="H1335" i="37"/>
  <c r="H1329" i="37"/>
  <c r="H1323" i="37"/>
  <c r="H1317" i="37"/>
  <c r="H1311" i="37"/>
  <c r="H1305" i="37"/>
  <c r="H1299" i="37"/>
  <c r="H1293" i="37"/>
  <c r="H1287" i="37"/>
  <c r="H1281" i="37"/>
  <c r="H2466" i="37"/>
  <c r="H2443" i="37"/>
  <c r="H2435" i="37"/>
  <c r="H2427" i="37"/>
  <c r="H2405" i="37"/>
  <c r="H2359" i="37"/>
  <c r="H2336" i="37"/>
  <c r="H2321" i="37"/>
  <c r="H2299" i="37"/>
  <c r="H2291" i="37"/>
  <c r="H2283" i="37"/>
  <c r="H2268" i="37"/>
  <c r="H2237" i="37"/>
  <c r="H2215" i="37"/>
  <c r="H2192" i="37"/>
  <c r="H2153" i="37"/>
  <c r="H2131" i="37"/>
  <c r="H2124" i="37"/>
  <c r="H2093" i="37"/>
  <c r="H2085" i="37"/>
  <c r="H2055" i="37"/>
  <c r="H2048" i="37"/>
  <c r="H2033" i="37"/>
  <c r="H2025" i="37"/>
  <c r="H1994" i="37"/>
  <c r="H1922" i="37"/>
  <c r="H1915" i="37"/>
  <c r="H1908" i="37"/>
  <c r="H1901" i="37"/>
  <c r="H1894" i="37"/>
  <c r="H1844" i="37"/>
  <c r="H1837" i="37"/>
  <c r="H1830" i="37"/>
  <c r="H1823" i="37"/>
  <c r="H1802" i="37"/>
  <c r="H1766" i="37"/>
  <c r="H1759" i="37"/>
  <c r="H1752" i="37"/>
  <c r="H1724" i="37"/>
  <c r="H1717" i="37"/>
  <c r="H1688" i="37"/>
  <c r="H1681" i="37"/>
  <c r="H1668" i="37"/>
  <c r="H1655" i="37"/>
  <c r="H1642" i="37"/>
  <c r="H1622" i="37"/>
  <c r="H1609" i="37"/>
  <c r="H1596" i="37"/>
  <c r="H1583" i="37"/>
  <c r="H1570" i="37"/>
  <c r="H1550" i="37"/>
  <c r="H1537" i="37"/>
  <c r="H1524" i="37"/>
  <c r="H1511" i="37"/>
  <c r="H1498" i="37"/>
  <c r="H1478" i="37"/>
  <c r="H1465" i="37"/>
  <c r="H1452" i="37"/>
  <c r="H1439" i="37"/>
  <c r="H1426" i="37"/>
  <c r="H1406" i="37"/>
  <c r="H1393" i="37"/>
  <c r="H1380" i="37"/>
  <c r="H1367" i="37"/>
  <c r="H1354" i="37"/>
  <c r="H1334" i="37"/>
  <c r="H1321" i="37"/>
  <c r="H1308" i="37"/>
  <c r="H1295" i="37"/>
  <c r="H1282" i="37"/>
  <c r="H2473" i="37"/>
  <c r="H2450" i="37"/>
  <c r="H2419" i="37"/>
  <c r="H2412" i="37"/>
  <c r="H2397" i="37"/>
  <c r="H2366" i="37"/>
  <c r="H2343" i="37"/>
  <c r="H2328" i="37"/>
  <c r="H2313" i="37"/>
  <c r="H2306" i="37"/>
  <c r="H2244" i="37"/>
  <c r="H2229" i="37"/>
  <c r="H2222" i="37"/>
  <c r="H2199" i="37"/>
  <c r="H2168" i="37"/>
  <c r="H2160" i="37"/>
  <c r="H2145" i="37"/>
  <c r="H2138" i="37"/>
  <c r="H2100" i="37"/>
  <c r="H2061" i="37"/>
  <c r="H2040" i="37"/>
  <c r="H2009" i="37"/>
  <c r="H2001" i="37"/>
  <c r="H1986" i="37"/>
  <c r="H1964" i="37"/>
  <c r="H1957" i="37"/>
  <c r="H1950" i="37"/>
  <c r="H1943" i="37"/>
  <c r="H1936" i="37"/>
  <c r="H1879" i="37"/>
  <c r="H1872" i="37"/>
  <c r="H1865" i="37"/>
  <c r="H1858" i="37"/>
  <c r="H1816" i="37"/>
  <c r="H1794" i="37"/>
  <c r="H1787" i="37"/>
  <c r="H1780" i="37"/>
  <c r="H1745" i="37"/>
  <c r="H1738" i="37"/>
  <c r="H1709" i="37"/>
  <c r="H1702" i="37"/>
  <c r="H1674" i="37"/>
  <c r="H1661" i="37"/>
  <c r="H1648" i="37"/>
  <c r="H1628" i="37"/>
  <c r="H1615" i="37"/>
  <c r="H1602" i="37"/>
  <c r="H1589" i="37"/>
  <c r="H1576" i="37"/>
  <c r="H1556" i="37"/>
  <c r="H1543" i="37"/>
  <c r="H1530" i="37"/>
  <c r="H1517" i="37"/>
  <c r="H1504" i="37"/>
  <c r="H1484" i="37"/>
  <c r="H1471" i="37"/>
  <c r="H1458" i="37"/>
  <c r="H1445" i="37"/>
  <c r="H1432" i="37"/>
  <c r="H1412" i="37"/>
  <c r="H1399" i="37"/>
  <c r="H1386" i="37"/>
  <c r="H1373" i="37"/>
  <c r="H1360" i="37"/>
  <c r="H1340" i="37"/>
  <c r="H1327" i="37"/>
  <c r="H1314" i="37"/>
  <c r="H1301" i="37"/>
  <c r="H1288" i="37"/>
  <c r="H1275" i="37"/>
  <c r="H1269" i="37"/>
  <c r="H1263" i="37"/>
  <c r="H1257" i="37"/>
  <c r="H1251" i="37"/>
  <c r="H1245" i="37"/>
  <c r="H1239" i="37"/>
  <c r="H1233" i="37"/>
  <c r="H1227" i="37"/>
  <c r="H1221" i="37"/>
  <c r="H1215" i="37"/>
  <c r="H1209" i="37"/>
  <c r="H1203" i="37"/>
  <c r="H1197" i="37"/>
  <c r="H1191" i="37"/>
  <c r="H1185" i="37"/>
  <c r="H1179" i="37"/>
  <c r="H1173" i="37"/>
  <c r="H1167" i="37"/>
  <c r="H1161" i="37"/>
  <c r="H1155" i="37"/>
  <c r="H1149" i="37"/>
  <c r="H1143" i="37"/>
  <c r="H1137" i="37"/>
  <c r="H1131" i="37"/>
  <c r="H1125" i="37"/>
  <c r="H1119" i="37"/>
  <c r="H1113" i="37"/>
  <c r="H1107" i="37"/>
  <c r="H1101" i="37"/>
  <c r="H1095" i="37"/>
  <c r="H1089" i="37"/>
  <c r="H1083" i="37"/>
  <c r="H1077" i="37"/>
  <c r="H1071" i="37"/>
  <c r="H1065" i="37"/>
  <c r="H1059" i="37"/>
  <c r="H1053" i="37"/>
  <c r="H1047" i="37"/>
  <c r="H1041" i="37"/>
  <c r="H1035" i="37"/>
  <c r="H1029" i="37"/>
  <c r="H1023" i="37"/>
  <c r="H1017" i="37"/>
  <c r="H1011" i="37"/>
  <c r="H1005" i="37"/>
  <c r="H999" i="37"/>
  <c r="H993" i="37"/>
  <c r="H987" i="37"/>
  <c r="H981" i="37"/>
  <c r="H975" i="37"/>
  <c r="H969" i="37"/>
  <c r="H963" i="37"/>
  <c r="H957" i="37"/>
  <c r="H951" i="37"/>
  <c r="H945" i="37"/>
  <c r="H939" i="37"/>
  <c r="H933" i="37"/>
  <c r="H927" i="37"/>
  <c r="H921" i="37"/>
  <c r="H915" i="37"/>
  <c r="H909" i="37"/>
  <c r="H903" i="37"/>
  <c r="H897" i="37"/>
  <c r="H891" i="37"/>
  <c r="H885" i="37"/>
  <c r="H879" i="37"/>
  <c r="H873" i="37"/>
  <c r="H867" i="37"/>
  <c r="H861" i="37"/>
  <c r="H855" i="37"/>
  <c r="H849" i="37"/>
  <c r="H843" i="37"/>
  <c r="H837" i="37"/>
  <c r="H831" i="37"/>
  <c r="H825" i="37"/>
  <c r="H819" i="37"/>
  <c r="H813" i="37"/>
  <c r="H807" i="37"/>
  <c r="H801" i="37"/>
  <c r="H795" i="37"/>
  <c r="H789" i="37"/>
  <c r="H783" i="37"/>
  <c r="H777" i="37"/>
  <c r="H771" i="37"/>
  <c r="H765" i="37"/>
  <c r="H759" i="37"/>
  <c r="H753" i="37"/>
  <c r="H747" i="37"/>
  <c r="H741" i="37"/>
  <c r="H735" i="37"/>
  <c r="H729" i="37"/>
  <c r="H723" i="37"/>
  <c r="H717" i="37"/>
  <c r="H711" i="37"/>
  <c r="H705" i="37"/>
  <c r="H699" i="37"/>
  <c r="H693" i="37"/>
  <c r="H687" i="37"/>
  <c r="H681" i="37"/>
  <c r="H675" i="37"/>
  <c r="H2465" i="37"/>
  <c r="H2457" i="37"/>
  <c r="H2432" i="37"/>
  <c r="H2415" i="37"/>
  <c r="H2407" i="37"/>
  <c r="H2384" i="37"/>
  <c r="H2376" i="37"/>
  <c r="H2335" i="37"/>
  <c r="H2327" i="37"/>
  <c r="H2294" i="37"/>
  <c r="H2286" i="37"/>
  <c r="H2277" i="37"/>
  <c r="H2270" i="37"/>
  <c r="H2205" i="37"/>
  <c r="H2197" i="37"/>
  <c r="H2189" i="37"/>
  <c r="H2181" i="37"/>
  <c r="H2173" i="37"/>
  <c r="H2165" i="37"/>
  <c r="H2132" i="37"/>
  <c r="H2083" i="37"/>
  <c r="H2075" i="37"/>
  <c r="H2067" i="37"/>
  <c r="H2045" i="37"/>
  <c r="H2019" i="37"/>
  <c r="H2003" i="37"/>
  <c r="H1956" i="37"/>
  <c r="H1933" i="37"/>
  <c r="H1918" i="37"/>
  <c r="H1910" i="37"/>
  <c r="H1895" i="37"/>
  <c r="H1888" i="37"/>
  <c r="H1842" i="37"/>
  <c r="H1826" i="37"/>
  <c r="H1819" i="37"/>
  <c r="H1789" i="37"/>
  <c r="H1781" i="37"/>
  <c r="H1758" i="37"/>
  <c r="H1735" i="37"/>
  <c r="H1728" i="37"/>
  <c r="H1705" i="37"/>
  <c r="H1682" i="37"/>
  <c r="H1675" i="37"/>
  <c r="H1646" i="37"/>
  <c r="H1639" i="37"/>
  <c r="H1604" i="37"/>
  <c r="H1597" i="37"/>
  <c r="H1590" i="37"/>
  <c r="H1568" i="37"/>
  <c r="H1526" i="37"/>
  <c r="H1519" i="37"/>
  <c r="H1512" i="37"/>
  <c r="H1505" i="37"/>
  <c r="H1448" i="37"/>
  <c r="H1441" i="37"/>
  <c r="H1434" i="37"/>
  <c r="H1427" i="37"/>
  <c r="H1420" i="37"/>
  <c r="H1370" i="37"/>
  <c r="H1363" i="37"/>
  <c r="H1356" i="37"/>
  <c r="H1349" i="37"/>
  <c r="H1328" i="37"/>
  <c r="H1292" i="37"/>
  <c r="H1285" i="37"/>
  <c r="H1278" i="37"/>
  <c r="H1265" i="37"/>
  <c r="H1252" i="37"/>
  <c r="H1232" i="37"/>
  <c r="H1219" i="37"/>
  <c r="H1206" i="37"/>
  <c r="H1193" i="37"/>
  <c r="H1180" i="37"/>
  <c r="H1160" i="37"/>
  <c r="H1147" i="37"/>
  <c r="H1134" i="37"/>
  <c r="H1121" i="37"/>
  <c r="H1108" i="37"/>
  <c r="H1088" i="37"/>
  <c r="H1075" i="37"/>
  <c r="H1062" i="37"/>
  <c r="H1049" i="37"/>
  <c r="H1036" i="37"/>
  <c r="H1016" i="37"/>
  <c r="H1003" i="37"/>
  <c r="H990" i="37"/>
  <c r="H977" i="37"/>
  <c r="H964" i="37"/>
  <c r="H944" i="37"/>
  <c r="H931" i="37"/>
  <c r="H918" i="37"/>
  <c r="H905" i="37"/>
  <c r="H892" i="37"/>
  <c r="H872" i="37"/>
  <c r="H859" i="37"/>
  <c r="H846" i="37"/>
  <c r="H833" i="37"/>
  <c r="H820" i="37"/>
  <c r="H800" i="37"/>
  <c r="H787" i="37"/>
  <c r="H774" i="37"/>
  <c r="H761" i="37"/>
  <c r="H748" i="37"/>
  <c r="H728" i="37"/>
  <c r="H715" i="37"/>
  <c r="H702" i="37"/>
  <c r="H689" i="37"/>
  <c r="H676" i="37"/>
  <c r="H1811" i="37"/>
  <c r="H1796" i="37"/>
  <c r="H1765" i="37"/>
  <c r="H1750" i="37"/>
  <c r="H1720" i="37"/>
  <c r="H1667" i="37"/>
  <c r="H1660" i="37"/>
  <c r="H1632" i="37"/>
  <c r="H1625" i="37"/>
  <c r="H1618" i="37"/>
  <c r="H1582" i="37"/>
  <c r="H1561" i="37"/>
  <c r="H1554" i="37"/>
  <c r="H1547" i="37"/>
  <c r="H1540" i="37"/>
  <c r="H1490" i="37"/>
  <c r="H1483" i="37"/>
  <c r="H1476" i="37"/>
  <c r="H1469" i="37"/>
  <c r="H1462" i="37"/>
  <c r="H1405" i="37"/>
  <c r="H1398" i="37"/>
  <c r="H1391" i="37"/>
  <c r="H1384" i="37"/>
  <c r="H1342" i="37"/>
  <c r="H1320" i="37"/>
  <c r="H1313" i="37"/>
  <c r="H1306" i="37"/>
  <c r="H1271" i="37"/>
  <c r="H1258" i="37"/>
  <c r="H1238" i="37"/>
  <c r="H1225" i="37"/>
  <c r="H1212" i="37"/>
  <c r="H1199" i="37"/>
  <c r="H1186" i="37"/>
  <c r="H1166" i="37"/>
  <c r="H1153" i="37"/>
  <c r="H1140" i="37"/>
  <c r="H1127" i="37"/>
  <c r="H1114" i="37"/>
  <c r="H1094" i="37"/>
  <c r="H1081" i="37"/>
  <c r="H1068" i="37"/>
  <c r="H1055" i="37"/>
  <c r="H1042" i="37"/>
  <c r="H1022" i="37"/>
  <c r="H1009" i="37"/>
  <c r="H996" i="37"/>
  <c r="H983" i="37"/>
  <c r="H970" i="37"/>
  <c r="H950" i="37"/>
  <c r="H937" i="37"/>
  <c r="H924" i="37"/>
  <c r="H911" i="37"/>
  <c r="H898" i="37"/>
  <c r="H878" i="37"/>
  <c r="H865" i="37"/>
  <c r="H852" i="37"/>
  <c r="H839" i="37"/>
  <c r="H826" i="37"/>
  <c r="H806" i="37"/>
  <c r="H793" i="37"/>
  <c r="H780" i="37"/>
  <c r="H767" i="37"/>
  <c r="H754" i="37"/>
  <c r="H734" i="37"/>
  <c r="H721" i="37"/>
  <c r="H708" i="37"/>
  <c r="H695" i="37"/>
  <c r="H682" i="37"/>
  <c r="H669" i="37"/>
  <c r="H663" i="37"/>
  <c r="H657" i="37"/>
  <c r="H651" i="37"/>
  <c r="H645" i="37"/>
  <c r="H639" i="37"/>
  <c r="H633" i="37"/>
  <c r="H627" i="37"/>
  <c r="H621" i="37"/>
  <c r="H615" i="37"/>
  <c r="H609" i="37"/>
  <c r="H603" i="37"/>
  <c r="H597" i="37"/>
  <c r="H591" i="37"/>
  <c r="H585" i="37"/>
  <c r="H579" i="37"/>
  <c r="H573" i="37"/>
  <c r="H567" i="37"/>
  <c r="H561" i="37"/>
  <c r="H555" i="37"/>
  <c r="H549" i="37"/>
  <c r="H543" i="37"/>
  <c r="H537" i="37"/>
  <c r="H531" i="37"/>
  <c r="H525" i="37"/>
  <c r="H519" i="37"/>
  <c r="H513" i="37"/>
  <c r="H507" i="37"/>
  <c r="H501" i="37"/>
  <c r="H495" i="37"/>
  <c r="H489" i="37"/>
  <c r="H483" i="37"/>
  <c r="H477" i="37"/>
  <c r="H471" i="37"/>
  <c r="H465" i="37"/>
  <c r="H459" i="37"/>
  <c r="H453" i="37"/>
  <c r="H447" i="37"/>
  <c r="H441" i="37"/>
  <c r="H435" i="37"/>
  <c r="H429" i="37"/>
  <c r="H423" i="37"/>
  <c r="H417" i="37"/>
  <c r="H411" i="37"/>
  <c r="H405" i="37"/>
  <c r="H399" i="37"/>
  <c r="H393" i="37"/>
  <c r="H387" i="37"/>
  <c r="H381" i="37"/>
  <c r="H375" i="37"/>
  <c r="H369" i="37"/>
  <c r="H363" i="37"/>
  <c r="H357" i="37"/>
  <c r="H351" i="37"/>
  <c r="H345" i="37"/>
  <c r="H339" i="37"/>
  <c r="H333" i="37"/>
  <c r="H327" i="37"/>
  <c r="H321" i="37"/>
  <c r="H315" i="37"/>
  <c r="H309" i="37"/>
  <c r="H303" i="37"/>
  <c r="H297" i="37"/>
  <c r="H291" i="37"/>
  <c r="H285" i="37"/>
  <c r="H279" i="37"/>
  <c r="H273" i="37"/>
  <c r="H267" i="37"/>
  <c r="H261" i="37"/>
  <c r="H255" i="37"/>
  <c r="H249" i="37"/>
  <c r="H243" i="37"/>
  <c r="H237" i="37"/>
  <c r="H231" i="37"/>
  <c r="H225" i="37"/>
  <c r="H219" i="37"/>
  <c r="H213" i="37"/>
  <c r="H207" i="37"/>
  <c r="H201" i="37"/>
  <c r="H195" i="37"/>
  <c r="H189" i="37"/>
  <c r="H183" i="37"/>
  <c r="H177" i="37"/>
  <c r="H171" i="37"/>
  <c r="H165" i="37"/>
  <c r="H159" i="37"/>
  <c r="H153" i="37"/>
  <c r="H147" i="37"/>
  <c r="H141" i="37"/>
  <c r="H135" i="37"/>
  <c r="H129" i="37"/>
  <c r="H123" i="37"/>
  <c r="H117" i="37"/>
  <c r="H111" i="37"/>
  <c r="H105" i="37"/>
  <c r="H99" i="37"/>
  <c r="H93" i="37"/>
  <c r="H87" i="37"/>
  <c r="H81" i="37"/>
  <c r="H75" i="37"/>
  <c r="H69" i="37"/>
  <c r="H63" i="37"/>
  <c r="H57" i="37"/>
  <c r="H51" i="37"/>
  <c r="H45" i="37"/>
  <c r="H39" i="37"/>
  <c r="H33" i="37"/>
  <c r="H29" i="37"/>
  <c r="H27" i="37"/>
  <c r="H23" i="37"/>
  <c r="H18" i="37"/>
  <c r="H13" i="37"/>
  <c r="H2480" i="37"/>
  <c r="H2472" i="37"/>
  <c r="H2456" i="37"/>
  <c r="H2439" i="37"/>
  <c r="H2414" i="37"/>
  <c r="H2406" i="37"/>
  <c r="H2358" i="37"/>
  <c r="H2342" i="37"/>
  <c r="H2334" i="37"/>
  <c r="H2317" i="37"/>
  <c r="H2301" i="37"/>
  <c r="H2293" i="37"/>
  <c r="H2276" i="37"/>
  <c r="H2228" i="37"/>
  <c r="H2196" i="37"/>
  <c r="H2172" i="37"/>
  <c r="H2147" i="37"/>
  <c r="H2139" i="37"/>
  <c r="H2123" i="37"/>
  <c r="H2107" i="37"/>
  <c r="H2090" i="37"/>
  <c r="H2066" i="37"/>
  <c r="H2018" i="37"/>
  <c r="H1993" i="37"/>
  <c r="H1955" i="37"/>
  <c r="H1909" i="37"/>
  <c r="H1871" i="37"/>
  <c r="H1825" i="37"/>
  <c r="H1818" i="37"/>
  <c r="H1772" i="37"/>
  <c r="H1757" i="37"/>
  <c r="H1734" i="37"/>
  <c r="H1727" i="37"/>
  <c r="H1704" i="37"/>
  <c r="H1696" i="37"/>
  <c r="H1652" i="37"/>
  <c r="H1645" i="37"/>
  <c r="H1638" i="37"/>
  <c r="H1610" i="37"/>
  <c r="H1603" i="37"/>
  <c r="H1574" i="37"/>
  <c r="H1567" i="37"/>
  <c r="H1532" i="37"/>
  <c r="H1525" i="37"/>
  <c r="H1518" i="37"/>
  <c r="H1496" i="37"/>
  <c r="H1454" i="37"/>
  <c r="H1447" i="37"/>
  <c r="H1440" i="37"/>
  <c r="H1433" i="37"/>
  <c r="H1376" i="37"/>
  <c r="H2448" i="37"/>
  <c r="H2399" i="37"/>
  <c r="H2391" i="37"/>
  <c r="H2310" i="37"/>
  <c r="H2261" i="37"/>
  <c r="H2253" i="37"/>
  <c r="H2245" i="37"/>
  <c r="H2221" i="37"/>
  <c r="H2156" i="37"/>
  <c r="H2059" i="37"/>
  <c r="H2052" i="37"/>
  <c r="H2027" i="37"/>
  <c r="H2011" i="37"/>
  <c r="H1970" i="37"/>
  <c r="H1963" i="37"/>
  <c r="H1948" i="37"/>
  <c r="H1940" i="37"/>
  <c r="H1925" i="37"/>
  <c r="H1902" i="37"/>
  <c r="H1864" i="37"/>
  <c r="H1856" i="37"/>
  <c r="H1849" i="37"/>
  <c r="H1804" i="37"/>
  <c r="H1712" i="37"/>
  <c r="H2463" i="37"/>
  <c r="H2454" i="37"/>
  <c r="H2426" i="37"/>
  <c r="H2418" i="37"/>
  <c r="H2408" i="37"/>
  <c r="H2373" i="37"/>
  <c r="H2365" i="37"/>
  <c r="H2348" i="37"/>
  <c r="H2312" i="37"/>
  <c r="H2303" i="37"/>
  <c r="H2274" i="37"/>
  <c r="H2257" i="37"/>
  <c r="H2249" i="37"/>
  <c r="H2223" i="37"/>
  <c r="H2214" i="37"/>
  <c r="H2125" i="37"/>
  <c r="H2081" i="37"/>
  <c r="H2064" i="37"/>
  <c r="H2047" i="37"/>
  <c r="H1976" i="37"/>
  <c r="H1961" i="37"/>
  <c r="H1927" i="37"/>
  <c r="H1892" i="37"/>
  <c r="H1877" i="37"/>
  <c r="H1852" i="37"/>
  <c r="H1810" i="37"/>
  <c r="H1793" i="37"/>
  <c r="H1760" i="37"/>
  <c r="H1751" i="37"/>
  <c r="H1726" i="37"/>
  <c r="H1692" i="37"/>
  <c r="H1676" i="37"/>
  <c r="H1644" i="37"/>
  <c r="H1636" i="37"/>
  <c r="H1613" i="37"/>
  <c r="H1573" i="37"/>
  <c r="H1565" i="37"/>
  <c r="H1558" i="37"/>
  <c r="H1542" i="37"/>
  <c r="H1494" i="37"/>
  <c r="H1487" i="37"/>
  <c r="H1456" i="37"/>
  <c r="H1430" i="37"/>
  <c r="H1385" i="37"/>
  <c r="H1369" i="37"/>
  <c r="H1346" i="37"/>
  <c r="H1324" i="37"/>
  <c r="H1316" i="37"/>
  <c r="H1256" i="37"/>
  <c r="H1249" i="37"/>
  <c r="H1214" i="37"/>
  <c r="H1207" i="37"/>
  <c r="H1200" i="37"/>
  <c r="H1178" i="37"/>
  <c r="H1136" i="37"/>
  <c r="H1129" i="37"/>
  <c r="H1122" i="37"/>
  <c r="H1115" i="37"/>
  <c r="H1058" i="37"/>
  <c r="H1051" i="37"/>
  <c r="H1044" i="37"/>
  <c r="H1037" i="37"/>
  <c r="H1030" i="37"/>
  <c r="H980" i="37"/>
  <c r="H973" i="37"/>
  <c r="H966" i="37"/>
  <c r="H959" i="37"/>
  <c r="H938" i="37"/>
  <c r="H902" i="37"/>
  <c r="H895" i="37"/>
  <c r="H888" i="37"/>
  <c r="H860" i="37"/>
  <c r="H853" i="37"/>
  <c r="H824" i="37"/>
  <c r="H817" i="37"/>
  <c r="H782" i="37"/>
  <c r="H775" i="37"/>
  <c r="H768" i="37"/>
  <c r="H746" i="37"/>
  <c r="H704" i="37"/>
  <c r="H697" i="37"/>
  <c r="H690" i="37"/>
  <c r="H683" i="37"/>
  <c r="H662" i="37"/>
  <c r="H649" i="37"/>
  <c r="H636" i="37"/>
  <c r="H623" i="37"/>
  <c r="H610" i="37"/>
  <c r="H590" i="37"/>
  <c r="H577" i="37"/>
  <c r="H564" i="37"/>
  <c r="H551" i="37"/>
  <c r="H538" i="37"/>
  <c r="H518" i="37"/>
  <c r="H505" i="37"/>
  <c r="H492" i="37"/>
  <c r="H479" i="37"/>
  <c r="H466" i="37"/>
  <c r="H446" i="37"/>
  <c r="H433" i="37"/>
  <c r="H420" i="37"/>
  <c r="H407" i="37"/>
  <c r="H394" i="37"/>
  <c r="H374" i="37"/>
  <c r="H361" i="37"/>
  <c r="H348" i="37"/>
  <c r="H335" i="37"/>
  <c r="H322" i="37"/>
  <c r="H302" i="37"/>
  <c r="H289" i="37"/>
  <c r="H276" i="37"/>
  <c r="H263" i="37"/>
  <c r="H250" i="37"/>
  <c r="H230" i="37"/>
  <c r="H217" i="37"/>
  <c r="H204" i="37"/>
  <c r="H191" i="37"/>
  <c r="H178" i="37"/>
  <c r="H158" i="37"/>
  <c r="H145" i="37"/>
  <c r="H132" i="37"/>
  <c r="H119" i="37"/>
  <c r="H106" i="37"/>
  <c r="H86" i="37"/>
  <c r="H73" i="37"/>
  <c r="H60" i="37"/>
  <c r="H47" i="37"/>
  <c r="H34" i="37"/>
  <c r="H2444" i="37"/>
  <c r="H2381" i="37"/>
  <c r="H2355" i="37"/>
  <c r="H2339" i="37"/>
  <c r="H2329" i="37"/>
  <c r="H2231" i="37"/>
  <c r="H2186" i="37"/>
  <c r="H2178" i="37"/>
  <c r="H2159" i="37"/>
  <c r="H2150" i="37"/>
  <c r="H2142" i="37"/>
  <c r="H2072" i="37"/>
  <c r="H2029" i="37"/>
  <c r="H1983" i="37"/>
  <c r="H1968" i="37"/>
  <c r="H1951" i="37"/>
  <c r="H1934" i="37"/>
  <c r="H1884" i="37"/>
  <c r="H1868" i="37"/>
  <c r="H1843" i="37"/>
  <c r="H1835" i="37"/>
  <c r="H1784" i="37"/>
  <c r="H1776" i="37"/>
  <c r="H1768" i="37"/>
  <c r="H1708" i="37"/>
  <c r="H1699" i="37"/>
  <c r="H1620" i="37"/>
  <c r="H1588" i="37"/>
  <c r="H1580" i="37"/>
  <c r="H1549" i="37"/>
  <c r="H1534" i="37"/>
  <c r="H1501" i="37"/>
  <c r="H1463" i="37"/>
  <c r="H1438" i="37"/>
  <c r="H1422" i="37"/>
  <c r="H1415" i="37"/>
  <c r="H1408" i="37"/>
  <c r="H1400" i="37"/>
  <c r="H1392" i="37"/>
  <c r="H1361" i="37"/>
  <c r="H1338" i="37"/>
  <c r="H1331" i="37"/>
  <c r="H1300" i="37"/>
  <c r="H1277" i="37"/>
  <c r="H1270" i="37"/>
  <c r="H1242" i="37"/>
  <c r="H1235" i="37"/>
  <c r="H1228" i="37"/>
  <c r="H1192" i="37"/>
  <c r="H1171" i="37"/>
  <c r="H1164" i="37"/>
  <c r="H1157" i="37"/>
  <c r="H1150" i="37"/>
  <c r="H1100" i="37"/>
  <c r="H1093" i="37"/>
  <c r="H1086" i="37"/>
  <c r="H1079" i="37"/>
  <c r="H1072" i="37"/>
  <c r="H1015" i="37"/>
  <c r="H1008" i="37"/>
  <c r="H1001" i="37"/>
  <c r="H994" i="37"/>
  <c r="H952" i="37"/>
  <c r="H930" i="37"/>
  <c r="H923" i="37"/>
  <c r="H916" i="37"/>
  <c r="H881" i="37"/>
  <c r="H874" i="37"/>
  <c r="H845" i="37"/>
  <c r="H838" i="37"/>
  <c r="H810" i="37"/>
  <c r="H803" i="37"/>
  <c r="H796" i="37"/>
  <c r="H760" i="37"/>
  <c r="H739" i="37"/>
  <c r="H732" i="37"/>
  <c r="H725" i="37"/>
  <c r="H718" i="37"/>
  <c r="H668" i="37"/>
  <c r="H655" i="37"/>
  <c r="H642" i="37"/>
  <c r="H629" i="37"/>
  <c r="H616" i="37"/>
  <c r="H596" i="37"/>
  <c r="H583" i="37"/>
  <c r="H570" i="37"/>
  <c r="H557" i="37"/>
  <c r="H544" i="37"/>
  <c r="H524" i="37"/>
  <c r="H511" i="37"/>
  <c r="H498" i="37"/>
  <c r="H485" i="37"/>
  <c r="H472" i="37"/>
  <c r="H452" i="37"/>
  <c r="H439" i="37"/>
  <c r="H426" i="37"/>
  <c r="H413" i="37"/>
  <c r="H400" i="37"/>
  <c r="H380" i="37"/>
  <c r="H367" i="37"/>
  <c r="H354" i="37"/>
  <c r="H341" i="37"/>
  <c r="H328" i="37"/>
  <c r="H308" i="37"/>
  <c r="H295" i="37"/>
  <c r="H282" i="37"/>
  <c r="H269" i="37"/>
  <c r="H256" i="37"/>
  <c r="H236" i="37"/>
  <c r="H223" i="37"/>
  <c r="H210" i="37"/>
  <c r="H197" i="37"/>
  <c r="H184" i="37"/>
  <c r="H164" i="37"/>
  <c r="H151" i="37"/>
  <c r="H138" i="37"/>
  <c r="H125" i="37"/>
  <c r="H112" i="37"/>
  <c r="H92" i="37"/>
  <c r="H79" i="37"/>
  <c r="H66" i="37"/>
  <c r="H53" i="37"/>
  <c r="H40" i="37"/>
  <c r="H22" i="37"/>
  <c r="H16" i="37"/>
  <c r="H11" i="37"/>
  <c r="H2471" i="37"/>
  <c r="H2425" i="37"/>
  <c r="H2372" i="37"/>
  <c r="H2347" i="37"/>
  <c r="H2319" i="37"/>
  <c r="H2273" i="37"/>
  <c r="H2264" i="37"/>
  <c r="H2256" i="37"/>
  <c r="H2238" i="37"/>
  <c r="H2195" i="37"/>
  <c r="H2054" i="37"/>
  <c r="H2046" i="37"/>
  <c r="H2037" i="37"/>
  <c r="H2000" i="37"/>
  <c r="H1975" i="37"/>
  <c r="H1960" i="37"/>
  <c r="H1942" i="37"/>
  <c r="H1891" i="37"/>
  <c r="H1876" i="37"/>
  <c r="H1859" i="37"/>
  <c r="H1817" i="37"/>
  <c r="H1800" i="37"/>
  <c r="H1792" i="37"/>
  <c r="H1733" i="37"/>
  <c r="H1691" i="37"/>
  <c r="H1651" i="37"/>
  <c r="H1643" i="37"/>
  <c r="H1627" i="37"/>
  <c r="H1612" i="37"/>
  <c r="H1595" i="37"/>
  <c r="H1572" i="37"/>
  <c r="H1564" i="37"/>
  <c r="H1541" i="37"/>
  <c r="H1516" i="37"/>
  <c r="H1508" i="37"/>
  <c r="H1493" i="37"/>
  <c r="H1486" i="37"/>
  <c r="H1470" i="37"/>
  <c r="H1446" i="37"/>
  <c r="H1429" i="37"/>
  <c r="H1368" i="37"/>
  <c r="H1352" i="37"/>
  <c r="H1345" i="37"/>
  <c r="H1315" i="37"/>
  <c r="H1307" i="37"/>
  <c r="H1284" i="37"/>
  <c r="H1262" i="37"/>
  <c r="H1255" i="37"/>
  <c r="H1248" i="37"/>
  <c r="H1220" i="37"/>
  <c r="H1213" i="37"/>
  <c r="H1184" i="37"/>
  <c r="H1177" i="37"/>
  <c r="H1142" i="37"/>
  <c r="H1135" i="37"/>
  <c r="H1128" i="37"/>
  <c r="H1106" i="37"/>
  <c r="H1064" i="37"/>
  <c r="H1057" i="37"/>
  <c r="H1050" i="37"/>
  <c r="H1043" i="37"/>
  <c r="H986" i="37"/>
  <c r="H979" i="37"/>
  <c r="H972" i="37"/>
  <c r="H965" i="37"/>
  <c r="H958" i="37"/>
  <c r="H908" i="37"/>
  <c r="H901" i="37"/>
  <c r="H894" i="37"/>
  <c r="H887" i="37"/>
  <c r="H866" i="37"/>
  <c r="H830" i="37"/>
  <c r="H823" i="37"/>
  <c r="H816" i="37"/>
  <c r="H788" i="37"/>
  <c r="H781" i="37"/>
  <c r="H752" i="37"/>
  <c r="H745" i="37"/>
  <c r="H710" i="37"/>
  <c r="H703" i="37"/>
  <c r="H696" i="37"/>
  <c r="H674" i="37"/>
  <c r="H661" i="37"/>
  <c r="H648" i="37"/>
  <c r="H635" i="37"/>
  <c r="H622" i="37"/>
  <c r="H602" i="37"/>
  <c r="H589" i="37"/>
  <c r="H576" i="37"/>
  <c r="H563" i="37"/>
  <c r="H550" i="37"/>
  <c r="H530" i="37"/>
  <c r="H517" i="37"/>
  <c r="H504" i="37"/>
  <c r="H491" i="37"/>
  <c r="H478" i="37"/>
  <c r="H458" i="37"/>
  <c r="H445" i="37"/>
  <c r="H432" i="37"/>
  <c r="H419" i="37"/>
  <c r="H406" i="37"/>
  <c r="H386" i="37"/>
  <c r="H373" i="37"/>
  <c r="H360" i="37"/>
  <c r="H347" i="37"/>
  <c r="H334" i="37"/>
  <c r="H314" i="37"/>
  <c r="H301" i="37"/>
  <c r="H288" i="37"/>
  <c r="H275" i="37"/>
  <c r="H262" i="37"/>
  <c r="H242" i="37"/>
  <c r="H229" i="37"/>
  <c r="H216" i="37"/>
  <c r="H203" i="37"/>
  <c r="H190" i="37"/>
  <c r="H170" i="37"/>
  <c r="H157" i="37"/>
  <c r="H144" i="37"/>
  <c r="H131" i="37"/>
  <c r="H118" i="37"/>
  <c r="H98" i="37"/>
  <c r="H85" i="37"/>
  <c r="H72" i="37"/>
  <c r="H59" i="37"/>
  <c r="H46" i="37"/>
  <c r="H2479" i="37"/>
  <c r="H2461" i="37"/>
  <c r="H2433" i="37"/>
  <c r="H2388" i="37"/>
  <c r="H2363" i="37"/>
  <c r="H2354" i="37"/>
  <c r="H2281" i="37"/>
  <c r="H2203" i="37"/>
  <c r="H2185" i="37"/>
  <c r="H2149" i="37"/>
  <c r="H2114" i="37"/>
  <c r="H2097" i="37"/>
  <c r="H2088" i="37"/>
  <c r="H2079" i="37"/>
  <c r="H2071" i="37"/>
  <c r="H1982" i="37"/>
  <c r="H1967" i="37"/>
  <c r="H1916" i="37"/>
  <c r="H1907" i="37"/>
  <c r="H1898" i="37"/>
  <c r="H1883" i="37"/>
  <c r="H1850" i="37"/>
  <c r="H1783" i="37"/>
  <c r="H1741" i="37"/>
  <c r="H1715" i="37"/>
  <c r="H1698" i="37"/>
  <c r="H1666" i="37"/>
  <c r="H1658" i="37"/>
  <c r="H1634" i="37"/>
  <c r="H1619" i="37"/>
  <c r="H1579" i="37"/>
  <c r="H1548" i="37"/>
  <c r="H1500" i="37"/>
  <c r="H1477" i="37"/>
  <c r="H1421" i="37"/>
  <c r="H1414" i="37"/>
  <c r="H1375" i="37"/>
  <c r="H1337" i="37"/>
  <c r="H1330" i="37"/>
  <c r="H1322" i="37"/>
  <c r="H1291" i="37"/>
  <c r="H1276" i="37"/>
  <c r="H1241" i="37"/>
  <c r="H1234" i="37"/>
  <c r="H1205" i="37"/>
  <c r="H1198" i="37"/>
  <c r="H1170" i="37"/>
  <c r="H1163" i="37"/>
  <c r="H1156" i="37"/>
  <c r="H1120" i="37"/>
  <c r="H1099" i="37"/>
  <c r="H1092" i="37"/>
  <c r="H1085" i="37"/>
  <c r="H1078" i="37"/>
  <c r="H1028" i="37"/>
  <c r="H1021" i="37"/>
  <c r="H1014" i="37"/>
  <c r="H1007" i="37"/>
  <c r="H1000" i="37"/>
  <c r="H943" i="37"/>
  <c r="H936" i="37"/>
  <c r="H929" i="37"/>
  <c r="H922" i="37"/>
  <c r="H880" i="37"/>
  <c r="H858" i="37"/>
  <c r="H851" i="37"/>
  <c r="H844" i="37"/>
  <c r="H809" i="37"/>
  <c r="H802" i="37"/>
  <c r="H773" i="37"/>
  <c r="H766" i="37"/>
  <c r="H738" i="37"/>
  <c r="H731" i="37"/>
  <c r="H724" i="37"/>
  <c r="H688" i="37"/>
  <c r="H667" i="37"/>
  <c r="H654" i="37"/>
  <c r="H641" i="37"/>
  <c r="H628" i="37"/>
  <c r="H608" i="37"/>
  <c r="H595" i="37"/>
  <c r="H582" i="37"/>
  <c r="H569" i="37"/>
  <c r="H556" i="37"/>
  <c r="H536" i="37"/>
  <c r="H523" i="37"/>
  <c r="H25" i="37"/>
  <c r="H54" i="37"/>
  <c r="H91" i="37"/>
  <c r="H113" i="37"/>
  <c r="H150" i="37"/>
  <c r="H194" i="37"/>
  <c r="H209" i="37"/>
  <c r="H224" i="37"/>
  <c r="H232" i="37"/>
  <c r="H239" i="37"/>
  <c r="H246" i="37"/>
  <c r="H253" i="37"/>
  <c r="H260" i="37"/>
  <c r="H268" i="37"/>
  <c r="H283" i="37"/>
  <c r="H298" i="37"/>
  <c r="H342" i="37"/>
  <c r="H379" i="37"/>
  <c r="H401" i="37"/>
  <c r="H438" i="37"/>
  <c r="H482" i="37"/>
  <c r="H497" i="37"/>
  <c r="H512" i="37"/>
  <c r="H520" i="37"/>
  <c r="H542" i="37"/>
  <c r="H558" i="37"/>
  <c r="H581" i="37"/>
  <c r="H612" i="37"/>
  <c r="H619" i="37"/>
  <c r="H643" i="37"/>
  <c r="H666" i="37"/>
  <c r="H707" i="37"/>
  <c r="H740" i="37"/>
  <c r="H756" i="37"/>
  <c r="H772" i="37"/>
  <c r="H797" i="37"/>
  <c r="H805" i="37"/>
  <c r="H863" i="37"/>
  <c r="H904" i="37"/>
  <c r="H912" i="37"/>
  <c r="H928" i="37"/>
  <c r="H953" i="37"/>
  <c r="H1002" i="37"/>
  <c r="H1019" i="37"/>
  <c r="H1034" i="37"/>
  <c r="H1060" i="37"/>
  <c r="H1084" i="37"/>
  <c r="H1109" i="37"/>
  <c r="H1133" i="37"/>
  <c r="H1158" i="37"/>
  <c r="H1190" i="37"/>
  <c r="H1216" i="37"/>
  <c r="H1231" i="37"/>
  <c r="H1240" i="37"/>
  <c r="H1333" i="37"/>
  <c r="H1394" i="37"/>
  <c r="H1428" i="37"/>
  <c r="H1535" i="37"/>
  <c r="H1544" i="37"/>
  <c r="H1553" i="37"/>
  <c r="H1571" i="37"/>
  <c r="H1598" i="37"/>
  <c r="H1633" i="37"/>
  <c r="H1678" i="37"/>
  <c r="H1686" i="37"/>
  <c r="H1799" i="37"/>
  <c r="H1882" i="37"/>
  <c r="H1920" i="37"/>
  <c r="H2137" i="37"/>
  <c r="H2157" i="37"/>
  <c r="H2216" i="37"/>
  <c r="H2323" i="37"/>
  <c r="H84" i="37"/>
  <c r="H128" i="37"/>
  <c r="H173" i="37"/>
  <c r="H180" i="37"/>
  <c r="H187" i="37"/>
  <c r="H202" i="37"/>
  <c r="H313" i="37"/>
  <c r="H320" i="37"/>
  <c r="H350" i="37"/>
  <c r="H365" i="37"/>
  <c r="H372" i="37"/>
  <c r="H409" i="37"/>
  <c r="H416" i="37"/>
  <c r="H424" i="37"/>
  <c r="H431" i="37"/>
  <c r="H454" i="37"/>
  <c r="H461" i="37"/>
  <c r="H468" i="37"/>
  <c r="H475" i="37"/>
  <c r="H490" i="37"/>
  <c r="H528" i="37"/>
  <c r="H574" i="37"/>
  <c r="H605" i="37"/>
  <c r="H749" i="37"/>
  <c r="H764" i="37"/>
  <c r="H790" i="37"/>
  <c r="H814" i="37"/>
  <c r="H822" i="37"/>
  <c r="H847" i="37"/>
  <c r="H871" i="37"/>
  <c r="H920" i="37"/>
  <c r="H946" i="37"/>
  <c r="H961" i="37"/>
  <c r="H978" i="37"/>
  <c r="H1027" i="37"/>
  <c r="H1052" i="37"/>
  <c r="H1076" i="37"/>
  <c r="H1102" i="37"/>
  <c r="H1175" i="37"/>
  <c r="H1273" i="37"/>
  <c r="H1290" i="37"/>
  <c r="H1298" i="37"/>
  <c r="H1411" i="37"/>
  <c r="H1457" i="37"/>
  <c r="H1474" i="37"/>
  <c r="H1482" i="37"/>
  <c r="H1562" i="37"/>
  <c r="H1607" i="37"/>
  <c r="H1616" i="37"/>
  <c r="H1662" i="37"/>
  <c r="H1670" i="37"/>
  <c r="H1706" i="37"/>
  <c r="H1744" i="37"/>
  <c r="H1771" i="37"/>
  <c r="H1790" i="37"/>
  <c r="H1836" i="37"/>
  <c r="H1938" i="37"/>
  <c r="H1995" i="37"/>
  <c r="H2005" i="37"/>
  <c r="H2053" i="37"/>
  <c r="H2111" i="37"/>
  <c r="H2119" i="37"/>
  <c r="H2129" i="37"/>
  <c r="H2208" i="37"/>
  <c r="H2235" i="37"/>
  <c r="H2295" i="37"/>
  <c r="H2315" i="37"/>
  <c r="H2345" i="37"/>
  <c r="H2385" i="37"/>
  <c r="H2394" i="37"/>
  <c r="H2402" i="37"/>
  <c r="H2413" i="37"/>
  <c r="H55" i="37"/>
  <c r="H107" i="37"/>
  <c r="H114" i="37"/>
  <c r="H218" i="37"/>
  <c r="H233" i="37"/>
  <c r="H240" i="37"/>
  <c r="H247" i="37"/>
  <c r="H284" i="37"/>
  <c r="H388" i="37"/>
  <c r="H402" i="37"/>
  <c r="H506" i="37"/>
  <c r="H559" i="37"/>
  <c r="H644" i="37"/>
  <c r="H913" i="37"/>
  <c r="H1012" i="37"/>
  <c r="H1168" i="37"/>
  <c r="H1528" i="37"/>
  <c r="H1654" i="37"/>
  <c r="H1753" i="37"/>
  <c r="H1846" i="37"/>
  <c r="H78" i="37"/>
  <c r="H122" i="37"/>
  <c r="H137" i="37"/>
  <c r="H152" i="37"/>
  <c r="H160" i="37"/>
  <c r="H174" i="37"/>
  <c r="H181" i="37"/>
  <c r="H188" i="37"/>
  <c r="H410" i="37"/>
  <c r="H425" i="37"/>
  <c r="H440" i="37"/>
  <c r="H448" i="37"/>
  <c r="H455" i="37"/>
  <c r="H469" i="37"/>
  <c r="H476" i="37"/>
  <c r="H484" i="37"/>
  <c r="H499" i="37"/>
  <c r="H552" i="37"/>
  <c r="H637" i="37"/>
  <c r="H660" i="37"/>
  <c r="H692" i="37"/>
  <c r="H709" i="37"/>
  <c r="H742" i="37"/>
  <c r="H750" i="37"/>
  <c r="H815" i="37"/>
  <c r="H832" i="37"/>
  <c r="H840" i="37"/>
  <c r="H848" i="37"/>
  <c r="H889" i="37"/>
  <c r="H906" i="37"/>
  <c r="H947" i="37"/>
  <c r="H962" i="37"/>
  <c r="H971" i="37"/>
  <c r="H988" i="37"/>
  <c r="H1004" i="37"/>
  <c r="H1103" i="37"/>
  <c r="H1144" i="37"/>
  <c r="H1176" i="37"/>
  <c r="H1201" i="37"/>
  <c r="H1250" i="37"/>
  <c r="H1274" i="37"/>
  <c r="H1502" i="37"/>
  <c r="H1546" i="37"/>
  <c r="H1555" i="37"/>
  <c r="H1608" i="37"/>
  <c r="H1820" i="37"/>
  <c r="H1903" i="37"/>
  <c r="H1949" i="37"/>
  <c r="H1969" i="37"/>
  <c r="H2209" i="37"/>
  <c r="H2477" i="37"/>
  <c r="H49" i="37"/>
  <c r="H64" i="37"/>
  <c r="H560" i="37"/>
  <c r="H808" i="37"/>
  <c r="H1838" i="37"/>
  <c r="H2007" i="37"/>
  <c r="H35" i="37"/>
  <c r="H42" i="37"/>
  <c r="H146" i="37"/>
  <c r="H161" i="37"/>
  <c r="H168" i="37"/>
  <c r="H175" i="37"/>
  <c r="H182" i="37"/>
  <c r="H205" i="37"/>
  <c r="H212" i="37"/>
  <c r="H220" i="37"/>
  <c r="H227" i="37"/>
  <c r="H264" i="37"/>
  <c r="H271" i="37"/>
  <c r="H286" i="37"/>
  <c r="H316" i="37"/>
  <c r="H323" i="37"/>
  <c r="H330" i="37"/>
  <c r="H434" i="37"/>
  <c r="H449" i="37"/>
  <c r="H456" i="37"/>
  <c r="H463" i="37"/>
  <c r="H470" i="37"/>
  <c r="H493" i="37"/>
  <c r="H500" i="37"/>
  <c r="H508" i="37"/>
  <c r="H515" i="37"/>
  <c r="H553" i="37"/>
  <c r="H607" i="37"/>
  <c r="H646" i="37"/>
  <c r="H685" i="37"/>
  <c r="H743" i="37"/>
  <c r="H776" i="37"/>
  <c r="H792" i="37"/>
  <c r="H841" i="37"/>
  <c r="H890" i="37"/>
  <c r="H932" i="37"/>
  <c r="H989" i="37"/>
  <c r="H997" i="37"/>
  <c r="H1046" i="37"/>
  <c r="H1202" i="37"/>
  <c r="H1260" i="37"/>
  <c r="H1397" i="37"/>
  <c r="H1423" i="37"/>
  <c r="H1442" i="37"/>
  <c r="H1538" i="37"/>
  <c r="H1601" i="37"/>
  <c r="H1637" i="37"/>
  <c r="H1656" i="37"/>
  <c r="H1664" i="37"/>
  <c r="H1774" i="37"/>
  <c r="H1812" i="37"/>
  <c r="H1848" i="37"/>
  <c r="H1904" i="37"/>
  <c r="H1914" i="37"/>
  <c r="H1980" i="37"/>
  <c r="H1998" i="37"/>
  <c r="H2065" i="37"/>
  <c r="H2096" i="37"/>
  <c r="H2105" i="37"/>
  <c r="H2151" i="37"/>
  <c r="H2171" i="37"/>
  <c r="H2210" i="37"/>
  <c r="H2258" i="37"/>
  <c r="H2288" i="37"/>
  <c r="H2478" i="37"/>
  <c r="H43" i="37"/>
  <c r="H162" i="37"/>
  <c r="H169" i="37"/>
  <c r="H206" i="37"/>
  <c r="H221" i="37"/>
  <c r="H265" i="37"/>
  <c r="H1146" i="37"/>
  <c r="H1416" i="37"/>
  <c r="H1577" i="37"/>
  <c r="H1730" i="37"/>
  <c r="H1981" i="37"/>
  <c r="H2280" i="37"/>
  <c r="H2459" i="37"/>
  <c r="H244" i="37"/>
  <c r="H30" i="37"/>
  <c r="H37" i="37"/>
  <c r="H44" i="37"/>
  <c r="H52" i="37"/>
  <c r="H67" i="37"/>
  <c r="H82" i="37"/>
  <c r="H126" i="37"/>
  <c r="H163" i="37"/>
  <c r="H185" i="37"/>
  <c r="H222" i="37"/>
  <c r="H266" i="37"/>
  <c r="H281" i="37"/>
  <c r="H296" i="37"/>
  <c r="H304" i="37"/>
  <c r="H311" i="37"/>
  <c r="H318" i="37"/>
  <c r="H325" i="37"/>
  <c r="H332" i="37"/>
  <c r="H340" i="37"/>
  <c r="H355" i="37"/>
  <c r="H370" i="37"/>
  <c r="H414" i="37"/>
  <c r="H451" i="37"/>
  <c r="H473" i="37"/>
  <c r="H510" i="37"/>
  <c r="H526" i="37"/>
  <c r="H533" i="37"/>
  <c r="H587" i="37"/>
  <c r="H625" i="37"/>
  <c r="H672" i="37"/>
  <c r="H713" i="37"/>
  <c r="H762" i="37"/>
  <c r="H770" i="37"/>
  <c r="H828" i="37"/>
  <c r="H869" i="37"/>
  <c r="H893" i="37"/>
  <c r="H910" i="37"/>
  <c r="H926" i="37"/>
  <c r="H967" i="37"/>
  <c r="H984" i="37"/>
  <c r="H1025" i="37"/>
  <c r="H1040" i="37"/>
  <c r="H1066" i="37"/>
  <c r="H1082" i="37"/>
  <c r="H1123" i="37"/>
  <c r="H1181" i="37"/>
  <c r="H1196" i="37"/>
  <c r="H1222" i="37"/>
  <c r="H1246" i="37"/>
  <c r="H1254" i="37"/>
  <c r="H1279" i="37"/>
  <c r="H1296" i="37"/>
  <c r="H1312" i="37"/>
  <c r="H1357" i="37"/>
  <c r="H1409" i="37"/>
  <c r="H1417" i="37"/>
  <c r="H1480" i="37"/>
  <c r="H1578" i="37"/>
  <c r="H1631" i="37"/>
  <c r="H1640" i="37"/>
  <c r="H1650" i="37"/>
  <c r="H1693" i="37"/>
  <c r="H1777" i="37"/>
  <c r="H1806" i="37"/>
  <c r="H1824" i="37"/>
  <c r="H1861" i="37"/>
  <c r="H1870" i="37"/>
  <c r="H1889" i="37"/>
  <c r="H1954" i="37"/>
  <c r="H2117" i="37"/>
  <c r="H2126" i="37"/>
  <c r="H2144" i="37"/>
  <c r="H2251" i="37"/>
  <c r="H2271" i="37"/>
  <c r="H2400" i="37"/>
  <c r="H2420" i="37"/>
  <c r="H2430" i="37"/>
  <c r="I6" i="32"/>
  <c r="G16" i="52" s="1"/>
  <c r="H16" i="52" s="1"/>
  <c r="I7" i="32"/>
  <c r="G17" i="52" s="1"/>
  <c r="H17" i="52" s="1"/>
  <c r="I8" i="32"/>
  <c r="G18" i="52" s="1"/>
  <c r="H18" i="52" s="1"/>
  <c r="I9" i="32"/>
  <c r="G19" i="52" s="1"/>
  <c r="H19" i="52" s="1"/>
  <c r="I5" i="32"/>
  <c r="G15" i="52" s="1"/>
  <c r="F7" i="32"/>
  <c r="J7" i="32" s="1"/>
  <c r="F5" i="32"/>
  <c r="J5" i="32" s="1"/>
  <c r="F8" i="32"/>
  <c r="J8" i="32" s="1"/>
  <c r="F9" i="32"/>
  <c r="J9" i="32" s="1"/>
  <c r="F6" i="32"/>
  <c r="J6" i="32" s="1"/>
  <c r="E41" i="21"/>
  <c r="E40" i="21"/>
  <c r="P19" i="52" l="1"/>
  <c r="O19" i="52"/>
  <c r="P18" i="52"/>
  <c r="O18" i="52"/>
  <c r="Q31" i="52"/>
  <c r="Q30" i="52" s="1"/>
  <c r="O31" i="52"/>
  <c r="P31" i="52"/>
  <c r="H15" i="52"/>
  <c r="O17" i="52"/>
  <c r="P17" i="52"/>
  <c r="P16" i="52"/>
  <c r="O16" i="52"/>
  <c r="B59" i="16"/>
  <c r="B41" i="16"/>
  <c r="N19" i="37"/>
  <c r="N22" i="37"/>
  <c r="L29" i="37"/>
  <c r="M29" i="37" s="1"/>
  <c r="N29" i="37" s="1"/>
  <c r="L26" i="37"/>
  <c r="M26" i="37" s="1"/>
  <c r="N26" i="37" s="1"/>
  <c r="N20" i="37"/>
  <c r="L27" i="37"/>
  <c r="M27" i="37" s="1"/>
  <c r="N27" i="37" s="1"/>
  <c r="N21" i="37"/>
  <c r="L28" i="37"/>
  <c r="M28" i="37" s="1"/>
  <c r="N28" i="37" s="1"/>
  <c r="E18" i="24"/>
  <c r="E19" i="24"/>
  <c r="E20" i="24"/>
  <c r="E21" i="24"/>
  <c r="E17" i="24"/>
  <c r="C39" i="24" s="1"/>
  <c r="D18" i="24"/>
  <c r="D19" i="24"/>
  <c r="D20" i="24"/>
  <c r="D21" i="24"/>
  <c r="D17" i="24"/>
  <c r="C38" i="24" s="1"/>
  <c r="F11" i="29"/>
  <c r="F13" i="29" s="1"/>
  <c r="J30" i="24" s="1"/>
  <c r="G110" i="28"/>
  <c r="D110" i="28"/>
  <c r="G109" i="28"/>
  <c r="D109" i="28"/>
  <c r="G108" i="28"/>
  <c r="D108" i="28"/>
  <c r="G107" i="28"/>
  <c r="D107" i="28"/>
  <c r="G106" i="28"/>
  <c r="D106" i="28"/>
  <c r="G105" i="28"/>
  <c r="D105" i="28"/>
  <c r="G104" i="28"/>
  <c r="D104" i="28"/>
  <c r="G103" i="28"/>
  <c r="D103" i="28"/>
  <c r="G102" i="28"/>
  <c r="D102" i="28"/>
  <c r="G101" i="28"/>
  <c r="D101" i="28"/>
  <c r="G100" i="28"/>
  <c r="D100" i="28"/>
  <c r="G99" i="28"/>
  <c r="D99" i="28"/>
  <c r="G98" i="28"/>
  <c r="D98" i="28"/>
  <c r="G97" i="28"/>
  <c r="D97" i="28"/>
  <c r="G96" i="28"/>
  <c r="D96" i="28"/>
  <c r="G95" i="28"/>
  <c r="D95" i="28"/>
  <c r="G94" i="28"/>
  <c r="D94" i="28"/>
  <c r="G93" i="28"/>
  <c r="D93" i="28"/>
  <c r="G92" i="28"/>
  <c r="D92" i="28"/>
  <c r="G91" i="28"/>
  <c r="D91" i="28"/>
  <c r="G90" i="28"/>
  <c r="D90" i="28"/>
  <c r="G89" i="28"/>
  <c r="D89" i="28"/>
  <c r="G88" i="28"/>
  <c r="D88" i="28"/>
  <c r="G87" i="28"/>
  <c r="D87" i="28"/>
  <c r="G86" i="28"/>
  <c r="D86" i="28"/>
  <c r="G85" i="28"/>
  <c r="D85" i="28"/>
  <c r="G84" i="28"/>
  <c r="D84" i="28"/>
  <c r="G83" i="28"/>
  <c r="D83" i="28"/>
  <c r="G82" i="28"/>
  <c r="D82" i="28"/>
  <c r="G81" i="28"/>
  <c r="D81" i="28"/>
  <c r="G80" i="28"/>
  <c r="D80" i="28"/>
  <c r="G79" i="28"/>
  <c r="D79" i="28"/>
  <c r="G78" i="28"/>
  <c r="D78" i="28"/>
  <c r="G77" i="28"/>
  <c r="D77" i="28"/>
  <c r="G76" i="28"/>
  <c r="D76" i="28"/>
  <c r="G75" i="28"/>
  <c r="D75" i="28"/>
  <c r="G74" i="28"/>
  <c r="D74" i="28"/>
  <c r="G73" i="28"/>
  <c r="D73" i="28"/>
  <c r="G72" i="28"/>
  <c r="D72" i="28"/>
  <c r="G71" i="28"/>
  <c r="D71" i="28"/>
  <c r="G70" i="28"/>
  <c r="D70" i="28"/>
  <c r="G69" i="28"/>
  <c r="D69" i="28"/>
  <c r="G68" i="28"/>
  <c r="D68" i="28"/>
  <c r="G67" i="28"/>
  <c r="D67" i="28"/>
  <c r="G66" i="28"/>
  <c r="D66" i="28"/>
  <c r="G65" i="28"/>
  <c r="D65" i="28"/>
  <c r="G64" i="28"/>
  <c r="D64" i="28"/>
  <c r="G63" i="28"/>
  <c r="D63" i="28"/>
  <c r="G62" i="28"/>
  <c r="D62" i="28"/>
  <c r="G61" i="28"/>
  <c r="D61" i="28"/>
  <c r="G60" i="28"/>
  <c r="D60" i="28"/>
  <c r="G59" i="28"/>
  <c r="D59" i="28"/>
  <c r="G58" i="28"/>
  <c r="D58" i="28"/>
  <c r="G57" i="28"/>
  <c r="D57" i="28"/>
  <c r="G56" i="28"/>
  <c r="D56" i="28"/>
  <c r="G55" i="28"/>
  <c r="D55" i="28"/>
  <c r="G54" i="28"/>
  <c r="D54" i="28"/>
  <c r="G53" i="28"/>
  <c r="D53" i="28"/>
  <c r="G52" i="28"/>
  <c r="D52" i="28"/>
  <c r="G51" i="28"/>
  <c r="D51" i="28"/>
  <c r="G50" i="28"/>
  <c r="D50" i="28"/>
  <c r="G49" i="28"/>
  <c r="D49" i="28"/>
  <c r="G48" i="28"/>
  <c r="D48" i="28"/>
  <c r="G47" i="28"/>
  <c r="D47" i="28"/>
  <c r="G46" i="28"/>
  <c r="D46" i="28"/>
  <c r="G45" i="28"/>
  <c r="D45" i="28"/>
  <c r="G44" i="28"/>
  <c r="D44" i="28"/>
  <c r="G43" i="28"/>
  <c r="D43" i="28"/>
  <c r="G42" i="28"/>
  <c r="D42" i="28"/>
  <c r="G41" i="28"/>
  <c r="D41" i="28"/>
  <c r="G40" i="28"/>
  <c r="D40" i="28"/>
  <c r="G39" i="28"/>
  <c r="D39" i="28"/>
  <c r="G38" i="28"/>
  <c r="D38" i="28"/>
  <c r="G37" i="28"/>
  <c r="D37" i="28"/>
  <c r="G36" i="28"/>
  <c r="D36" i="28"/>
  <c r="G35" i="28"/>
  <c r="D35" i="28"/>
  <c r="G34" i="28"/>
  <c r="D34" i="28"/>
  <c r="G33" i="28"/>
  <c r="D33" i="28"/>
  <c r="G32" i="28"/>
  <c r="D32" i="28"/>
  <c r="G31" i="28"/>
  <c r="D31" i="28"/>
  <c r="G30" i="28"/>
  <c r="D30" i="28"/>
  <c r="G29" i="28"/>
  <c r="D29" i="28"/>
  <c r="G28" i="28"/>
  <c r="D28" i="28"/>
  <c r="G27" i="28"/>
  <c r="D27" i="28"/>
  <c r="G26" i="28"/>
  <c r="D26" i="28"/>
  <c r="G25" i="28"/>
  <c r="D25" i="28"/>
  <c r="G24" i="28"/>
  <c r="D24" i="28"/>
  <c r="G23" i="28"/>
  <c r="D23" i="28"/>
  <c r="G22" i="28"/>
  <c r="D22" i="28"/>
  <c r="G21" i="28"/>
  <c r="D21" i="28"/>
  <c r="G20" i="28"/>
  <c r="D20" i="28"/>
  <c r="G19" i="28"/>
  <c r="D19" i="28"/>
  <c r="G18" i="28"/>
  <c r="D18" i="28"/>
  <c r="G17" i="28"/>
  <c r="D17" i="28"/>
  <c r="G16" i="28"/>
  <c r="D16" i="28"/>
  <c r="G15" i="28"/>
  <c r="D15" i="28"/>
  <c r="G14" i="28"/>
  <c r="D14" i="28"/>
  <c r="G13" i="28"/>
  <c r="D13" i="28"/>
  <c r="G12" i="28"/>
  <c r="D12" i="28"/>
  <c r="G11" i="28"/>
  <c r="D11" i="28"/>
  <c r="G10" i="28"/>
  <c r="D10" i="28"/>
  <c r="M9" i="28"/>
  <c r="J6" i="28" s="1"/>
  <c r="J12" i="28" s="1"/>
  <c r="G9" i="28"/>
  <c r="D9" i="28"/>
  <c r="G8" i="28"/>
  <c r="D8" i="28"/>
  <c r="G110" i="27"/>
  <c r="D110" i="27"/>
  <c r="G109" i="27"/>
  <c r="D109" i="27"/>
  <c r="G108" i="27"/>
  <c r="D108" i="27"/>
  <c r="G107" i="27"/>
  <c r="D107" i="27"/>
  <c r="G106" i="27"/>
  <c r="D106" i="27"/>
  <c r="G105" i="27"/>
  <c r="D105" i="27"/>
  <c r="G104" i="27"/>
  <c r="D104" i="27"/>
  <c r="G103" i="27"/>
  <c r="D103" i="27"/>
  <c r="G102" i="27"/>
  <c r="D102" i="27"/>
  <c r="G101" i="27"/>
  <c r="D101" i="27"/>
  <c r="G100" i="27"/>
  <c r="D100" i="27"/>
  <c r="G99" i="27"/>
  <c r="D99" i="27"/>
  <c r="G98" i="27"/>
  <c r="D98" i="27"/>
  <c r="G97" i="27"/>
  <c r="D97" i="27"/>
  <c r="G96" i="27"/>
  <c r="D96" i="27"/>
  <c r="G95" i="27"/>
  <c r="D95" i="27"/>
  <c r="G94" i="27"/>
  <c r="D94" i="27"/>
  <c r="G93" i="27"/>
  <c r="D93" i="27"/>
  <c r="G92" i="27"/>
  <c r="D92" i="27"/>
  <c r="G91" i="27"/>
  <c r="D91" i="27"/>
  <c r="G90" i="27"/>
  <c r="D90" i="27"/>
  <c r="G89" i="27"/>
  <c r="D89" i="27"/>
  <c r="G88" i="27"/>
  <c r="D88" i="27"/>
  <c r="G87" i="27"/>
  <c r="D87" i="27"/>
  <c r="G86" i="27"/>
  <c r="D86" i="27"/>
  <c r="G85" i="27"/>
  <c r="D85" i="27"/>
  <c r="G84" i="27"/>
  <c r="D84" i="27"/>
  <c r="G83" i="27"/>
  <c r="D83" i="27"/>
  <c r="G82" i="27"/>
  <c r="D82" i="27"/>
  <c r="G81" i="27"/>
  <c r="D81" i="27"/>
  <c r="G80" i="27"/>
  <c r="D80" i="27"/>
  <c r="G79" i="27"/>
  <c r="D79" i="27"/>
  <c r="G78" i="27"/>
  <c r="D78" i="27"/>
  <c r="G77" i="27"/>
  <c r="D77" i="27"/>
  <c r="G76" i="27"/>
  <c r="D76" i="27"/>
  <c r="G75" i="27"/>
  <c r="D75" i="27"/>
  <c r="G74" i="27"/>
  <c r="D74" i="27"/>
  <c r="G73" i="27"/>
  <c r="D73" i="27"/>
  <c r="G72" i="27"/>
  <c r="D72" i="27"/>
  <c r="G71" i="27"/>
  <c r="D71" i="27"/>
  <c r="G70" i="27"/>
  <c r="D70" i="27"/>
  <c r="G69" i="27"/>
  <c r="D69" i="27"/>
  <c r="G68" i="27"/>
  <c r="D68" i="27"/>
  <c r="G67" i="27"/>
  <c r="D67" i="27"/>
  <c r="G66" i="27"/>
  <c r="D66" i="27"/>
  <c r="G65" i="27"/>
  <c r="D65" i="27"/>
  <c r="G64" i="27"/>
  <c r="D64" i="27"/>
  <c r="G63" i="27"/>
  <c r="D63" i="27"/>
  <c r="G62" i="27"/>
  <c r="D62" i="27"/>
  <c r="G61" i="27"/>
  <c r="D61" i="27"/>
  <c r="G60" i="27"/>
  <c r="D60" i="27"/>
  <c r="G59" i="27"/>
  <c r="D59" i="27"/>
  <c r="G58" i="27"/>
  <c r="D58" i="27"/>
  <c r="G57" i="27"/>
  <c r="D57" i="27"/>
  <c r="G56" i="27"/>
  <c r="D56" i="27"/>
  <c r="G55" i="27"/>
  <c r="D55" i="27"/>
  <c r="G54" i="27"/>
  <c r="D54" i="27"/>
  <c r="G53" i="27"/>
  <c r="D53" i="27"/>
  <c r="G52" i="27"/>
  <c r="D52" i="27"/>
  <c r="G51" i="27"/>
  <c r="D51" i="27"/>
  <c r="G50" i="27"/>
  <c r="D50" i="27"/>
  <c r="G49" i="27"/>
  <c r="D49" i="27"/>
  <c r="G48" i="27"/>
  <c r="D48" i="27"/>
  <c r="G47" i="27"/>
  <c r="D47" i="27"/>
  <c r="G46" i="27"/>
  <c r="D46" i="27"/>
  <c r="G45" i="27"/>
  <c r="D45" i="27"/>
  <c r="G44" i="27"/>
  <c r="D44" i="27"/>
  <c r="G43" i="27"/>
  <c r="D43" i="27"/>
  <c r="G42" i="27"/>
  <c r="D42" i="27"/>
  <c r="G41" i="27"/>
  <c r="D41" i="27"/>
  <c r="G40" i="27"/>
  <c r="D40" i="27"/>
  <c r="G39" i="27"/>
  <c r="D39" i="27"/>
  <c r="G38" i="27"/>
  <c r="D38" i="27"/>
  <c r="G37" i="27"/>
  <c r="D37" i="27"/>
  <c r="G36" i="27"/>
  <c r="D36" i="27"/>
  <c r="G35" i="27"/>
  <c r="D35" i="27"/>
  <c r="G34" i="27"/>
  <c r="D34" i="27"/>
  <c r="G33" i="27"/>
  <c r="D33" i="27"/>
  <c r="G32" i="27"/>
  <c r="D32" i="27"/>
  <c r="G31" i="27"/>
  <c r="D31" i="27"/>
  <c r="G30" i="27"/>
  <c r="D30" i="27"/>
  <c r="G29" i="27"/>
  <c r="D29" i="27"/>
  <c r="G28" i="27"/>
  <c r="D28" i="27"/>
  <c r="G27" i="27"/>
  <c r="D27" i="27"/>
  <c r="G26" i="27"/>
  <c r="D26" i="27"/>
  <c r="G25" i="27"/>
  <c r="D25" i="27"/>
  <c r="G24" i="27"/>
  <c r="D24" i="27"/>
  <c r="G23" i="27"/>
  <c r="D23" i="27"/>
  <c r="G22" i="27"/>
  <c r="D22" i="27"/>
  <c r="G21" i="27"/>
  <c r="D21" i="27"/>
  <c r="G20" i="27"/>
  <c r="D20" i="27"/>
  <c r="G19" i="27"/>
  <c r="D19" i="27"/>
  <c r="G18" i="27"/>
  <c r="D18" i="27"/>
  <c r="G17" i="27"/>
  <c r="D17" i="27"/>
  <c r="G16" i="27"/>
  <c r="D16" i="27"/>
  <c r="G15" i="27"/>
  <c r="D15" i="27"/>
  <c r="G14" i="27"/>
  <c r="D14" i="27"/>
  <c r="G13" i="27"/>
  <c r="D13" i="27"/>
  <c r="G12" i="27"/>
  <c r="D12" i="27"/>
  <c r="G11" i="27"/>
  <c r="D11" i="27"/>
  <c r="G10" i="27"/>
  <c r="D10" i="27"/>
  <c r="M9" i="27"/>
  <c r="J6" i="27" s="1"/>
  <c r="J12" i="27" s="1"/>
  <c r="G9" i="27"/>
  <c r="D9" i="27"/>
  <c r="G8" i="27"/>
  <c r="D8" i="27"/>
  <c r="G116" i="26"/>
  <c r="D116" i="26"/>
  <c r="G115" i="26"/>
  <c r="D115" i="26"/>
  <c r="G114" i="26"/>
  <c r="D114" i="26"/>
  <c r="G113" i="26"/>
  <c r="D113" i="26"/>
  <c r="G112" i="26"/>
  <c r="D112" i="26"/>
  <c r="G111" i="26"/>
  <c r="D111" i="26"/>
  <c r="G110" i="26"/>
  <c r="D110" i="26"/>
  <c r="G109" i="26"/>
  <c r="D109" i="26"/>
  <c r="G108" i="26"/>
  <c r="D108" i="26"/>
  <c r="G107" i="26"/>
  <c r="D107" i="26"/>
  <c r="G106" i="26"/>
  <c r="D106" i="26"/>
  <c r="G105" i="26"/>
  <c r="D105" i="26"/>
  <c r="G104" i="26"/>
  <c r="D104" i="26"/>
  <c r="G103" i="26"/>
  <c r="D103" i="26"/>
  <c r="G102" i="26"/>
  <c r="D102" i="26"/>
  <c r="G101" i="26"/>
  <c r="D101" i="26"/>
  <c r="G100" i="26"/>
  <c r="D100" i="26"/>
  <c r="G99" i="26"/>
  <c r="D99" i="26"/>
  <c r="G98" i="26"/>
  <c r="D98" i="26"/>
  <c r="G97" i="26"/>
  <c r="D97" i="26"/>
  <c r="G96" i="26"/>
  <c r="D96" i="26"/>
  <c r="G95" i="26"/>
  <c r="D95" i="26"/>
  <c r="G94" i="26"/>
  <c r="D94" i="26"/>
  <c r="G93" i="26"/>
  <c r="D93" i="26"/>
  <c r="G92" i="26"/>
  <c r="D92" i="26"/>
  <c r="G91" i="26"/>
  <c r="D91" i="26"/>
  <c r="G90" i="26"/>
  <c r="D90" i="26"/>
  <c r="G89" i="26"/>
  <c r="D89" i="26"/>
  <c r="G88" i="26"/>
  <c r="D88" i="26"/>
  <c r="G87" i="26"/>
  <c r="D87" i="26"/>
  <c r="G86" i="26"/>
  <c r="D86" i="26"/>
  <c r="G85" i="26"/>
  <c r="D85" i="26"/>
  <c r="G84" i="26"/>
  <c r="D84" i="26"/>
  <c r="G83" i="26"/>
  <c r="D83" i="26"/>
  <c r="G82" i="26"/>
  <c r="D82" i="26"/>
  <c r="G81" i="26"/>
  <c r="D81" i="26"/>
  <c r="G80" i="26"/>
  <c r="D80" i="26"/>
  <c r="G79" i="26"/>
  <c r="D79" i="26"/>
  <c r="G78" i="26"/>
  <c r="D78" i="26"/>
  <c r="G77" i="26"/>
  <c r="D77" i="26"/>
  <c r="G76" i="26"/>
  <c r="D76" i="26"/>
  <c r="G75" i="26"/>
  <c r="D75" i="26"/>
  <c r="G74" i="26"/>
  <c r="D74" i="26"/>
  <c r="G73" i="26"/>
  <c r="D73" i="26"/>
  <c r="G72" i="26"/>
  <c r="D72" i="26"/>
  <c r="G71" i="26"/>
  <c r="D71" i="26"/>
  <c r="G70" i="26"/>
  <c r="D70" i="26"/>
  <c r="G69" i="26"/>
  <c r="D69" i="26"/>
  <c r="G68" i="26"/>
  <c r="D68" i="26"/>
  <c r="G67" i="26"/>
  <c r="D67" i="26"/>
  <c r="G66" i="26"/>
  <c r="D66" i="26"/>
  <c r="G65" i="26"/>
  <c r="D65" i="26"/>
  <c r="G64" i="26"/>
  <c r="D64" i="26"/>
  <c r="G63" i="26"/>
  <c r="D63" i="26"/>
  <c r="G62" i="26"/>
  <c r="D62" i="26"/>
  <c r="G61" i="26"/>
  <c r="D61" i="26"/>
  <c r="G60" i="26"/>
  <c r="D60" i="26"/>
  <c r="G59" i="26"/>
  <c r="D59" i="26"/>
  <c r="G58" i="26"/>
  <c r="D58" i="26"/>
  <c r="G57" i="26"/>
  <c r="D57" i="26"/>
  <c r="G56" i="26"/>
  <c r="D56" i="26"/>
  <c r="G55" i="26"/>
  <c r="D55" i="26"/>
  <c r="G54" i="26"/>
  <c r="D54" i="26"/>
  <c r="G53" i="26"/>
  <c r="D53" i="26"/>
  <c r="G52" i="26"/>
  <c r="D52" i="26"/>
  <c r="G51" i="26"/>
  <c r="D51" i="26"/>
  <c r="G50" i="26"/>
  <c r="D50" i="26"/>
  <c r="G49" i="26"/>
  <c r="D49" i="26"/>
  <c r="G48" i="26"/>
  <c r="D48" i="26"/>
  <c r="G47" i="26"/>
  <c r="D47" i="26"/>
  <c r="G46" i="26"/>
  <c r="D46" i="26"/>
  <c r="G45" i="26"/>
  <c r="D45" i="26"/>
  <c r="G44" i="26"/>
  <c r="D44" i="26"/>
  <c r="G43" i="26"/>
  <c r="D43" i="26"/>
  <c r="G42" i="26"/>
  <c r="D42" i="26"/>
  <c r="G41" i="26"/>
  <c r="D41" i="26"/>
  <c r="G40" i="26"/>
  <c r="D40" i="26"/>
  <c r="G39" i="26"/>
  <c r="D39" i="26"/>
  <c r="G38" i="26"/>
  <c r="D38" i="26"/>
  <c r="G37" i="26"/>
  <c r="D37" i="26"/>
  <c r="G36" i="26"/>
  <c r="D36" i="26"/>
  <c r="G35" i="26"/>
  <c r="D35" i="26"/>
  <c r="G34" i="26"/>
  <c r="D34" i="26"/>
  <c r="G33" i="26"/>
  <c r="D33" i="26"/>
  <c r="G32" i="26"/>
  <c r="D32" i="26"/>
  <c r="G31" i="26"/>
  <c r="D31" i="26"/>
  <c r="G30" i="26"/>
  <c r="D30" i="26"/>
  <c r="G29" i="26"/>
  <c r="D29" i="26"/>
  <c r="G28" i="26"/>
  <c r="D28" i="26"/>
  <c r="G27" i="26"/>
  <c r="D27" i="26"/>
  <c r="G26" i="26"/>
  <c r="D26" i="26"/>
  <c r="G25" i="26"/>
  <c r="D25" i="26"/>
  <c r="G24" i="26"/>
  <c r="D24" i="26"/>
  <c r="G23" i="26"/>
  <c r="D23" i="26"/>
  <c r="G22" i="26"/>
  <c r="D22" i="26"/>
  <c r="G21" i="26"/>
  <c r="D21" i="26"/>
  <c r="G20" i="26"/>
  <c r="D20" i="26"/>
  <c r="G19" i="26"/>
  <c r="D19" i="26"/>
  <c r="G18" i="26"/>
  <c r="D18" i="26"/>
  <c r="G17" i="26"/>
  <c r="D17" i="26"/>
  <c r="G16" i="26"/>
  <c r="D16" i="26"/>
  <c r="M15" i="26"/>
  <c r="J12" i="26" s="1"/>
  <c r="J18" i="26" s="1"/>
  <c r="G15" i="26"/>
  <c r="D15" i="26"/>
  <c r="G14" i="26"/>
  <c r="D14" i="26"/>
  <c r="F23" i="24"/>
  <c r="F24" i="24"/>
  <c r="E30" i="24" s="1"/>
  <c r="J39" i="24" s="1"/>
  <c r="E29" i="24"/>
  <c r="P15" i="52" l="1"/>
  <c r="O15" i="52"/>
  <c r="B60" i="16"/>
  <c r="B42" i="16"/>
  <c r="E31" i="24"/>
  <c r="J47" i="24" s="1"/>
  <c r="G19" i="24"/>
  <c r="J19" i="24" s="1"/>
  <c r="H20" i="24"/>
  <c r="G18" i="24"/>
  <c r="J18" i="24" s="1"/>
  <c r="G21" i="24"/>
  <c r="J21" i="24" s="1"/>
  <c r="G20" i="24"/>
  <c r="J20" i="24" s="1"/>
  <c r="M6" i="27"/>
  <c r="H21" i="24"/>
  <c r="M13" i="26"/>
  <c r="M7" i="27"/>
  <c r="M7" i="28"/>
  <c r="H18" i="24"/>
  <c r="I17" i="24"/>
  <c r="M6" i="28"/>
  <c r="C40" i="24"/>
  <c r="D39" i="24" s="1"/>
  <c r="G17" i="24"/>
  <c r="M12" i="26"/>
  <c r="H17" i="24"/>
  <c r="H19" i="24"/>
  <c r="O23" i="52" l="1"/>
  <c r="O26" i="52"/>
  <c r="O24" i="52"/>
  <c r="O30" i="52" s="1"/>
  <c r="O32" i="52" s="1"/>
  <c r="O35" i="52" s="1"/>
  <c r="O22" i="52"/>
  <c r="O25" i="52"/>
  <c r="O21" i="52"/>
  <c r="P22" i="52"/>
  <c r="P23" i="52"/>
  <c r="P25" i="52"/>
  <c r="P24" i="52"/>
  <c r="P30" i="52" s="1"/>
  <c r="P32" i="52" s="1"/>
  <c r="P35" i="52" s="1"/>
  <c r="P38" i="52" s="1"/>
  <c r="P26" i="52"/>
  <c r="P21" i="52"/>
  <c r="G24" i="24"/>
  <c r="J17" i="24"/>
  <c r="J24" i="24" s="1"/>
  <c r="J37" i="24" s="1"/>
  <c r="G23" i="24"/>
  <c r="I23" i="24"/>
  <c r="I24" i="24"/>
  <c r="D40" i="24"/>
  <c r="E40" i="24" s="1"/>
  <c r="D38" i="24"/>
  <c r="D42" i="24" s="1"/>
  <c r="H23" i="24"/>
  <c r="E38" i="24" s="1"/>
  <c r="H24" i="24"/>
  <c r="O38" i="52" l="1"/>
  <c r="O12" i="33"/>
  <c r="P12" i="33" s="1"/>
  <c r="J23" i="24"/>
  <c r="E39" i="24"/>
  <c r="J45" i="24" s="1"/>
  <c r="J48" i="24"/>
  <c r="E42" i="24" l="1"/>
  <c r="J38" i="24" s="1"/>
  <c r="J40" i="24" s="1"/>
  <c r="J31" i="24" s="1"/>
  <c r="J32" i="24" s="1"/>
  <c r="J44" i="24" s="1"/>
  <c r="J50" i="24" s="1"/>
  <c r="E23" i="21" s="1"/>
  <c r="E28" i="21" s="1"/>
  <c r="E29" i="21"/>
  <c r="H16" i="21"/>
  <c r="I16" i="21" s="1"/>
  <c r="F13" i="21"/>
  <c r="G12" i="21"/>
  <c r="H12" i="21" s="1"/>
  <c r="I12" i="21" s="1"/>
  <c r="J12" i="21" s="1"/>
  <c r="K12" i="21" s="1"/>
  <c r="G9" i="21"/>
  <c r="H9" i="21" s="1"/>
  <c r="I9" i="21" s="1"/>
  <c r="J9" i="21" s="1"/>
  <c r="K9" i="21" s="1"/>
  <c r="H37" i="20"/>
  <c r="I37" i="20"/>
  <c r="J37" i="20"/>
  <c r="K37" i="20"/>
  <c r="G37" i="20"/>
  <c r="G27" i="20"/>
  <c r="H27" i="20"/>
  <c r="I27" i="20"/>
  <c r="J27" i="20"/>
  <c r="K27" i="20"/>
  <c r="G28" i="20"/>
  <c r="H28" i="20"/>
  <c r="I28" i="20"/>
  <c r="J28" i="20"/>
  <c r="K28" i="20"/>
  <c r="G29" i="20"/>
  <c r="H29" i="20"/>
  <c r="I29" i="20"/>
  <c r="J29" i="20"/>
  <c r="K29" i="20"/>
  <c r="G30" i="20"/>
  <c r="H30" i="20"/>
  <c r="I30" i="20"/>
  <c r="J30" i="20"/>
  <c r="K30" i="20"/>
  <c r="G31" i="20"/>
  <c r="H31" i="20"/>
  <c r="I31" i="20"/>
  <c r="J31" i="20"/>
  <c r="K31" i="20"/>
  <c r="G32" i="20"/>
  <c r="H32" i="20"/>
  <c r="I32" i="20"/>
  <c r="J32" i="20"/>
  <c r="K32" i="20"/>
  <c r="G33" i="20"/>
  <c r="H33" i="20"/>
  <c r="I33" i="20"/>
  <c r="J33" i="20"/>
  <c r="K33" i="20"/>
  <c r="G34" i="20"/>
  <c r="H34" i="20"/>
  <c r="I34" i="20"/>
  <c r="J34" i="20"/>
  <c r="K34" i="20"/>
  <c r="H26" i="20"/>
  <c r="I26" i="20"/>
  <c r="J26" i="20"/>
  <c r="K26" i="20"/>
  <c r="G26" i="20"/>
  <c r="B27" i="20"/>
  <c r="B28" i="20"/>
  <c r="B29" i="20"/>
  <c r="B30" i="20"/>
  <c r="B31" i="20"/>
  <c r="B32" i="20"/>
  <c r="B33" i="20"/>
  <c r="B34" i="20"/>
  <c r="B36" i="20"/>
  <c r="B37" i="20"/>
  <c r="B26" i="20"/>
  <c r="G20" i="20"/>
  <c r="H20" i="20"/>
  <c r="I20" i="20"/>
  <c r="J20" i="20"/>
  <c r="K20" i="20"/>
  <c r="H19" i="20"/>
  <c r="I19" i="20"/>
  <c r="J19" i="20"/>
  <c r="K19" i="20"/>
  <c r="G19" i="20"/>
  <c r="B20" i="20"/>
  <c r="B19" i="20"/>
  <c r="H13" i="20"/>
  <c r="I13" i="20"/>
  <c r="J13" i="20"/>
  <c r="K13" i="20"/>
  <c r="G13" i="20"/>
  <c r="G15" i="20"/>
  <c r="H15" i="20"/>
  <c r="I15" i="20"/>
  <c r="J15" i="20"/>
  <c r="K15" i="20"/>
  <c r="H14" i="20"/>
  <c r="I14" i="20"/>
  <c r="J14" i="20"/>
  <c r="K14" i="20"/>
  <c r="G14" i="20"/>
  <c r="H12" i="20"/>
  <c r="I12" i="20"/>
  <c r="J12" i="20"/>
  <c r="K12" i="20"/>
  <c r="G12" i="20"/>
  <c r="D32" i="19"/>
  <c r="E32" i="19"/>
  <c r="F32" i="19"/>
  <c r="G32" i="19"/>
  <c r="H32" i="19"/>
  <c r="I32" i="19"/>
  <c r="J32" i="19"/>
  <c r="K32" i="19"/>
  <c r="L32" i="19"/>
  <c r="C32" i="19"/>
  <c r="C46" i="18"/>
  <c r="D46" i="18"/>
  <c r="E46" i="18"/>
  <c r="F46" i="18"/>
  <c r="G46" i="18"/>
  <c r="H46" i="18"/>
  <c r="I46" i="18"/>
  <c r="J46" i="18"/>
  <c r="K46" i="18"/>
  <c r="L46" i="18"/>
  <c r="C47" i="18"/>
  <c r="D47" i="18"/>
  <c r="E47" i="18"/>
  <c r="F47" i="18"/>
  <c r="G47" i="18"/>
  <c r="H47" i="18"/>
  <c r="I47" i="18"/>
  <c r="J47" i="18"/>
  <c r="K47" i="18"/>
  <c r="L47" i="18"/>
  <c r="D45" i="18"/>
  <c r="E45" i="18"/>
  <c r="F45" i="18"/>
  <c r="G45" i="18"/>
  <c r="H45" i="18"/>
  <c r="I45" i="18"/>
  <c r="J45" i="18"/>
  <c r="K45" i="18"/>
  <c r="L45" i="18"/>
  <c r="C45" i="18"/>
  <c r="C42" i="18"/>
  <c r="D42" i="18"/>
  <c r="E42" i="18"/>
  <c r="F42" i="18"/>
  <c r="G42" i="18"/>
  <c r="H42" i="18"/>
  <c r="I42" i="18"/>
  <c r="J42" i="18"/>
  <c r="K42" i="18"/>
  <c r="L42" i="18"/>
  <c r="C43" i="18"/>
  <c r="D43" i="18"/>
  <c r="E43" i="18"/>
  <c r="F43" i="18"/>
  <c r="G43" i="18"/>
  <c r="H43" i="18"/>
  <c r="I43" i="18"/>
  <c r="J43" i="18"/>
  <c r="K43" i="18"/>
  <c r="L43" i="18"/>
  <c r="D41" i="18"/>
  <c r="E41" i="18"/>
  <c r="F41" i="18"/>
  <c r="G41" i="18"/>
  <c r="H41" i="18"/>
  <c r="I41" i="18"/>
  <c r="J41" i="18"/>
  <c r="K41" i="18"/>
  <c r="L41" i="18"/>
  <c r="C41" i="18"/>
  <c r="C75" i="6"/>
  <c r="D44" i="18" s="1"/>
  <c r="D75" i="6"/>
  <c r="E44" i="18" s="1"/>
  <c r="E75" i="6"/>
  <c r="F44" i="18" s="1"/>
  <c r="F75" i="6"/>
  <c r="G44" i="18" s="1"/>
  <c r="G75" i="6"/>
  <c r="H44" i="18" s="1"/>
  <c r="H75" i="6"/>
  <c r="I44" i="18" s="1"/>
  <c r="I75" i="6"/>
  <c r="J44" i="18" s="1"/>
  <c r="J75" i="6"/>
  <c r="K44" i="18" s="1"/>
  <c r="K75" i="6"/>
  <c r="L44" i="18" s="1"/>
  <c r="B75" i="6"/>
  <c r="C44" i="18" s="1"/>
  <c r="B42" i="18"/>
  <c r="B43" i="18"/>
  <c r="B44" i="18"/>
  <c r="B45" i="18"/>
  <c r="B46" i="18"/>
  <c r="B47" i="18"/>
  <c r="B41" i="18"/>
  <c r="D40" i="18"/>
  <c r="E40" i="18"/>
  <c r="F40" i="18"/>
  <c r="G40" i="18"/>
  <c r="H40" i="18"/>
  <c r="I40" i="18"/>
  <c r="J40" i="18"/>
  <c r="K40" i="18"/>
  <c r="L40" i="18"/>
  <c r="C40" i="18"/>
  <c r="C36" i="18"/>
  <c r="D36" i="18"/>
  <c r="E36" i="18"/>
  <c r="F36" i="18"/>
  <c r="G36" i="18"/>
  <c r="H36" i="18"/>
  <c r="I36" i="18"/>
  <c r="J36" i="18"/>
  <c r="K36" i="18"/>
  <c r="L36" i="18"/>
  <c r="C37" i="18"/>
  <c r="D37" i="18"/>
  <c r="E37" i="18"/>
  <c r="F37" i="18"/>
  <c r="G37" i="18"/>
  <c r="H37" i="18"/>
  <c r="I37" i="18"/>
  <c r="J37" i="18"/>
  <c r="K37" i="18"/>
  <c r="L37" i="18"/>
  <c r="C38" i="18"/>
  <c r="D38" i="18"/>
  <c r="E38" i="18"/>
  <c r="F38" i="18"/>
  <c r="G38" i="18"/>
  <c r="H38" i="18"/>
  <c r="I38" i="18"/>
  <c r="J38" i="18"/>
  <c r="K38" i="18"/>
  <c r="L38" i="18"/>
  <c r="D35" i="18"/>
  <c r="E35" i="18"/>
  <c r="F35" i="18"/>
  <c r="G35" i="18"/>
  <c r="H35" i="18"/>
  <c r="I35" i="18"/>
  <c r="J35" i="18"/>
  <c r="K35" i="18"/>
  <c r="L35" i="18"/>
  <c r="C35" i="18"/>
  <c r="B36" i="18"/>
  <c r="B37" i="18"/>
  <c r="B38" i="18"/>
  <c r="B35" i="18"/>
  <c r="D34" i="18"/>
  <c r="E34" i="18"/>
  <c r="F34" i="18"/>
  <c r="G34" i="18"/>
  <c r="H34" i="18"/>
  <c r="I34" i="18"/>
  <c r="J34" i="18"/>
  <c r="K34" i="18"/>
  <c r="L34" i="18"/>
  <c r="C34" i="18"/>
  <c r="D32" i="18"/>
  <c r="E32" i="18"/>
  <c r="F32" i="18"/>
  <c r="G32" i="18"/>
  <c r="H32" i="18"/>
  <c r="I32" i="18"/>
  <c r="J32" i="18"/>
  <c r="K32" i="18"/>
  <c r="L32" i="18"/>
  <c r="C32" i="18"/>
  <c r="B30" i="18"/>
  <c r="C14" i="18"/>
  <c r="D14" i="18"/>
  <c r="E14" i="18"/>
  <c r="F14" i="18"/>
  <c r="G14" i="18"/>
  <c r="H14" i="18"/>
  <c r="I14" i="18"/>
  <c r="J14" i="18"/>
  <c r="K14" i="18"/>
  <c r="L14" i="18"/>
  <c r="C15" i="18"/>
  <c r="D15" i="18"/>
  <c r="E15" i="18"/>
  <c r="F15" i="18"/>
  <c r="G15" i="18"/>
  <c r="H15" i="18"/>
  <c r="I15" i="18"/>
  <c r="J15" i="18"/>
  <c r="K15" i="18"/>
  <c r="L15" i="18"/>
  <c r="C16" i="18"/>
  <c r="D16" i="18"/>
  <c r="E16" i="18"/>
  <c r="F16" i="18"/>
  <c r="G16" i="18"/>
  <c r="H16" i="18"/>
  <c r="I16" i="18"/>
  <c r="J16" i="18"/>
  <c r="K16" i="18"/>
  <c r="L16" i="18"/>
  <c r="C17" i="18"/>
  <c r="D17" i="18"/>
  <c r="E17" i="18"/>
  <c r="F17" i="18"/>
  <c r="G17" i="18"/>
  <c r="H17" i="18"/>
  <c r="I17" i="18"/>
  <c r="J17" i="18"/>
  <c r="K17" i="18"/>
  <c r="L17" i="18"/>
  <c r="C18" i="18"/>
  <c r="D18" i="18"/>
  <c r="E18" i="18"/>
  <c r="F18" i="18"/>
  <c r="G18" i="18"/>
  <c r="H18" i="18"/>
  <c r="I18" i="18"/>
  <c r="J18" i="18"/>
  <c r="K18" i="18"/>
  <c r="L18" i="18"/>
  <c r="C19" i="18"/>
  <c r="D19" i="18"/>
  <c r="E19" i="18"/>
  <c r="F19" i="18"/>
  <c r="G19" i="18"/>
  <c r="H19" i="18"/>
  <c r="I19" i="18"/>
  <c r="J19" i="18"/>
  <c r="K19" i="18"/>
  <c r="L19" i="18"/>
  <c r="C20" i="18"/>
  <c r="D20" i="18"/>
  <c r="E20" i="18"/>
  <c r="F20" i="18"/>
  <c r="G20" i="18"/>
  <c r="H20" i="18"/>
  <c r="I20" i="18"/>
  <c r="J20" i="18"/>
  <c r="K20" i="18"/>
  <c r="L20" i="18"/>
  <c r="C21" i="18"/>
  <c r="D21" i="18"/>
  <c r="E21" i="18"/>
  <c r="F21" i="18"/>
  <c r="G21" i="18"/>
  <c r="H21" i="18"/>
  <c r="I21" i="18"/>
  <c r="J21" i="18"/>
  <c r="K21" i="18"/>
  <c r="L21" i="18"/>
  <c r="C22" i="18"/>
  <c r="D22" i="18"/>
  <c r="E22" i="18"/>
  <c r="F22" i="18"/>
  <c r="G22" i="18"/>
  <c r="H22" i="18"/>
  <c r="I22" i="18"/>
  <c r="J22" i="18"/>
  <c r="K22" i="18"/>
  <c r="L22" i="18"/>
  <c r="C23" i="18"/>
  <c r="D23" i="18"/>
  <c r="E23" i="18"/>
  <c r="F23" i="18"/>
  <c r="G23" i="18"/>
  <c r="H23" i="18"/>
  <c r="I23" i="18"/>
  <c r="J23" i="18"/>
  <c r="K23" i="18"/>
  <c r="L23" i="18"/>
  <c r="C24" i="18"/>
  <c r="D24" i="18"/>
  <c r="E24" i="18"/>
  <c r="F24" i="18"/>
  <c r="G24" i="18"/>
  <c r="H24" i="18"/>
  <c r="I24" i="18"/>
  <c r="J24" i="18"/>
  <c r="K24" i="18"/>
  <c r="L24" i="18"/>
  <c r="C25" i="18"/>
  <c r="D25" i="18"/>
  <c r="E25" i="18"/>
  <c r="F25" i="18"/>
  <c r="G25" i="18"/>
  <c r="H25" i="18"/>
  <c r="I25" i="18"/>
  <c r="J25" i="18"/>
  <c r="K25" i="18"/>
  <c r="L25" i="18"/>
  <c r="C26" i="18"/>
  <c r="D26" i="18"/>
  <c r="E26" i="18"/>
  <c r="F26" i="18"/>
  <c r="G26" i="18"/>
  <c r="H26" i="18"/>
  <c r="I26" i="18"/>
  <c r="J26" i="18"/>
  <c r="K26" i="18"/>
  <c r="L26" i="18"/>
  <c r="C27" i="18"/>
  <c r="D27" i="18"/>
  <c r="E27" i="18"/>
  <c r="F27" i="18"/>
  <c r="G27" i="18"/>
  <c r="H27" i="18"/>
  <c r="I27" i="18"/>
  <c r="J27" i="18"/>
  <c r="K27" i="18"/>
  <c r="L27" i="18"/>
  <c r="B28" i="18"/>
  <c r="C32" i="6"/>
  <c r="D32" i="6"/>
  <c r="E32" i="6"/>
  <c r="F32" i="6"/>
  <c r="G32" i="6"/>
  <c r="H32" i="6"/>
  <c r="H102" i="6" s="1"/>
  <c r="D29" i="41" s="1"/>
  <c r="I32" i="6"/>
  <c r="J32" i="6"/>
  <c r="K32" i="6"/>
  <c r="K102" i="6" s="1"/>
  <c r="G29" i="41" s="1"/>
  <c r="B32" i="6"/>
  <c r="D13" i="18"/>
  <c r="E13" i="18"/>
  <c r="F13" i="18"/>
  <c r="G13" i="18"/>
  <c r="H13" i="18"/>
  <c r="I13" i="18"/>
  <c r="J13" i="18"/>
  <c r="K13" i="18"/>
  <c r="L13" i="18"/>
  <c r="C13" i="18"/>
  <c r="B14" i="18"/>
  <c r="B15" i="18"/>
  <c r="B16" i="18"/>
  <c r="B17" i="18"/>
  <c r="B18" i="18"/>
  <c r="B19" i="18"/>
  <c r="B20" i="18"/>
  <c r="B21" i="18"/>
  <c r="B22" i="18"/>
  <c r="B23" i="18"/>
  <c r="B24" i="18"/>
  <c r="B25" i="18"/>
  <c r="B26" i="18"/>
  <c r="B27" i="18"/>
  <c r="B29" i="18"/>
  <c r="B13" i="18"/>
  <c r="D11" i="18"/>
  <c r="E11" i="18"/>
  <c r="F11" i="18"/>
  <c r="G11" i="18"/>
  <c r="H11" i="18"/>
  <c r="I11" i="18"/>
  <c r="J11" i="18"/>
  <c r="K11" i="18"/>
  <c r="L11" i="18"/>
  <c r="C11" i="18"/>
  <c r="B9" i="18"/>
  <c r="C10" i="16"/>
  <c r="C11" i="16" s="1"/>
  <c r="C12" i="16" s="1"/>
  <c r="C13" i="16" s="1"/>
  <c r="C14" i="16" s="1"/>
  <c r="C15" i="16" s="1"/>
  <c r="C16" i="16" s="1"/>
  <c r="C17" i="16" s="1"/>
  <c r="C18" i="16" s="1"/>
  <c r="C19" i="16" s="1"/>
  <c r="C20" i="16" s="1"/>
  <c r="C21" i="16" s="1"/>
  <c r="C22" i="16" s="1"/>
  <c r="C23" i="16" s="1"/>
  <c r="C24" i="16" s="1"/>
  <c r="B8" i="16"/>
  <c r="D10" i="16" a="1"/>
  <c r="D11" i="16" s="1"/>
  <c r="B11" i="16"/>
  <c r="B12" i="16" s="1"/>
  <c r="B13" i="16" s="1"/>
  <c r="B14" i="16" s="1"/>
  <c r="B15" i="16" s="1"/>
  <c r="B16" i="16" s="1"/>
  <c r="B17" i="16" s="1"/>
  <c r="B18" i="16" s="1"/>
  <c r="B19" i="16" s="1"/>
  <c r="B20" i="16" s="1"/>
  <c r="B21" i="16" s="1"/>
  <c r="B22" i="16" s="1"/>
  <c r="B23" i="16" s="1"/>
  <c r="B24" i="16" s="1"/>
  <c r="D34" i="15"/>
  <c r="D35" i="15"/>
  <c r="D36" i="15"/>
  <c r="D37" i="15"/>
  <c r="D33" i="15"/>
  <c r="K21" i="20" l="1"/>
  <c r="E37" i="15"/>
  <c r="E36" i="15"/>
  <c r="E35" i="15"/>
  <c r="E34" i="15"/>
  <c r="L28" i="18"/>
  <c r="C28" i="18"/>
  <c r="B102" i="6"/>
  <c r="I28" i="18"/>
  <c r="D28" i="18"/>
  <c r="C102" i="6"/>
  <c r="K28" i="18"/>
  <c r="J102" i="6"/>
  <c r="F29" i="41" s="1"/>
  <c r="H28" i="18"/>
  <c r="G102" i="6"/>
  <c r="C29" i="41" s="1"/>
  <c r="G28" i="18"/>
  <c r="F102" i="6"/>
  <c r="E28" i="18"/>
  <c r="D102" i="6"/>
  <c r="J28" i="18"/>
  <c r="I102" i="6"/>
  <c r="E29" i="41" s="1"/>
  <c r="F28" i="18"/>
  <c r="E102" i="6"/>
  <c r="J21" i="20"/>
  <c r="I21" i="20"/>
  <c r="G17" i="21"/>
  <c r="H17" i="21"/>
  <c r="I17" i="21"/>
  <c r="J16" i="21"/>
  <c r="J17" i="21" s="1"/>
  <c r="H36" i="20"/>
  <c r="H38" i="20" s="1"/>
  <c r="H21" i="20"/>
  <c r="J36" i="20"/>
  <c r="J38" i="20" s="1"/>
  <c r="G21" i="20"/>
  <c r="K36" i="20"/>
  <c r="K38" i="20" s="1"/>
  <c r="G36" i="20"/>
  <c r="G38" i="20" s="1"/>
  <c r="I36" i="20"/>
  <c r="I38" i="20" s="1"/>
  <c r="H16" i="20"/>
  <c r="I16" i="20"/>
  <c r="G16" i="20"/>
  <c r="K16" i="20"/>
  <c r="J16" i="20"/>
  <c r="D10" i="16"/>
  <c r="D18" i="16"/>
  <c r="D15" i="16"/>
  <c r="D13" i="16"/>
  <c r="D12" i="16"/>
  <c r="E12" i="16" s="1"/>
  <c r="D19" i="16"/>
  <c r="D17" i="16"/>
  <c r="D16" i="16"/>
  <c r="D14" i="16"/>
  <c r="K23" i="20" l="1"/>
  <c r="K40" i="20" s="1"/>
  <c r="E15" i="16"/>
  <c r="J23" i="20"/>
  <c r="E19" i="16"/>
  <c r="H23" i="20"/>
  <c r="I23" i="20"/>
  <c r="I40" i="20" s="1"/>
  <c r="E18" i="16"/>
  <c r="G23" i="20"/>
  <c r="E13" i="16"/>
  <c r="D20" i="16"/>
  <c r="E20" i="16" s="1"/>
  <c r="D22" i="16"/>
  <c r="D21" i="16"/>
  <c r="D23" i="16"/>
  <c r="E11" i="16"/>
  <c r="E14" i="16"/>
  <c r="D24" i="16"/>
  <c r="E16" i="16"/>
  <c r="E17" i="16"/>
  <c r="K16" i="21"/>
  <c r="K17" i="21" s="1"/>
  <c r="I49" i="20" l="1"/>
  <c r="H40" i="20"/>
  <c r="E21" i="16"/>
  <c r="J49" i="20"/>
  <c r="J40" i="20"/>
  <c r="K49" i="20"/>
  <c r="H49" i="20"/>
  <c r="E24" i="16"/>
  <c r="G40" i="20"/>
  <c r="E23" i="16"/>
  <c r="E22" i="16"/>
  <c r="E22" i="15"/>
  <c r="E13" i="15"/>
  <c r="E14" i="15"/>
  <c r="E15" i="15"/>
  <c r="E16" i="15"/>
  <c r="E17" i="15"/>
  <c r="E18" i="15"/>
  <c r="E19" i="15"/>
  <c r="E20" i="15"/>
  <c r="E21" i="15"/>
  <c r="E12" i="15"/>
  <c r="C12" i="15"/>
  <c r="C13" i="15" s="1"/>
  <c r="C14" i="15" s="1"/>
  <c r="C15" i="15" s="1"/>
  <c r="C16" i="15" s="1"/>
  <c r="C17" i="15" s="1"/>
  <c r="C18" i="15" s="1"/>
  <c r="C19" i="15" s="1"/>
  <c r="C20" i="15" s="1"/>
  <c r="C21" i="15" s="1"/>
  <c r="C22" i="15" s="1"/>
  <c r="C23" i="15" s="1"/>
  <c r="C24" i="15" s="1"/>
  <c r="C25" i="15" s="1"/>
  <c r="C26" i="15" s="1"/>
  <c r="C27" i="15" s="1"/>
  <c r="B12" i="15"/>
  <c r="B13" i="15" s="1"/>
  <c r="B14" i="15" s="1"/>
  <c r="B15" i="15" s="1"/>
  <c r="B16" i="15" s="1"/>
  <c r="B17" i="15" s="1"/>
  <c r="B18" i="15" s="1"/>
  <c r="B19" i="15" s="1"/>
  <c r="B20" i="15" s="1"/>
  <c r="B21" i="15" s="1"/>
  <c r="B22" i="15" s="1"/>
  <c r="D65" i="10"/>
  <c r="E65" i="10"/>
  <c r="F65" i="10"/>
  <c r="G65" i="10"/>
  <c r="H65" i="10"/>
  <c r="I65" i="10"/>
  <c r="J65" i="10"/>
  <c r="K65" i="10"/>
  <c r="L65" i="10"/>
  <c r="D66" i="10"/>
  <c r="E66" i="10"/>
  <c r="F66" i="10"/>
  <c r="G66" i="10"/>
  <c r="H66" i="10"/>
  <c r="I66" i="10"/>
  <c r="J66" i="10"/>
  <c r="K66" i="10"/>
  <c r="L66" i="10"/>
  <c r="D67" i="10"/>
  <c r="E67" i="10"/>
  <c r="F67" i="10"/>
  <c r="G67" i="10"/>
  <c r="H67" i="10"/>
  <c r="I67" i="10"/>
  <c r="J67" i="10"/>
  <c r="K67" i="10"/>
  <c r="L67" i="10"/>
  <c r="C66" i="10"/>
  <c r="C67" i="10"/>
  <c r="C65" i="10"/>
  <c r="D62" i="10"/>
  <c r="E62" i="10"/>
  <c r="F62" i="10"/>
  <c r="G62" i="10"/>
  <c r="H62" i="10"/>
  <c r="I62" i="10"/>
  <c r="J62" i="10"/>
  <c r="K62" i="10"/>
  <c r="L62" i="10"/>
  <c r="C62" i="10"/>
  <c r="D61" i="10"/>
  <c r="E61" i="10"/>
  <c r="F61" i="10"/>
  <c r="G61" i="10"/>
  <c r="H61" i="10"/>
  <c r="I61" i="10"/>
  <c r="J61" i="10"/>
  <c r="K61" i="10"/>
  <c r="L61" i="10"/>
  <c r="D60" i="10"/>
  <c r="E60" i="10"/>
  <c r="F60" i="10"/>
  <c r="G60" i="10"/>
  <c r="H60" i="10"/>
  <c r="I60" i="10"/>
  <c r="J60" i="10"/>
  <c r="K60" i="10"/>
  <c r="L60" i="10"/>
  <c r="C60" i="10"/>
  <c r="C61" i="10"/>
  <c r="D59" i="10"/>
  <c r="E59" i="10"/>
  <c r="F59" i="10"/>
  <c r="G59" i="10"/>
  <c r="H59" i="10"/>
  <c r="I59" i="10"/>
  <c r="J59" i="10"/>
  <c r="K59" i="10"/>
  <c r="L59" i="10"/>
  <c r="C59" i="10"/>
  <c r="D53" i="10"/>
  <c r="E53" i="10"/>
  <c r="F53" i="10"/>
  <c r="G53" i="10"/>
  <c r="H53" i="10"/>
  <c r="I53" i="10"/>
  <c r="J53" i="10"/>
  <c r="K53" i="10"/>
  <c r="L53" i="10"/>
  <c r="D54" i="10"/>
  <c r="E54" i="10"/>
  <c r="F54" i="10"/>
  <c r="G54" i="10"/>
  <c r="H54" i="10"/>
  <c r="I54" i="10"/>
  <c r="J54" i="10"/>
  <c r="K54" i="10"/>
  <c r="L54" i="10"/>
  <c r="D55" i="10"/>
  <c r="E55" i="10"/>
  <c r="F55" i="10"/>
  <c r="G55" i="10"/>
  <c r="H55" i="10"/>
  <c r="I55" i="10"/>
  <c r="J55" i="10"/>
  <c r="K55" i="10"/>
  <c r="L55" i="10"/>
  <c r="D56" i="10"/>
  <c r="E56" i="10"/>
  <c r="F56" i="10"/>
  <c r="G56" i="10"/>
  <c r="H56" i="10"/>
  <c r="I56" i="10"/>
  <c r="J56" i="10"/>
  <c r="K56" i="10"/>
  <c r="L56" i="10"/>
  <c r="D57" i="10"/>
  <c r="E57" i="10"/>
  <c r="F57" i="10"/>
  <c r="G57" i="10"/>
  <c r="H57" i="10"/>
  <c r="I57" i="10"/>
  <c r="J57" i="10"/>
  <c r="K57" i="10"/>
  <c r="L57" i="10"/>
  <c r="C54" i="10"/>
  <c r="C55" i="10"/>
  <c r="C56" i="10"/>
  <c r="C57" i="10"/>
  <c r="C53" i="10"/>
  <c r="C30" i="10"/>
  <c r="D42" i="10"/>
  <c r="D47" i="10" s="1"/>
  <c r="E42" i="10"/>
  <c r="E47" i="10" s="1"/>
  <c r="F42" i="10"/>
  <c r="G42" i="10"/>
  <c r="H42" i="10"/>
  <c r="I42" i="10"/>
  <c r="J42" i="10"/>
  <c r="K42" i="10"/>
  <c r="L42" i="10"/>
  <c r="C42" i="10"/>
  <c r="C47" i="10" s="1"/>
  <c r="D36" i="10"/>
  <c r="E36" i="10"/>
  <c r="F36" i="10"/>
  <c r="G36" i="10"/>
  <c r="H36" i="10"/>
  <c r="I36" i="10"/>
  <c r="J36" i="10"/>
  <c r="K36" i="10"/>
  <c r="L36" i="10"/>
  <c r="C36" i="10"/>
  <c r="D30" i="10"/>
  <c r="E30" i="10"/>
  <c r="F30" i="10"/>
  <c r="G30" i="10"/>
  <c r="H30" i="10"/>
  <c r="I30" i="10"/>
  <c r="J30" i="10"/>
  <c r="K30" i="10"/>
  <c r="L30" i="10"/>
  <c r="D27" i="10"/>
  <c r="E27" i="10"/>
  <c r="F27" i="10"/>
  <c r="G27" i="10"/>
  <c r="H27" i="10"/>
  <c r="I27" i="10"/>
  <c r="J27" i="10"/>
  <c r="K27" i="10"/>
  <c r="L27" i="10"/>
  <c r="C27" i="10"/>
  <c r="D21" i="10"/>
  <c r="E21" i="10"/>
  <c r="F21" i="10"/>
  <c r="G21" i="10"/>
  <c r="H21" i="10"/>
  <c r="I21" i="10"/>
  <c r="J21" i="10"/>
  <c r="K21" i="10"/>
  <c r="L21" i="10"/>
  <c r="C21" i="10"/>
  <c r="D15" i="10"/>
  <c r="E15" i="10"/>
  <c r="F15" i="10"/>
  <c r="G15" i="10"/>
  <c r="H15" i="10"/>
  <c r="I15" i="10"/>
  <c r="J15" i="10"/>
  <c r="K15" i="10"/>
  <c r="L15" i="10"/>
  <c r="C15" i="10"/>
  <c r="D12" i="10"/>
  <c r="E12" i="10"/>
  <c r="F12" i="10"/>
  <c r="G12" i="10"/>
  <c r="H12" i="10"/>
  <c r="C14" i="41" s="1"/>
  <c r="I12" i="10"/>
  <c r="D14" i="41" s="1"/>
  <c r="J12" i="10"/>
  <c r="E14" i="41" s="1"/>
  <c r="K12" i="10"/>
  <c r="F14" i="41" s="1"/>
  <c r="L12" i="10"/>
  <c r="G14" i="41" s="1"/>
  <c r="C12" i="10"/>
  <c r="D10" i="10"/>
  <c r="D9" i="44" s="1"/>
  <c r="E10" i="10"/>
  <c r="E9" i="44" s="1"/>
  <c r="F10" i="10"/>
  <c r="G10" i="10"/>
  <c r="H10" i="10"/>
  <c r="I10" i="10"/>
  <c r="J10" i="10"/>
  <c r="K10" i="10"/>
  <c r="L10" i="10"/>
  <c r="C10" i="10"/>
  <c r="C9" i="44" s="1"/>
  <c r="B9" i="10"/>
  <c r="C6" i="3"/>
  <c r="D6" i="3"/>
  <c r="E6" i="3"/>
  <c r="F6" i="3"/>
  <c r="G6" i="3"/>
  <c r="H6" i="3"/>
  <c r="I6" i="3"/>
  <c r="J6" i="3"/>
  <c r="K6" i="3"/>
  <c r="B6" i="3"/>
  <c r="C5" i="1"/>
  <c r="D5" i="1"/>
  <c r="E5" i="1"/>
  <c r="F5" i="1"/>
  <c r="G5" i="1"/>
  <c r="H5" i="1"/>
  <c r="I5" i="1"/>
  <c r="J5" i="1"/>
  <c r="K5" i="1"/>
  <c r="B5" i="1"/>
  <c r="B6" i="6"/>
  <c r="C17" i="2"/>
  <c r="D17" i="2"/>
  <c r="E17" i="2"/>
  <c r="F17" i="2"/>
  <c r="G17" i="2"/>
  <c r="H17" i="2"/>
  <c r="I17" i="2"/>
  <c r="J17" i="2"/>
  <c r="K17" i="2"/>
  <c r="C18" i="2"/>
  <c r="D18" i="2"/>
  <c r="E18" i="2"/>
  <c r="F18" i="2"/>
  <c r="G18" i="2"/>
  <c r="H18" i="2"/>
  <c r="I18" i="2"/>
  <c r="J18" i="2"/>
  <c r="K18" i="2"/>
  <c r="B17" i="2"/>
  <c r="C4" i="2"/>
  <c r="D4" i="2"/>
  <c r="E4" i="2"/>
  <c r="E5" i="2"/>
  <c r="F4" i="2"/>
  <c r="G4" i="2"/>
  <c r="H4" i="2"/>
  <c r="I4" i="2"/>
  <c r="I5" i="2"/>
  <c r="J4" i="2"/>
  <c r="J5" i="2"/>
  <c r="K4" i="2"/>
  <c r="C5" i="2"/>
  <c r="D5" i="2"/>
  <c r="F5" i="2"/>
  <c r="G5" i="2"/>
  <c r="H5" i="2"/>
  <c r="K5" i="2"/>
  <c r="C6" i="2"/>
  <c r="D6" i="2"/>
  <c r="E6" i="2"/>
  <c r="F6" i="2"/>
  <c r="G6" i="2"/>
  <c r="H6" i="2"/>
  <c r="I6" i="2"/>
  <c r="J6" i="2"/>
  <c r="K6" i="2"/>
  <c r="C7" i="2"/>
  <c r="D7" i="2"/>
  <c r="E7" i="2"/>
  <c r="F7" i="2"/>
  <c r="G7" i="2"/>
  <c r="H7" i="2"/>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E4" i="3"/>
  <c r="F4" i="3"/>
  <c r="G4" i="3"/>
  <c r="H4" i="3"/>
  <c r="I4" i="3"/>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D4" i="1"/>
  <c r="E4" i="1"/>
  <c r="F4" i="1"/>
  <c r="G4" i="1"/>
  <c r="H4" i="1"/>
  <c r="I4" i="1"/>
  <c r="J4" i="1"/>
  <c r="K4" i="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D12" i="1"/>
  <c r="E12" i="1"/>
  <c r="F12" i="1"/>
  <c r="F13" i="1" s="1"/>
  <c r="G12" i="1"/>
  <c r="G13" i="1" s="1"/>
  <c r="H12" i="1"/>
  <c r="H13" i="1" s="1"/>
  <c r="I12" i="1"/>
  <c r="I13" i="1" s="1"/>
  <c r="J12" i="1"/>
  <c r="J13" i="1" s="1"/>
  <c r="K12" i="1"/>
  <c r="K13" i="1" s="1"/>
  <c r="C15" i="1"/>
  <c r="D15" i="1"/>
  <c r="E15" i="1"/>
  <c r="F15" i="1"/>
  <c r="G15" i="1"/>
  <c r="H15" i="1"/>
  <c r="I15" i="1"/>
  <c r="J15" i="1"/>
  <c r="K15" i="1"/>
  <c r="B15" i="1"/>
  <c r="B7" i="1"/>
  <c r="B4" i="1"/>
  <c r="A1" i="1"/>
  <c r="A1" i="3" s="1"/>
  <c r="E1" i="6"/>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B18" i="2"/>
  <c r="B13" i="2"/>
  <c r="B12" i="2"/>
  <c r="B11" i="2"/>
  <c r="B10" i="2"/>
  <c r="B8" i="2"/>
  <c r="B7" i="2"/>
  <c r="B6" i="2"/>
  <c r="B3" i="2"/>
  <c r="B12" i="3"/>
  <c r="B11" i="3"/>
  <c r="B10" i="3"/>
  <c r="B9" i="3"/>
  <c r="B8" i="3"/>
  <c r="B7" i="3"/>
  <c r="B4" i="3"/>
  <c r="B3" i="3"/>
  <c r="L15" i="1"/>
  <c r="B12" i="1"/>
  <c r="B13" i="1" s="1"/>
  <c r="B11" i="1"/>
  <c r="B10" i="1"/>
  <c r="B9" i="1"/>
  <c r="B8" i="1"/>
  <c r="B3" i="1"/>
  <c r="I6" i="53" l="1"/>
  <c r="I12" i="53" s="1"/>
  <c r="I28" i="53" s="1"/>
  <c r="I34" i="53" s="1"/>
  <c r="L9" i="44"/>
  <c r="H6" i="53"/>
  <c r="H12" i="53" s="1"/>
  <c r="H28" i="53" s="1"/>
  <c r="H34" i="53" s="1"/>
  <c r="K9" i="44"/>
  <c r="G6" i="53"/>
  <c r="G12" i="53" s="1"/>
  <c r="G28" i="53" s="1"/>
  <c r="G34" i="53" s="1"/>
  <c r="J9" i="44"/>
  <c r="F6" i="53"/>
  <c r="F12" i="53" s="1"/>
  <c r="F28" i="53" s="1"/>
  <c r="F34" i="53" s="1"/>
  <c r="I9" i="44"/>
  <c r="E6" i="53"/>
  <c r="E12" i="53" s="1"/>
  <c r="E28" i="53" s="1"/>
  <c r="E34" i="53" s="1"/>
  <c r="H9" i="44"/>
  <c r="D6" i="53"/>
  <c r="D12" i="53" s="1"/>
  <c r="D28" i="53" s="1"/>
  <c r="D34" i="53" s="1"/>
  <c r="G9" i="44"/>
  <c r="C6" i="53"/>
  <c r="C12" i="53" s="1"/>
  <c r="C28" i="53" s="1"/>
  <c r="C34" i="53" s="1"/>
  <c r="F9" i="44"/>
  <c r="E43" i="21"/>
  <c r="J51" i="41"/>
  <c r="J52" i="41" s="1"/>
  <c r="J56" i="41" s="1"/>
  <c r="C45" i="14"/>
  <c r="A1" i="2"/>
  <c r="A1" i="4" s="1"/>
  <c r="G47" i="10"/>
  <c r="K47" i="10"/>
  <c r="F23" i="41" s="1"/>
  <c r="J47" i="10"/>
  <c r="E23" i="41" s="1"/>
  <c r="I47" i="10"/>
  <c r="D23" i="41" s="1"/>
  <c r="H47" i="10"/>
  <c r="C23" i="41" s="1"/>
  <c r="F47" i="10"/>
  <c r="L45" i="14"/>
  <c r="H23" i="2"/>
  <c r="I37" i="14"/>
  <c r="J55" i="20"/>
  <c r="D20" i="2"/>
  <c r="J6" i="1"/>
  <c r="J19" i="1" s="1"/>
  <c r="C47" i="14"/>
  <c r="I55" i="20"/>
  <c r="J35" i="14"/>
  <c r="J41" i="14" s="1"/>
  <c r="K37" i="14"/>
  <c r="F20" i="2"/>
  <c r="E14" i="3"/>
  <c r="K23" i="2"/>
  <c r="L4" i="1"/>
  <c r="L23" i="1" s="1"/>
  <c r="H38" i="14"/>
  <c r="K55" i="20"/>
  <c r="K20" i="2"/>
  <c r="G38" i="14"/>
  <c r="C35" i="14"/>
  <c r="C41" i="14" s="1"/>
  <c r="L35" i="14"/>
  <c r="L41" i="14" s="1"/>
  <c r="I47" i="14"/>
  <c r="G21" i="2"/>
  <c r="K35" i="14"/>
  <c r="K41" i="14" s="1"/>
  <c r="H47" i="14"/>
  <c r="L37" i="14"/>
  <c r="K14" i="1"/>
  <c r="G28" i="41" s="1"/>
  <c r="E20" i="2"/>
  <c r="J23" i="2"/>
  <c r="K21" i="2"/>
  <c r="J37" i="14"/>
  <c r="J14" i="1"/>
  <c r="F28" i="41" s="1"/>
  <c r="D6" i="1"/>
  <c r="D19" i="1" s="1"/>
  <c r="J21" i="2"/>
  <c r="C6" i="1"/>
  <c r="C19" i="1" s="1"/>
  <c r="L47" i="14"/>
  <c r="I45" i="14"/>
  <c r="H14" i="3"/>
  <c r="F36" i="14"/>
  <c r="F42" i="14" s="1"/>
  <c r="I34" i="14"/>
  <c r="I40" i="14" s="1"/>
  <c r="H45" i="14"/>
  <c r="I6" i="1"/>
  <c r="I19" i="1" s="1"/>
  <c r="G47" i="14"/>
  <c r="H34" i="14"/>
  <c r="H40" i="14" s="1"/>
  <c r="B21" i="2"/>
  <c r="F14" i="3"/>
  <c r="I35" i="14"/>
  <c r="I41" i="14" s="1"/>
  <c r="I36" i="14"/>
  <c r="I42" i="14" s="1"/>
  <c r="B14" i="1"/>
  <c r="I21" i="2"/>
  <c r="G6" i="1"/>
  <c r="G19" i="1" s="1"/>
  <c r="H35" i="14"/>
  <c r="H41" i="14" s="1"/>
  <c r="H36" i="14"/>
  <c r="H42" i="14" s="1"/>
  <c r="I38" i="14"/>
  <c r="H37" i="14"/>
  <c r="F14" i="1"/>
  <c r="G23" i="2"/>
  <c r="E16" i="14"/>
  <c r="J14" i="3"/>
  <c r="D16" i="14"/>
  <c r="G14" i="1"/>
  <c r="C28" i="41" s="1"/>
  <c r="J20" i="2"/>
  <c r="F16" i="2"/>
  <c r="F38" i="14"/>
  <c r="G35" i="14"/>
  <c r="G41" i="14" s="1"/>
  <c r="G37" i="14"/>
  <c r="G45" i="14"/>
  <c r="G34" i="14"/>
  <c r="G40" i="14" s="1"/>
  <c r="G36" i="14"/>
  <c r="G42" i="14" s="1"/>
  <c r="H1" i="1"/>
  <c r="E1" i="2"/>
  <c r="E1" i="3"/>
  <c r="F45" i="14"/>
  <c r="F47" i="14"/>
  <c r="E45" i="14"/>
  <c r="E47" i="14"/>
  <c r="L7" i="1"/>
  <c r="D45" i="14"/>
  <c r="D47" i="14"/>
  <c r="E36" i="14"/>
  <c r="E42" i="14" s="1"/>
  <c r="E38" i="14"/>
  <c r="E34" i="14"/>
  <c r="E40" i="14" s="1"/>
  <c r="F34" i="14"/>
  <c r="F40" i="14" s="1"/>
  <c r="L11" i="1"/>
  <c r="K16" i="2"/>
  <c r="D36" i="14"/>
  <c r="D42" i="14" s="1"/>
  <c r="D38" i="14"/>
  <c r="D34" i="14"/>
  <c r="D40" i="14" s="1"/>
  <c r="D30" i="15"/>
  <c r="B23" i="15"/>
  <c r="E21" i="2"/>
  <c r="E6" i="1"/>
  <c r="E19" i="1" s="1"/>
  <c r="L12" i="1"/>
  <c r="L13" i="1" s="1"/>
  <c r="L14" i="1" s="1"/>
  <c r="L25" i="1" s="1"/>
  <c r="H16" i="2"/>
  <c r="F21" i="2"/>
  <c r="C38" i="14"/>
  <c r="C34" i="14"/>
  <c r="K47" i="14"/>
  <c r="K45" i="14"/>
  <c r="F35" i="14"/>
  <c r="F41" i="14" s="1"/>
  <c r="F37" i="14"/>
  <c r="K6" i="1"/>
  <c r="K19" i="1" s="1"/>
  <c r="H23" i="1"/>
  <c r="F23" i="2"/>
  <c r="L38" i="14"/>
  <c r="L34" i="14"/>
  <c r="L40" i="14" s="1"/>
  <c r="J47" i="14"/>
  <c r="J45" i="14"/>
  <c r="E35" i="14"/>
  <c r="E41" i="14" s="1"/>
  <c r="E37" i="14"/>
  <c r="D31" i="15"/>
  <c r="I14" i="3"/>
  <c r="D21" i="2"/>
  <c r="K13" i="10"/>
  <c r="K12" i="14" s="1"/>
  <c r="K38" i="14"/>
  <c r="K34" i="14"/>
  <c r="K40" i="14" s="1"/>
  <c r="K36" i="14"/>
  <c r="K42" i="14" s="1"/>
  <c r="C37" i="14"/>
  <c r="D35" i="14"/>
  <c r="D41" i="14" s="1"/>
  <c r="D37" i="14"/>
  <c r="C14" i="1"/>
  <c r="C21" i="2"/>
  <c r="J38" i="14"/>
  <c r="J34" i="14"/>
  <c r="J40" i="14" s="1"/>
  <c r="J36" i="14"/>
  <c r="J42" i="14" s="1"/>
  <c r="C36" i="14"/>
  <c r="L36" i="14"/>
  <c r="L42" i="14" s="1"/>
  <c r="L10" i="1"/>
  <c r="L5" i="1"/>
  <c r="G14" i="3"/>
  <c r="D16" i="2"/>
  <c r="D23" i="2"/>
  <c r="L6" i="1"/>
  <c r="B20" i="2"/>
  <c r="G20" i="2"/>
  <c r="C16" i="2"/>
  <c r="B14" i="3"/>
  <c r="I24" i="2"/>
  <c r="H55" i="20"/>
  <c r="D29" i="15"/>
  <c r="E68" i="10"/>
  <c r="J13" i="10"/>
  <c r="J12" i="14" s="1"/>
  <c r="C68" i="10"/>
  <c r="K63" i="10"/>
  <c r="C63" i="10"/>
  <c r="G68" i="10"/>
  <c r="F68" i="10"/>
  <c r="D68" i="10"/>
  <c r="J68" i="10"/>
  <c r="D63" i="10"/>
  <c r="I63" i="10"/>
  <c r="K68" i="10"/>
  <c r="I68" i="10"/>
  <c r="L63" i="10"/>
  <c r="L68" i="10"/>
  <c r="H68" i="10"/>
  <c r="H63" i="10"/>
  <c r="E63" i="10"/>
  <c r="G63" i="10"/>
  <c r="F63" i="10"/>
  <c r="L18" i="10"/>
  <c r="L22" i="10"/>
  <c r="L24" i="14" s="1"/>
  <c r="J63" i="10"/>
  <c r="L47" i="10"/>
  <c r="G23" i="41" s="1"/>
  <c r="I13" i="10"/>
  <c r="I12" i="14" s="1"/>
  <c r="E16" i="10"/>
  <c r="C28" i="10"/>
  <c r="G13" i="10"/>
  <c r="G12" i="14" s="1"/>
  <c r="D18" i="10"/>
  <c r="C22" i="10"/>
  <c r="C24" i="14" s="1"/>
  <c r="L28" i="10"/>
  <c r="H18" i="10"/>
  <c r="C16" i="41" s="1"/>
  <c r="I31" i="10"/>
  <c r="I25" i="14" s="1"/>
  <c r="H31" i="10"/>
  <c r="H25" i="14" s="1"/>
  <c r="F18" i="10"/>
  <c r="F31" i="10"/>
  <c r="F25" i="14" s="1"/>
  <c r="C16" i="10"/>
  <c r="C31" i="10"/>
  <c r="C25" i="14" s="1"/>
  <c r="E31" i="10"/>
  <c r="E25" i="14" s="1"/>
  <c r="L31" i="10"/>
  <c r="L25" i="14" s="1"/>
  <c r="G31" i="10"/>
  <c r="G25" i="14" s="1"/>
  <c r="L16" i="10"/>
  <c r="D28" i="10"/>
  <c r="D31" i="10"/>
  <c r="D25" i="14" s="1"/>
  <c r="G16" i="10"/>
  <c r="I28" i="10"/>
  <c r="J22" i="10"/>
  <c r="J24" i="14" s="1"/>
  <c r="K16" i="10"/>
  <c r="K22" i="10"/>
  <c r="K24" i="14" s="1"/>
  <c r="K28" i="10"/>
  <c r="I16" i="10"/>
  <c r="J28" i="10"/>
  <c r="C18" i="10"/>
  <c r="H16" i="10"/>
  <c r="H28" i="10"/>
  <c r="K31" i="10"/>
  <c r="K25" i="14" s="1"/>
  <c r="L13" i="10"/>
  <c r="L12" i="14" s="1"/>
  <c r="D16" i="10"/>
  <c r="I18" i="10"/>
  <c r="D16" i="41" s="1"/>
  <c r="F28" i="10"/>
  <c r="J16" i="10"/>
  <c r="I22" i="10"/>
  <c r="I24" i="14" s="1"/>
  <c r="H22" i="10"/>
  <c r="H24" i="14" s="1"/>
  <c r="F16" i="10"/>
  <c r="K18" i="10"/>
  <c r="F16" i="41" s="1"/>
  <c r="J18" i="10"/>
  <c r="E16" i="41" s="1"/>
  <c r="F22" i="10"/>
  <c r="F24" i="14" s="1"/>
  <c r="F13" i="10"/>
  <c r="F12" i="14" s="1"/>
  <c r="E22" i="10"/>
  <c r="E24" i="14" s="1"/>
  <c r="E13" i="10"/>
  <c r="E12" i="14" s="1"/>
  <c r="D22" i="10"/>
  <c r="D24" i="14" s="1"/>
  <c r="E28" i="10"/>
  <c r="J31" i="10"/>
  <c r="J25" i="14" s="1"/>
  <c r="G22" i="10"/>
  <c r="G24" i="14" s="1"/>
  <c r="D13" i="10"/>
  <c r="D12" i="14" s="1"/>
  <c r="G18" i="10"/>
  <c r="E18" i="10"/>
  <c r="G28" i="10"/>
  <c r="H13" i="10"/>
  <c r="H12" i="14" s="1"/>
  <c r="F24" i="2"/>
  <c r="E24" i="2"/>
  <c r="B6" i="1"/>
  <c r="B19" i="1" s="1"/>
  <c r="D14" i="3"/>
  <c r="D24" i="2"/>
  <c r="C14" i="3"/>
  <c r="I16" i="2"/>
  <c r="K24" i="2"/>
  <c r="H14" i="1"/>
  <c r="D28" i="41" s="1"/>
  <c r="J16" i="2"/>
  <c r="G16" i="2"/>
  <c r="D13" i="1"/>
  <c r="E13" i="1" s="1"/>
  <c r="E14" i="1" s="1"/>
  <c r="I14" i="1"/>
  <c r="E28" i="41" s="1"/>
  <c r="C24" i="2"/>
  <c r="I23" i="2"/>
  <c r="J23" i="1"/>
  <c r="H21" i="2"/>
  <c r="B23" i="2"/>
  <c r="I23" i="1"/>
  <c r="C20" i="2"/>
  <c r="L8" i="1"/>
  <c r="N8" i="1" s="1"/>
  <c r="J24" i="2"/>
  <c r="K14" i="3"/>
  <c r="H24" i="2"/>
  <c r="B16" i="2"/>
  <c r="G24" i="2"/>
  <c r="C23" i="2"/>
  <c r="L9" i="1"/>
  <c r="N9" i="1" s="1"/>
  <c r="E16" i="2"/>
  <c r="E23" i="2"/>
  <c r="I20" i="2"/>
  <c r="H20" i="2"/>
  <c r="K23" i="1"/>
  <c r="H6" i="1"/>
  <c r="H19" i="1" s="1"/>
  <c r="F6" i="1"/>
  <c r="F19" i="1" s="1"/>
  <c r="E1" i="4"/>
  <c r="N12" i="14" l="1"/>
  <c r="O12" i="14"/>
  <c r="G16" i="14"/>
  <c r="L24" i="10"/>
  <c r="G16" i="41"/>
  <c r="F15" i="41"/>
  <c r="D15" i="41"/>
  <c r="E15" i="41"/>
  <c r="G15" i="41"/>
  <c r="C15" i="41"/>
  <c r="L16" i="14"/>
  <c r="I16" i="14"/>
  <c r="M23" i="1"/>
  <c r="M4" i="1" s="1"/>
  <c r="J16" i="14"/>
  <c r="K16" i="14"/>
  <c r="H16" i="14"/>
  <c r="F16" i="14"/>
  <c r="K24" i="1"/>
  <c r="L19" i="1"/>
  <c r="L24" i="1" s="1"/>
  <c r="H43" i="14"/>
  <c r="M9" i="1"/>
  <c r="M11" i="1"/>
  <c r="K43" i="14"/>
  <c r="I43" i="14"/>
  <c r="N11" i="1"/>
  <c r="J25" i="1"/>
  <c r="F43" i="14"/>
  <c r="L70" i="10"/>
  <c r="L46" i="14" s="1"/>
  <c r="L43" i="14"/>
  <c r="G43" i="14"/>
  <c r="N47" i="14"/>
  <c r="O45" i="14"/>
  <c r="J43" i="14"/>
  <c r="O47" i="14"/>
  <c r="K25" i="1"/>
  <c r="M25" i="1" s="1"/>
  <c r="M14" i="1" s="1"/>
  <c r="E43" i="14"/>
  <c r="I25" i="1"/>
  <c r="D43" i="14"/>
  <c r="C42" i="14"/>
  <c r="O36" i="14"/>
  <c r="N36" i="14"/>
  <c r="N23" i="1"/>
  <c r="N4" i="1" s="1"/>
  <c r="N24" i="14"/>
  <c r="O24" i="14"/>
  <c r="O38" i="14"/>
  <c r="N38" i="14"/>
  <c r="D23" i="15"/>
  <c r="E23" i="15" s="1"/>
  <c r="B24" i="15"/>
  <c r="N35" i="14"/>
  <c r="O25" i="14"/>
  <c r="N25" i="14"/>
  <c r="O35" i="14"/>
  <c r="I24" i="1"/>
  <c r="J24" i="1"/>
  <c r="N41" i="14"/>
  <c r="O41" i="14"/>
  <c r="O37" i="14"/>
  <c r="N37" i="14"/>
  <c r="C40" i="14"/>
  <c r="O34" i="14"/>
  <c r="N34" i="14"/>
  <c r="N45" i="14"/>
  <c r="E70" i="10"/>
  <c r="C70" i="10"/>
  <c r="D70" i="10"/>
  <c r="F70" i="10"/>
  <c r="G70" i="10"/>
  <c r="K70" i="10"/>
  <c r="J70" i="10"/>
  <c r="H70" i="10"/>
  <c r="I70" i="10"/>
  <c r="L19" i="10"/>
  <c r="K24" i="10"/>
  <c r="H19" i="54" s="1"/>
  <c r="H21" i="54" s="1"/>
  <c r="K19" i="10"/>
  <c r="C24" i="10"/>
  <c r="C19" i="10"/>
  <c r="C18" i="14" s="1"/>
  <c r="D24" i="10"/>
  <c r="D19" i="10"/>
  <c r="D18" i="14" s="1"/>
  <c r="I24" i="10"/>
  <c r="F19" i="54" s="1"/>
  <c r="F21" i="54" s="1"/>
  <c r="I19" i="10"/>
  <c r="F24" i="10"/>
  <c r="C19" i="54" s="1"/>
  <c r="C21" i="54" s="1"/>
  <c r="F19" i="10"/>
  <c r="F18" i="14" s="1"/>
  <c r="E24" i="10"/>
  <c r="E19" i="10"/>
  <c r="E18" i="14" s="1"/>
  <c r="H24" i="10"/>
  <c r="E19" i="54" s="1"/>
  <c r="E21" i="54" s="1"/>
  <c r="H19" i="10"/>
  <c r="G24" i="10"/>
  <c r="G19" i="10"/>
  <c r="G18" i="14" s="1"/>
  <c r="J24" i="10"/>
  <c r="G19" i="54" s="1"/>
  <c r="G21" i="54" s="1"/>
  <c r="J19" i="10"/>
  <c r="M8" i="1"/>
  <c r="D14" i="1"/>
  <c r="H25" i="1" s="1"/>
  <c r="H24" i="1"/>
  <c r="L32" i="14" l="1"/>
  <c r="I19" i="54"/>
  <c r="I21" i="54" s="1"/>
  <c r="G13" i="14"/>
  <c r="D19" i="54"/>
  <c r="D21" i="54" s="1"/>
  <c r="E13" i="14"/>
  <c r="L33" i="10"/>
  <c r="K41" i="20" s="1"/>
  <c r="D46" i="16" a="1"/>
  <c r="D46" i="16" s="1"/>
  <c r="J13" i="14"/>
  <c r="D13" i="14"/>
  <c r="F13" i="14"/>
  <c r="I13" i="14"/>
  <c r="L28" i="14"/>
  <c r="L20" i="14"/>
  <c r="L26" i="14" s="1"/>
  <c r="L13" i="14"/>
  <c r="H13" i="14"/>
  <c r="K13" i="14"/>
  <c r="B106" i="6"/>
  <c r="L25" i="10"/>
  <c r="L19" i="14" s="1"/>
  <c r="M24" i="1"/>
  <c r="M6" i="1" s="1"/>
  <c r="O16" i="14"/>
  <c r="C106" i="6"/>
  <c r="N16" i="14"/>
  <c r="J18" i="14"/>
  <c r="E17" i="41"/>
  <c r="I106" i="6"/>
  <c r="E33" i="41" s="1"/>
  <c r="E19" i="41"/>
  <c r="F106" i="6"/>
  <c r="H18" i="14"/>
  <c r="C17" i="41"/>
  <c r="K18" i="14"/>
  <c r="F17" i="41"/>
  <c r="G106" i="6"/>
  <c r="C33" i="41" s="1"/>
  <c r="C19" i="41"/>
  <c r="J106" i="6"/>
  <c r="F33" i="41" s="1"/>
  <c r="F19" i="41"/>
  <c r="L18" i="14"/>
  <c r="G17" i="41"/>
  <c r="D106" i="6"/>
  <c r="E106" i="6"/>
  <c r="I18" i="14"/>
  <c r="D17" i="41"/>
  <c r="H106" i="6"/>
  <c r="D33" i="41" s="1"/>
  <c r="D19" i="41"/>
  <c r="K106" i="6"/>
  <c r="G33" i="41" s="1"/>
  <c r="G19" i="41"/>
  <c r="L72" i="10"/>
  <c r="N25" i="1"/>
  <c r="N14" i="1" s="1"/>
  <c r="N24" i="1"/>
  <c r="N6" i="1" s="1"/>
  <c r="N10" i="1" s="1"/>
  <c r="N12" i="1" s="1"/>
  <c r="N13" i="1" s="1"/>
  <c r="E33" i="10"/>
  <c r="E20" i="14"/>
  <c r="E26" i="14" s="1"/>
  <c r="E32" i="14"/>
  <c r="E28" i="14"/>
  <c r="F32" i="14"/>
  <c r="F20" i="14"/>
  <c r="F26" i="14" s="1"/>
  <c r="F28" i="14"/>
  <c r="D72" i="10"/>
  <c r="D46" i="14"/>
  <c r="C72" i="10"/>
  <c r="C46" i="14"/>
  <c r="G72" i="10"/>
  <c r="G46" i="14"/>
  <c r="I72" i="10"/>
  <c r="I46" i="14"/>
  <c r="G33" i="10"/>
  <c r="G20" i="14"/>
  <c r="G26" i="14" s="1"/>
  <c r="G32" i="14"/>
  <c r="G28" i="14"/>
  <c r="J72" i="10"/>
  <c r="J46" i="14"/>
  <c r="D24" i="15"/>
  <c r="E24" i="15" s="1"/>
  <c r="B25" i="15"/>
  <c r="F72" i="10"/>
  <c r="F46" i="14"/>
  <c r="O40" i="14"/>
  <c r="N40" i="14"/>
  <c r="C43" i="14"/>
  <c r="H72" i="10"/>
  <c r="H46" i="14"/>
  <c r="I33" i="10"/>
  <c r="I20" i="14"/>
  <c r="I26" i="14" s="1"/>
  <c r="I28" i="14"/>
  <c r="I32" i="14"/>
  <c r="J33" i="10"/>
  <c r="J20" i="14"/>
  <c r="J26" i="14" s="1"/>
  <c r="J32" i="14"/>
  <c r="J28" i="14"/>
  <c r="D25" i="10"/>
  <c r="D19" i="14" s="1"/>
  <c r="D28" i="14"/>
  <c r="D20" i="14"/>
  <c r="D26" i="14" s="1"/>
  <c r="D32" i="14"/>
  <c r="E72" i="10"/>
  <c r="E46" i="14"/>
  <c r="N42" i="14"/>
  <c r="O42" i="14"/>
  <c r="C25" i="10"/>
  <c r="C19" i="14" s="1"/>
  <c r="C20" i="14"/>
  <c r="C28" i="14"/>
  <c r="C32" i="14"/>
  <c r="K72" i="10"/>
  <c r="K46" i="14"/>
  <c r="H25" i="10"/>
  <c r="H20" i="14"/>
  <c r="H26" i="14" s="1"/>
  <c r="H32" i="14"/>
  <c r="H28" i="14"/>
  <c r="K33" i="10"/>
  <c r="K28" i="14"/>
  <c r="K20" i="14"/>
  <c r="K26" i="14" s="1"/>
  <c r="K32" i="14"/>
  <c r="D33" i="10"/>
  <c r="K25" i="10"/>
  <c r="H33" i="10"/>
  <c r="G25" i="10"/>
  <c r="G19" i="14" s="1"/>
  <c r="J25" i="10"/>
  <c r="C33" i="10"/>
  <c r="C34" i="10" s="1"/>
  <c r="C21" i="14" s="1"/>
  <c r="F33" i="10"/>
  <c r="F25" i="10"/>
  <c r="F19" i="14" s="1"/>
  <c r="E25" i="10"/>
  <c r="E19" i="14" s="1"/>
  <c r="I25" i="10"/>
  <c r="D50" i="16" l="1"/>
  <c r="L39" i="10"/>
  <c r="L30" i="14" s="1"/>
  <c r="D51" i="16"/>
  <c r="L37" i="10"/>
  <c r="L34" i="10"/>
  <c r="L21" i="14" s="1"/>
  <c r="D48" i="16"/>
  <c r="D49" i="16"/>
  <c r="D52" i="16"/>
  <c r="E52" i="16" s="1"/>
  <c r="D47" i="16"/>
  <c r="D53" i="16"/>
  <c r="E53" i="16" s="1"/>
  <c r="D54" i="16"/>
  <c r="E54" i="16" s="1"/>
  <c r="E47" i="16"/>
  <c r="D55" i="16"/>
  <c r="F14" i="14"/>
  <c r="H14" i="14"/>
  <c r="I14" i="14"/>
  <c r="O13" i="14"/>
  <c r="K39" i="10"/>
  <c r="K40" i="10" s="1"/>
  <c r="K14" i="14"/>
  <c r="G14" i="14"/>
  <c r="N13" i="14"/>
  <c r="L14" i="14"/>
  <c r="D14" i="14"/>
  <c r="E14" i="14"/>
  <c r="J14" i="14"/>
  <c r="N15" i="1"/>
  <c r="G18" i="41"/>
  <c r="M10" i="1"/>
  <c r="M12" i="1" s="1"/>
  <c r="M13" i="1" s="1"/>
  <c r="M15" i="1" s="1"/>
  <c r="M5" i="1"/>
  <c r="N18" i="14"/>
  <c r="O18" i="14"/>
  <c r="I19" i="14"/>
  <c r="D18" i="41"/>
  <c r="J19" i="14"/>
  <c r="E18" i="41"/>
  <c r="H19" i="14"/>
  <c r="C18" i="41"/>
  <c r="K19" i="14"/>
  <c r="F18" i="41"/>
  <c r="N5" i="1"/>
  <c r="O20" i="14"/>
  <c r="N20" i="14"/>
  <c r="C26" i="14"/>
  <c r="F37" i="10"/>
  <c r="H37" i="10"/>
  <c r="G41" i="20"/>
  <c r="K37" i="10"/>
  <c r="D25" i="15"/>
  <c r="E25" i="15" s="1"/>
  <c r="B26" i="15"/>
  <c r="K51" i="20"/>
  <c r="K53" i="20" s="1"/>
  <c r="K57" i="20" s="1"/>
  <c r="K64" i="20" s="1"/>
  <c r="K43" i="20"/>
  <c r="K65" i="20" s="1"/>
  <c r="K34" i="10"/>
  <c r="K21" i="14" s="1"/>
  <c r="D34" i="10"/>
  <c r="D21" i="14" s="1"/>
  <c r="N28" i="14"/>
  <c r="O28" i="14"/>
  <c r="I41" i="20"/>
  <c r="H34" i="10"/>
  <c r="H21" i="14" s="1"/>
  <c r="H41" i="20"/>
  <c r="J41" i="20"/>
  <c r="N43" i="14"/>
  <c r="O43" i="14"/>
  <c r="O32" i="14"/>
  <c r="N32" i="14"/>
  <c r="O46" i="14"/>
  <c r="N46" i="14"/>
  <c r="H39" i="10"/>
  <c r="D37" i="10"/>
  <c r="D39" i="10"/>
  <c r="F39" i="10"/>
  <c r="F34" i="10"/>
  <c r="F21" i="14" s="1"/>
  <c r="C39" i="10"/>
  <c r="B105" i="6" s="1"/>
  <c r="C37" i="10"/>
  <c r="I37" i="10"/>
  <c r="I39" i="10"/>
  <c r="I34" i="10"/>
  <c r="I21" i="14" s="1"/>
  <c r="J39" i="10"/>
  <c r="J37" i="10"/>
  <c r="J34" i="10"/>
  <c r="J21" i="14" s="1"/>
  <c r="G39" i="10"/>
  <c r="G34" i="10"/>
  <c r="G21" i="14" s="1"/>
  <c r="G37" i="10"/>
  <c r="E34" i="10"/>
  <c r="E21" i="14" s="1"/>
  <c r="E39" i="10"/>
  <c r="E37" i="10"/>
  <c r="K44" i="10" l="1"/>
  <c r="F21" i="41" s="1"/>
  <c r="E51" i="16"/>
  <c r="E55" i="16"/>
  <c r="E48" i="16"/>
  <c r="K30" i="14"/>
  <c r="E50" i="16"/>
  <c r="L44" i="10"/>
  <c r="G21" i="41" s="1"/>
  <c r="L40" i="10"/>
  <c r="G20" i="41" s="1"/>
  <c r="K105" i="6"/>
  <c r="G32" i="41" s="1"/>
  <c r="E49" i="16"/>
  <c r="D59" i="16"/>
  <c r="D58" i="16"/>
  <c r="D56" i="16"/>
  <c r="E56" i="16" s="1"/>
  <c r="D57" i="16"/>
  <c r="D60" i="16"/>
  <c r="L15" i="14"/>
  <c r="F15" i="14"/>
  <c r="N14" i="14"/>
  <c r="O14" i="14"/>
  <c r="H105" i="6"/>
  <c r="D32" i="41" s="1"/>
  <c r="I15" i="14"/>
  <c r="D105" i="6"/>
  <c r="E15" i="14"/>
  <c r="F105" i="6"/>
  <c r="G15" i="14"/>
  <c r="D15" i="14"/>
  <c r="H15" i="14"/>
  <c r="I105" i="6"/>
  <c r="E32" i="41" s="1"/>
  <c r="J15" i="14"/>
  <c r="J105" i="6"/>
  <c r="F32" i="41" s="1"/>
  <c r="K15" i="14"/>
  <c r="O19" i="14"/>
  <c r="N19" i="14"/>
  <c r="K22" i="14"/>
  <c r="F20" i="41"/>
  <c r="L22" i="14"/>
  <c r="F44" i="10"/>
  <c r="E105" i="6"/>
  <c r="H44" i="10"/>
  <c r="G105" i="6"/>
  <c r="C32" i="41" s="1"/>
  <c r="D40" i="10"/>
  <c r="D22" i="14" s="1"/>
  <c r="C105" i="6"/>
  <c r="D44" i="10"/>
  <c r="D48" i="10" s="1"/>
  <c r="D50" i="10" s="1"/>
  <c r="D29" i="14" s="1"/>
  <c r="O21" i="14"/>
  <c r="G51" i="20"/>
  <c r="G53" i="20" s="1"/>
  <c r="G43" i="20"/>
  <c r="D30" i="14"/>
  <c r="E30" i="14"/>
  <c r="N21" i="14"/>
  <c r="H40" i="10"/>
  <c r="H30" i="14"/>
  <c r="J30" i="14"/>
  <c r="K67" i="20"/>
  <c r="N26" i="14"/>
  <c r="O26" i="14"/>
  <c r="C44" i="10"/>
  <c r="C30" i="14"/>
  <c r="J51" i="20"/>
  <c r="J53" i="20" s="1"/>
  <c r="J57" i="20" s="1"/>
  <c r="J64" i="20" s="1"/>
  <c r="J43" i="20"/>
  <c r="J65" i="20" s="1"/>
  <c r="H51" i="20"/>
  <c r="H53" i="20" s="1"/>
  <c r="H57" i="20" s="1"/>
  <c r="H43" i="20"/>
  <c r="H65" i="20" s="1"/>
  <c r="I30" i="14"/>
  <c r="D26" i="15"/>
  <c r="E26" i="15" s="1"/>
  <c r="B27" i="15"/>
  <c r="D27" i="15" s="1"/>
  <c r="I51" i="20"/>
  <c r="I53" i="20" s="1"/>
  <c r="I57" i="20" s="1"/>
  <c r="I64" i="20" s="1"/>
  <c r="I43" i="20"/>
  <c r="I65" i="20" s="1"/>
  <c r="G30" i="14"/>
  <c r="F40" i="10"/>
  <c r="F22" i="14" s="1"/>
  <c r="F30" i="14"/>
  <c r="C40" i="10"/>
  <c r="C22" i="14" s="1"/>
  <c r="J40" i="10"/>
  <c r="J44" i="10"/>
  <c r="I44" i="10"/>
  <c r="I40" i="10"/>
  <c r="E44" i="10"/>
  <c r="E40" i="10"/>
  <c r="E22" i="14" s="1"/>
  <c r="G40" i="10"/>
  <c r="G22" i="14" s="1"/>
  <c r="G44" i="10"/>
  <c r="L48" i="10" l="1"/>
  <c r="K48" i="10"/>
  <c r="K50" i="10" s="1"/>
  <c r="L45" i="10"/>
  <c r="G22" i="41" s="1"/>
  <c r="F48" i="10"/>
  <c r="E58" i="16"/>
  <c r="E59" i="16"/>
  <c r="E60" i="16"/>
  <c r="E57" i="16"/>
  <c r="D28" i="16" a="1"/>
  <c r="N15" i="14"/>
  <c r="O15" i="14"/>
  <c r="F50" i="10"/>
  <c r="F29" i="14" s="1"/>
  <c r="F31" i="14" s="1"/>
  <c r="I22" i="14"/>
  <c r="D20" i="41"/>
  <c r="D21" i="41"/>
  <c r="C21" i="41"/>
  <c r="E21" i="41"/>
  <c r="J22" i="14"/>
  <c r="E20" i="41"/>
  <c r="H50" i="10"/>
  <c r="H29" i="14" s="1"/>
  <c r="H31" i="14" s="1"/>
  <c r="H22" i="14"/>
  <c r="C20" i="41"/>
  <c r="L50" i="10"/>
  <c r="I13" i="54" s="1"/>
  <c r="I15" i="54" s="1"/>
  <c r="I37" i="54" s="1"/>
  <c r="I38" i="54" s="1"/>
  <c r="G24" i="41"/>
  <c r="H48" i="10"/>
  <c r="C24" i="41" s="1"/>
  <c r="K45" i="10"/>
  <c r="F22" i="41" s="1"/>
  <c r="E27" i="15"/>
  <c r="D31" i="14"/>
  <c r="J67" i="20"/>
  <c r="N30" i="14"/>
  <c r="O30" i="14"/>
  <c r="K60" i="20"/>
  <c r="F14" i="21" s="1"/>
  <c r="K59" i="20"/>
  <c r="H64" i="20"/>
  <c r="H67" i="20" s="1"/>
  <c r="I67" i="20"/>
  <c r="D45" i="10"/>
  <c r="C48" i="10"/>
  <c r="C50" i="10" s="1"/>
  <c r="C29" i="14" s="1"/>
  <c r="I45" i="10"/>
  <c r="D22" i="41" s="1"/>
  <c r="I48" i="10"/>
  <c r="D24" i="41" s="1"/>
  <c r="I50" i="10"/>
  <c r="I29" i="14" s="1"/>
  <c r="I31" i="14" s="1"/>
  <c r="J45" i="10"/>
  <c r="E22" i="41" s="1"/>
  <c r="J50" i="10"/>
  <c r="J29" i="14" s="1"/>
  <c r="J31" i="14" s="1"/>
  <c r="J48" i="10"/>
  <c r="E24" i="41" s="1"/>
  <c r="G50" i="10"/>
  <c r="G29" i="14" s="1"/>
  <c r="G31" i="14" s="1"/>
  <c r="G45" i="10"/>
  <c r="G48" i="10"/>
  <c r="H45" i="10"/>
  <c r="C22" i="41" s="1"/>
  <c r="E45" i="10"/>
  <c r="E48" i="10"/>
  <c r="E50" i="10" s="1"/>
  <c r="E29" i="14" s="1"/>
  <c r="E31" i="14" s="1"/>
  <c r="F45" i="10"/>
  <c r="F24" i="41" l="1"/>
  <c r="F13" i="54"/>
  <c r="F15" i="54" s="1"/>
  <c r="F37" i="54" s="1"/>
  <c r="F38" i="54" s="1"/>
  <c r="C13" i="54"/>
  <c r="C15" i="54" s="1"/>
  <c r="C37" i="54" s="1"/>
  <c r="C38" i="54" s="1"/>
  <c r="K29" i="14"/>
  <c r="K31" i="14" s="1"/>
  <c r="H13" i="54"/>
  <c r="H15" i="54" s="1"/>
  <c r="H37" i="54" s="1"/>
  <c r="H38" i="54" s="1"/>
  <c r="E13" i="54"/>
  <c r="E15" i="54" s="1"/>
  <c r="E37" i="54" s="1"/>
  <c r="E38" i="54" s="1"/>
  <c r="G13" i="54"/>
  <c r="G15" i="54" s="1"/>
  <c r="G37" i="54" s="1"/>
  <c r="G38" i="54" s="1"/>
  <c r="D13" i="54"/>
  <c r="D15" i="54" s="1"/>
  <c r="D37" i="54" s="1"/>
  <c r="D38" i="54" s="1"/>
  <c r="D33" i="16"/>
  <c r="D32" i="16"/>
  <c r="D31" i="16"/>
  <c r="D28" i="16"/>
  <c r="D37" i="16"/>
  <c r="D34" i="16"/>
  <c r="D30" i="16"/>
  <c r="D29" i="16"/>
  <c r="D36" i="16"/>
  <c r="D35" i="16"/>
  <c r="O22" i="14"/>
  <c r="N22" i="14"/>
  <c r="L29" i="14"/>
  <c r="L31" i="14" s="1"/>
  <c r="C31" i="14"/>
  <c r="K70" i="20"/>
  <c r="E21" i="21" s="1"/>
  <c r="G11" i="21" s="1"/>
  <c r="K69" i="20"/>
  <c r="G14" i="21"/>
  <c r="H14" i="21" s="1"/>
  <c r="I14" i="21" s="1"/>
  <c r="J14" i="21" s="1"/>
  <c r="K14" i="21" s="1"/>
  <c r="F15" i="21"/>
  <c r="E35" i="16" l="1"/>
  <c r="E29" i="16"/>
  <c r="E33" i="16"/>
  <c r="E36" i="16"/>
  <c r="E30" i="16"/>
  <c r="E34" i="16"/>
  <c r="E37" i="16"/>
  <c r="D38" i="16"/>
  <c r="E38" i="16" s="1"/>
  <c r="D39" i="16"/>
  <c r="D40" i="16"/>
  <c r="D41" i="16"/>
  <c r="D42" i="16"/>
  <c r="E32" i="16"/>
  <c r="E31" i="16"/>
  <c r="O29" i="14"/>
  <c r="N29" i="14"/>
  <c r="N31" i="14"/>
  <c r="O31" i="14"/>
  <c r="H11" i="21"/>
  <c r="G13" i="21"/>
  <c r="G15" i="21" s="1"/>
  <c r="G19" i="21" s="1"/>
  <c r="E41" i="16" l="1"/>
  <c r="E40" i="16"/>
  <c r="E42" i="16"/>
  <c r="E39" i="16"/>
  <c r="H13" i="21"/>
  <c r="H15" i="21" s="1"/>
  <c r="H19" i="21" s="1"/>
  <c r="I11" i="21"/>
  <c r="J11" i="21" l="1"/>
  <c r="I13" i="21"/>
  <c r="I15" i="21" s="1"/>
  <c r="I19" i="21" s="1"/>
  <c r="J13" i="21" l="1"/>
  <c r="J15" i="21" s="1"/>
  <c r="J19" i="21" s="1"/>
  <c r="K11" i="21"/>
  <c r="K13" i="21" s="1"/>
  <c r="K15" i="21" s="1"/>
  <c r="E27" i="21" l="1"/>
  <c r="E31" i="21" s="1"/>
  <c r="E37" i="21" s="1"/>
  <c r="K19" i="21"/>
  <c r="E36" i="21" s="1"/>
  <c r="E38" i="21" l="1"/>
  <c r="E42" i="21" s="1"/>
  <c r="E45" i="21" s="1"/>
  <c r="G26" i="21" l="1"/>
  <c r="E48" i="21"/>
  <c r="G35" i="21"/>
</calcChain>
</file>

<file path=xl/sharedStrings.xml><?xml version="1.0" encoding="utf-8"?>
<sst xmlns="http://schemas.openxmlformats.org/spreadsheetml/2006/main" count="2247" uniqueCount="1619">
  <si>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</si>
  <si>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</si>
  <si>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</si>
  <si>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</si>
  <si>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</si>
  <si>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</si>
  <si>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</si>
  <si>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</si>
  <si>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</si>
  <si>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</si>
  <si>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</si>
  <si>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</si>
  <si>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</si>
  <si>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</si>
  <si>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</si>
  <si>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</si>
  <si>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</si>
  <si>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</si>
  <si>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</si>
  <si>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</si>
  <si>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</si>
  <si>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</si>
  <si>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</si>
  <si>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</si>
  <si>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</si>
  <si>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</si>
  <si>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</si>
  <si>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</si>
  <si>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</si>
  <si>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</si>
  <si>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</si>
  <si>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</si>
  <si>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</si>
  <si>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</si>
  <si>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</si>
  <si>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</si>
  <si>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</si>
  <si>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</si>
  <si>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</si>
  <si>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</si>
  <si>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</si>
  <si>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</si>
  <si>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</si>
  <si>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</si>
  <si>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</si>
  <si>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</si>
  <si>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</si>
  <si>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</si>
  <si>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</si>
  <si>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</si>
  <si>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</si>
  <si>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</si>
  <si>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</si>
  <si>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</si>
  <si>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</si>
  <si>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</si>
  <si>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</si>
  <si>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</si>
  <si>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Price</t>
  </si>
  <si>
    <t>Return on Equity</t>
  </si>
  <si>
    <t>Return on Capital Emp</t>
  </si>
  <si>
    <t>LATEST VERSION</t>
  </si>
  <si>
    <t>CURRENT VERSION</t>
  </si>
  <si>
    <t>TATA MOTORS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</si>
  <si>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</si>
  <si>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</si>
  <si>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</si>
  <si>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</si>
  <si>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</si>
  <si>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</si>
  <si>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</si>
  <si>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</si>
  <si>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</si>
  <si>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</si>
  <si>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</si>
  <si>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</si>
  <si>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</si>
  <si>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</si>
  <si>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</si>
  <si>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</si>
  <si>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</si>
  <si>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</si>
  <si>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</si>
  <si>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</si>
  <si>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</si>
  <si>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</si>
  <si>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</si>
  <si>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</si>
  <si>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</si>
  <si>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</si>
  <si>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</si>
  <si>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</si>
  <si>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</si>
  <si>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Years</t>
  </si>
  <si>
    <t>#</t>
  </si>
  <si>
    <t>Income Statement</t>
  </si>
  <si>
    <t>Cost Of Goods Sold</t>
  </si>
  <si>
    <t>COGS % Sales</t>
  </si>
  <si>
    <t>Gross Profit</t>
  </si>
  <si>
    <t>Selling &amp; General Expenses</t>
  </si>
  <si>
    <t>S&amp;G Exp % Sales</t>
  </si>
  <si>
    <t>EBITDA Margins</t>
  </si>
  <si>
    <t>Interest % Sales</t>
  </si>
  <si>
    <t>Depreciation % Sales</t>
  </si>
  <si>
    <t>Earnings Before Tax</t>
  </si>
  <si>
    <t>EBT % Sales</t>
  </si>
  <si>
    <t>Effective Tax Rate</t>
  </si>
  <si>
    <t>Net Profit</t>
  </si>
  <si>
    <t>Net Margins</t>
  </si>
  <si>
    <t>No. Of Equity Share</t>
  </si>
  <si>
    <t>Earnings Per Share</t>
  </si>
  <si>
    <t>EPS Growth %</t>
  </si>
  <si>
    <t>-</t>
  </si>
  <si>
    <t>Dividend Per Share</t>
  </si>
  <si>
    <t>Dividend Payout Ratio</t>
  </si>
  <si>
    <t>Retained Earnings</t>
  </si>
  <si>
    <t>Balance Sheet</t>
  </si>
  <si>
    <t>Gross Margins</t>
  </si>
  <si>
    <t>Total Liabilities</t>
  </si>
  <si>
    <t>Total Non Current Assets</t>
  </si>
  <si>
    <t>Total Current Assets</t>
  </si>
  <si>
    <t>Total Assets</t>
  </si>
  <si>
    <t>Check</t>
  </si>
  <si>
    <t>Profit from operations</t>
  </si>
  <si>
    <t>Payables</t>
  </si>
  <si>
    <t>Loans Advances</t>
  </si>
  <si>
    <t>Other WC items</t>
  </si>
  <si>
    <t>Working capital changes</t>
  </si>
  <si>
    <t>Direct taxes</t>
  </si>
  <si>
    <t>Fixed assets purchased</t>
  </si>
  <si>
    <t>Fixed assets sold</t>
  </si>
  <si>
    <t>Investments purchased</t>
  </si>
  <si>
    <t>Investments sold</t>
  </si>
  <si>
    <t>Interest received</t>
  </si>
  <si>
    <t>Dividends received</t>
  </si>
  <si>
    <t>Investment in group cos</t>
  </si>
  <si>
    <t>Redemp n Canc of Shares</t>
  </si>
  <si>
    <t>Acquisition of companies</t>
  </si>
  <si>
    <t>Inter corporate deposits</t>
  </si>
  <si>
    <t>Other investing items</t>
  </si>
  <si>
    <t>Proceeds from shares</t>
  </si>
  <si>
    <t>Redemption of debentures</t>
  </si>
  <si>
    <t>Proceeds from borrowings</t>
  </si>
  <si>
    <t>Repayment of borrowings</t>
  </si>
  <si>
    <t>Interest paid fin</t>
  </si>
  <si>
    <t>Dividends paid</t>
  </si>
  <si>
    <t>Financial liabilities</t>
  </si>
  <si>
    <t>Other financing items</t>
  </si>
  <si>
    <t>Cash from Operating Activity -</t>
  </si>
  <si>
    <t>Cash from Investing Activity -</t>
  </si>
  <si>
    <t>Cash from Financing Activity -</t>
  </si>
  <si>
    <t>Cash Flow Statement</t>
  </si>
  <si>
    <t>Operating Activity</t>
  </si>
  <si>
    <t>Investing Activities</t>
  </si>
  <si>
    <t>Cash from Investing Activities</t>
  </si>
  <si>
    <t>Financing Activities</t>
  </si>
  <si>
    <t>Cash from Financing Activities</t>
  </si>
  <si>
    <t>SalesGrowth</t>
  </si>
  <si>
    <t>EBITDA Growth</t>
  </si>
  <si>
    <t>EBIT Growth</t>
  </si>
  <si>
    <t>Net Profit Growth</t>
  </si>
  <si>
    <t>Dividend Growth</t>
  </si>
  <si>
    <t>Gross Margin</t>
  </si>
  <si>
    <t>EBITDA Margin</t>
  </si>
  <si>
    <t>EBIT Margin</t>
  </si>
  <si>
    <t>EBT Margin</t>
  </si>
  <si>
    <t>Net Profit Margin</t>
  </si>
  <si>
    <t>SalesExpenses%Sales</t>
  </si>
  <si>
    <t>Depreciation%Sales</t>
  </si>
  <si>
    <t>OperatingIncome%Sales</t>
  </si>
  <si>
    <t>Return on Capital Employed</t>
  </si>
  <si>
    <t>Retained Earnings%</t>
  </si>
  <si>
    <t>Return on Equity%</t>
  </si>
  <si>
    <t>Self Sustained Growth Rate</t>
  </si>
  <si>
    <t>Interest Coverage Ratio</t>
  </si>
  <si>
    <t>Debtor Turnover Ratio</t>
  </si>
  <si>
    <t>Creditor Turnover Ratio</t>
  </si>
  <si>
    <t>Fixed Asset Turnover</t>
  </si>
  <si>
    <t>Capital Turnover Ratio</t>
  </si>
  <si>
    <t>Payable Days</t>
  </si>
  <si>
    <t>Inventory Days</t>
  </si>
  <si>
    <t>Cash Conversion Cycle (in days)</t>
  </si>
  <si>
    <t>CFO/Sales</t>
  </si>
  <si>
    <t>CFO/Total Assets</t>
  </si>
  <si>
    <t>CFO/Total Debt</t>
  </si>
  <si>
    <t>(ebitda-dep)/interest</t>
  </si>
  <si>
    <t>retained earnings*return on equity</t>
  </si>
  <si>
    <t>self sustained growth rate</t>
  </si>
  <si>
    <t>interest coverage ratio</t>
  </si>
  <si>
    <t>Trend</t>
  </si>
  <si>
    <t>Mean</t>
  </si>
  <si>
    <t>Median</t>
  </si>
  <si>
    <t>Year Weight</t>
  </si>
  <si>
    <t>Year</t>
  </si>
  <si>
    <t>Arithmetic  Growth</t>
  </si>
  <si>
    <t>Geometric Growth</t>
  </si>
  <si>
    <t>Standard Deviation</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</si>
  <si>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</si>
  <si>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</si>
  <si>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</si>
  <si>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</si>
  <si>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</si>
  <si>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</si>
  <si>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</si>
  <si>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</si>
  <si>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</si>
  <si>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</si>
  <si>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</si>
  <si>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</si>
  <si>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</si>
  <si>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</si>
  <si>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</si>
  <si>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</si>
  <si>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</si>
  <si>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</si>
  <si>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</si>
  <si>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</si>
  <si>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</si>
  <si>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</si>
  <si>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</si>
  <si>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t>
  </si>
  <si>
    <t>TATA MOTORS</t>
  </si>
  <si>
    <t>EBIDTA</t>
  </si>
  <si>
    <t>EBIDTA Growth</t>
  </si>
  <si>
    <t>EBITDA</t>
  </si>
  <si>
    <t>EPS Growth</t>
  </si>
  <si>
    <t>Particulars</t>
  </si>
  <si>
    <t>Other Assets*</t>
  </si>
  <si>
    <t>Equity Capital</t>
  </si>
  <si>
    <t>Long term Borrowings</t>
  </si>
  <si>
    <t>Short term Borrowings</t>
  </si>
  <si>
    <t>Lease Liabilities</t>
  </si>
  <si>
    <t>Other Borrowings</t>
  </si>
  <si>
    <t>Non controlling int</t>
  </si>
  <si>
    <t>Trade Payables</t>
  </si>
  <si>
    <t>Advance from Customers</t>
  </si>
  <si>
    <t>Other liability items</t>
  </si>
  <si>
    <t>Land</t>
  </si>
  <si>
    <t>Building</t>
  </si>
  <si>
    <t>Plant Machinery</t>
  </si>
  <si>
    <t>Equipments</t>
  </si>
  <si>
    <t>Computers</t>
  </si>
  <si>
    <t>Furniture n fittings</t>
  </si>
  <si>
    <t>Vehicles</t>
  </si>
  <si>
    <t>Intangible Assets</t>
  </si>
  <si>
    <t>Other fixed assets</t>
  </si>
  <si>
    <t>Gross Block</t>
  </si>
  <si>
    <t>Accumulated Depreciation</t>
  </si>
  <si>
    <t>CWIP</t>
  </si>
  <si>
    <t>Inventories</t>
  </si>
  <si>
    <t>Receivables over 6m</t>
  </si>
  <si>
    <t>Receivables under 6m</t>
  </si>
  <si>
    <t>Cash Equivalents</t>
  </si>
  <si>
    <t>Other asset items</t>
  </si>
  <si>
    <t>Prov for Doubtful Debts</t>
  </si>
  <si>
    <t>Loans and Advances</t>
  </si>
  <si>
    <t>Borrowings -</t>
  </si>
  <si>
    <t>Other Liabilities -</t>
  </si>
  <si>
    <t>Fixed Assets -</t>
  </si>
  <si>
    <t>Other Assets -</t>
  </si>
  <si>
    <t>Trade receivables -</t>
  </si>
  <si>
    <t>Calculation of ROIC</t>
  </si>
  <si>
    <t>Current Assets</t>
  </si>
  <si>
    <t>Trade Receivables</t>
  </si>
  <si>
    <t>Other Asset Items</t>
  </si>
  <si>
    <t>Current Liabilities</t>
  </si>
  <si>
    <t>Total Current Liabilities</t>
  </si>
  <si>
    <t>Net Working Capital</t>
  </si>
  <si>
    <t>Non Current Assets</t>
  </si>
  <si>
    <t>Net Non Current Assets</t>
  </si>
  <si>
    <t>Invested Capital</t>
  </si>
  <si>
    <t>EBIT</t>
  </si>
  <si>
    <t>ROIC</t>
  </si>
  <si>
    <t>Calculation of Reinvestment Rate</t>
  </si>
  <si>
    <t>Net Capex</t>
  </si>
  <si>
    <t>Change in Working Capital</t>
  </si>
  <si>
    <t>Marginal Tax Rate</t>
  </si>
  <si>
    <t>Reinvestment</t>
  </si>
  <si>
    <t>EBIT (1-T)</t>
  </si>
  <si>
    <t>Reinvestment Rate</t>
  </si>
  <si>
    <t>4 Year Average</t>
  </si>
  <si>
    <t>4 Year Median</t>
  </si>
  <si>
    <t>Calculation of Growth Rate</t>
  </si>
  <si>
    <t>Intrinsic Growth Rate</t>
  </si>
  <si>
    <t>Calculation of PV of FCFF</t>
  </si>
  <si>
    <t>Tax Rate</t>
  </si>
  <si>
    <t>EBIT(1-T)</t>
  </si>
  <si>
    <t>Less: Reinvestment Rate</t>
  </si>
  <si>
    <t>Free Cash Flow to Firm (FCFF)</t>
  </si>
  <si>
    <t>Mid Year Convention</t>
  </si>
  <si>
    <t>Discounting Factor</t>
  </si>
  <si>
    <t>PV of FCFF</t>
  </si>
  <si>
    <t>Expected Growth</t>
  </si>
  <si>
    <t>Terminal Growth</t>
  </si>
  <si>
    <t>WACC</t>
  </si>
  <si>
    <t>Calculation of Terminal Value</t>
  </si>
  <si>
    <t>FCFF (n+1)</t>
  </si>
  <si>
    <t>Terminal Growth Rate</t>
  </si>
  <si>
    <t>Terminal Value</t>
  </si>
  <si>
    <t>Calculation of Equity Value per Share</t>
  </si>
  <si>
    <t>PV of Terminal Value</t>
  </si>
  <si>
    <t>Value of Operating Assets</t>
  </si>
  <si>
    <t>Add: Cash</t>
  </si>
  <si>
    <t>Less: Debt</t>
  </si>
  <si>
    <t>Value of Equity</t>
  </si>
  <si>
    <t>No of Shares</t>
  </si>
  <si>
    <t>Equity Value per Share</t>
  </si>
  <si>
    <t>Share price</t>
  </si>
  <si>
    <t>Discount/Premium</t>
  </si>
  <si>
    <t>Debt Weight</t>
  </si>
  <si>
    <t>Cost of Debt</t>
  </si>
  <si>
    <t>4. Levered Beta = Unlevered Beta*(1+(1-Tax Rate) x Debt/Equity)</t>
  </si>
  <si>
    <t>3. Unlevered Beta = Levered Beta/(1+(1-Tax Rate) x Debt/Equity)</t>
  </si>
  <si>
    <t xml:space="preserve"> </t>
  </si>
  <si>
    <t>Equity Weight</t>
  </si>
  <si>
    <t>2. Levered Beta is based on 5 year monthly data</t>
  </si>
  <si>
    <t>Cost Of Equity</t>
  </si>
  <si>
    <t>1. Tax Rate considered as Marginal Tax Rate for the country</t>
  </si>
  <si>
    <t>Weighted Average Cost of Capital</t>
  </si>
  <si>
    <t>Debt / Equity</t>
  </si>
  <si>
    <t>Levered Beta</t>
  </si>
  <si>
    <t>Total Capitalization</t>
  </si>
  <si>
    <t xml:space="preserve">Target Debt/ Equity  </t>
  </si>
  <si>
    <t>Total Debt</t>
  </si>
  <si>
    <t>Comps Median Unlevered Beta</t>
  </si>
  <si>
    <t>Target</t>
  </si>
  <si>
    <t>Current</t>
  </si>
  <si>
    <t xml:space="preserve">Levered Beta </t>
  </si>
  <si>
    <t>Capital Structure</t>
  </si>
  <si>
    <t>Cost of Equity</t>
  </si>
  <si>
    <r>
      <rPr>
        <sz val="11"/>
        <color theme="1"/>
        <rFont val="Calibri"/>
        <family val="2"/>
      </rPr>
      <t xml:space="preserve">Levered Beta </t>
    </r>
    <r>
      <rPr>
        <vertAlign val="superscript"/>
        <sz val="11"/>
        <color theme="1"/>
        <rFont val="Calibri"/>
        <family val="2"/>
      </rPr>
      <t>4</t>
    </r>
  </si>
  <si>
    <t>After Tax Cost of Debt</t>
  </si>
  <si>
    <t>Equity Risk Premium</t>
  </si>
  <si>
    <t>Risk Free Rate</t>
  </si>
  <si>
    <t>Pre-tax Cost of Debt</t>
  </si>
  <si>
    <t>Average</t>
  </si>
  <si>
    <t>India</t>
  </si>
  <si>
    <t>M &amp; M</t>
  </si>
  <si>
    <t>Maruti Suzuki</t>
  </si>
  <si>
    <t>Force Motors</t>
  </si>
  <si>
    <t>Hyundai Motors India</t>
  </si>
  <si>
    <t>Tata Motors</t>
  </si>
  <si>
    <t>Capital</t>
  </si>
  <si>
    <t>Equity</t>
  </si>
  <si>
    <t>Total Equity</t>
  </si>
  <si>
    <t>Country</t>
  </si>
  <si>
    <t>Name</t>
  </si>
  <si>
    <t>Unlevered</t>
  </si>
  <si>
    <t>Levered</t>
  </si>
  <si>
    <t>Debt/</t>
  </si>
  <si>
    <t>Peer Comps</t>
  </si>
  <si>
    <t>All figures are in INR unless stated otherwise.</t>
  </si>
  <si>
    <t>S.No.</t>
  </si>
  <si>
    <t>CMP Rs.</t>
  </si>
  <si>
    <t>Mar Cap Rs.Cr.</t>
  </si>
  <si>
    <t>Debt Rs.Cr.</t>
  </si>
  <si>
    <t>Debt/Eq</t>
  </si>
  <si>
    <t>Hyundai Motor I</t>
  </si>
  <si>
    <t>Regression Beta - 2 Years Weekly</t>
  </si>
  <si>
    <t>TATA Motors Weekly Returns</t>
  </si>
  <si>
    <t>NIFTY Weekly Returns</t>
  </si>
  <si>
    <t>Beta Drifting</t>
  </si>
  <si>
    <t>Date</t>
  </si>
  <si>
    <t>Closing Price</t>
  </si>
  <si>
    <t>Return</t>
  </si>
  <si>
    <t>Levered Raw Beta</t>
  </si>
  <si>
    <t>Beta 1</t>
  </si>
  <si>
    <t>Raw Beta Weight</t>
  </si>
  <si>
    <t>Beta 2</t>
  </si>
  <si>
    <t>Market Beta</t>
  </si>
  <si>
    <t>Beta 3</t>
  </si>
  <si>
    <t>Market Beta Weight</t>
  </si>
  <si>
    <t>Adjusted Beta</t>
  </si>
  <si>
    <t>X Variable 1</t>
  </si>
  <si>
    <t>M &amp; M Weekly Returns</t>
  </si>
  <si>
    <t>Maruti Suzuki Weekly Returns</t>
  </si>
  <si>
    <t>Annual</t>
  </si>
  <si>
    <t>Average Return</t>
  </si>
  <si>
    <t>Dividend Yield</t>
  </si>
  <si>
    <r>
      <t xml:space="preserve">1.38% </t>
    </r>
    <r>
      <rPr>
        <vertAlign val="superscript"/>
        <sz val="11"/>
        <color theme="1"/>
        <rFont val="Calibri"/>
        <family val="2"/>
        <scheme val="minor"/>
      </rPr>
      <t>1</t>
    </r>
  </si>
  <si>
    <t>Total Market Return</t>
  </si>
  <si>
    <t>Amount in crores</t>
  </si>
  <si>
    <t>Comparable Company Valuation</t>
  </si>
  <si>
    <t>Market Data</t>
  </si>
  <si>
    <t>Financials</t>
  </si>
  <si>
    <t>Valuation</t>
  </si>
  <si>
    <t>Company</t>
  </si>
  <si>
    <t>Ticker</t>
  </si>
  <si>
    <t>Share Price</t>
  </si>
  <si>
    <t>Shares Outstanding</t>
  </si>
  <si>
    <t>Equity Value</t>
  </si>
  <si>
    <t>Net Debt</t>
  </si>
  <si>
    <t>Enterprise Value</t>
  </si>
  <si>
    <t>Revenue</t>
  </si>
  <si>
    <t>Net Income</t>
  </si>
  <si>
    <t>EV/Revenue</t>
  </si>
  <si>
    <t>EV/EBITDA</t>
  </si>
  <si>
    <t>P/E</t>
  </si>
  <si>
    <t>High</t>
  </si>
  <si>
    <t>75th Percentile</t>
  </si>
  <si>
    <t>25th Percentile</t>
  </si>
  <si>
    <t>Low</t>
  </si>
  <si>
    <t>Implied Enterprise Value</t>
  </si>
  <si>
    <t>Implied Market Value</t>
  </si>
  <si>
    <t>Implied Value per Share</t>
  </si>
  <si>
    <t>CMP Rs.</t>
  </si>
  <si>
    <t>No. Eq. Shares Cr.</t>
  </si>
  <si>
    <t>Market Cap</t>
  </si>
  <si>
    <t>Debt Rs.Cr.</t>
  </si>
  <si>
    <t>Cash End Rs.Cr.</t>
  </si>
  <si>
    <t>EV</t>
  </si>
  <si>
    <t>Sales Rs.Cr.</t>
  </si>
  <si>
    <t>NP 12M Rs.Cr.</t>
  </si>
  <si>
    <t>TATAMOTORS</t>
  </si>
  <si>
    <t>MARUTI</t>
  </si>
  <si>
    <t>M&amp;M</t>
  </si>
  <si>
    <t>Mahindra &amp; Mahindra</t>
  </si>
  <si>
    <t>FORCEMOT</t>
  </si>
  <si>
    <t>Tata Motors Comparable Valuation</t>
  </si>
  <si>
    <t>Football Field Analysis - Data</t>
  </si>
  <si>
    <t>OpenLow</t>
  </si>
  <si>
    <t>OpenHigh</t>
  </si>
  <si>
    <t>Comps</t>
  </si>
  <si>
    <t>DCF Bear</t>
  </si>
  <si>
    <t>DCF Base</t>
  </si>
  <si>
    <t>DCF Bull</t>
  </si>
  <si>
    <t>52W H/L</t>
  </si>
  <si>
    <t>Sensitivity Analysis (Value of Operating Assets)</t>
  </si>
  <si>
    <t>Sensitivity Analysis (Equity Value per Share)</t>
  </si>
  <si>
    <t>EBIT 2025</t>
  </si>
  <si>
    <t>Adj Close</t>
  </si>
  <si>
    <t>Sorted Returns</t>
  </si>
  <si>
    <t>Std Deviation</t>
  </si>
  <si>
    <t>Min</t>
  </si>
  <si>
    <t>Max</t>
  </si>
  <si>
    <t>CMP</t>
  </si>
  <si>
    <t>Percentile</t>
  </si>
  <si>
    <t>Confidence</t>
  </si>
  <si>
    <t>VAR %</t>
  </si>
  <si>
    <t>Stock Price</t>
  </si>
  <si>
    <t>VAR (INR)</t>
  </si>
  <si>
    <t>Replication</t>
  </si>
  <si>
    <t>Simulated Returns</t>
  </si>
  <si>
    <t>Historical Approach</t>
  </si>
  <si>
    <t>Monte Carlo Simulation</t>
  </si>
  <si>
    <t>Calculation of Value at Risk - Tata Motors (Simulation)</t>
  </si>
  <si>
    <t>Calculation of Value at Risk - Tata Motors (Historical)</t>
  </si>
  <si>
    <t>About the company</t>
  </si>
  <si>
    <t>Financial Summary</t>
  </si>
  <si>
    <t>Return on Equity (ROE)</t>
  </si>
  <si>
    <t>Average Shareholder Equity</t>
  </si>
  <si>
    <t>ROE - Dupont Equation</t>
  </si>
  <si>
    <t>Net Profit Margin (A)</t>
  </si>
  <si>
    <t>Average Total Asset</t>
  </si>
  <si>
    <t>Asset Turnover Ratio (B)</t>
  </si>
  <si>
    <t>Equity Multiplier (C)</t>
  </si>
  <si>
    <t>Return on Equity (A*B*C)</t>
  </si>
  <si>
    <t>Return on Asset</t>
  </si>
  <si>
    <t>ROA - Dupont Equation</t>
  </si>
  <si>
    <t>Return on Asset (A*B)</t>
  </si>
  <si>
    <t>(TATAMOTORS | BSE Code : 500570)</t>
  </si>
  <si>
    <t>INR 691.40</t>
  </si>
  <si>
    <t>Tata Motors Limited is an Indian multinational automotive company, headquartered in Mumbai and part of the Tata Group. The company produces cars, trucks, vans, and buses. The company's notable subsidiaries include British Jaguar Land Rover and South Korean Tata Daewoo. Tata Motors has joint ventures with Hitachi (Tata Hitachi Construction Machinery) and Stellantis, which makes vehicle parts for Fiat Chrysler and Tata-branded vehicles. Tata Motors has auto manufacturing and vehicle plants in Jamshedpur, Pantnagar, Lucknow, Sanand, Dharwad, and Pune in India, as well as in Argentina, South Africa, the United Kingdom, and Thailand. It has research and development centers in Pune, Jamshedpur, Lucknow, Dharwad, India and South Korea, the United Kingdom, and Spain. The company is ranked 265th on the Fortune Global 500 list of the world's biggest corporations as of 2019.</t>
  </si>
  <si>
    <t xml:space="preserve"> 52 Week (High - INR 1179 &amp; Low - INR 535.75)</t>
  </si>
  <si>
    <t>Altman's Z Score Analysis</t>
  </si>
  <si>
    <t>Working Capital / Total Assets</t>
  </si>
  <si>
    <t>Working Capital / Total Assets (A)</t>
  </si>
  <si>
    <t>Retained Earnings / Total Assets</t>
  </si>
  <si>
    <t>Retained Earnings / Total Assets (B)</t>
  </si>
  <si>
    <t>EBIT / Total Assets</t>
  </si>
  <si>
    <t>EBIT/Total Assets (C)</t>
  </si>
  <si>
    <t>Market Cap / Long term Liabilities</t>
  </si>
  <si>
    <t>Long term Liabilities</t>
  </si>
  <si>
    <t>Market Cap / Long term Liabilities (D)</t>
  </si>
  <si>
    <t>Sales / Total Assets</t>
  </si>
  <si>
    <t>Total Sales</t>
  </si>
  <si>
    <t>Return on Asset (E)</t>
  </si>
  <si>
    <t>Altman's Z Score</t>
  </si>
  <si>
    <t>Final Score</t>
  </si>
  <si>
    <t>Financial Stability</t>
  </si>
  <si>
    <t>CMP : INR 691.40</t>
  </si>
  <si>
    <t>Tata Motors Limited is India’s largest automobile company and a part of the Tata Group, a leading global conglomerate. Headquartered in Mumbai, it has a diversified product portfolio ranging from passenger vehicles and commercial vehicles to electric mobility solutions. The company operates in over 125 countries, with key subsidiaries including Jaguar Land Rover (UK) and Tata Daewoo (South Korea). With a strong focus on innovation, sustainability, and global expansion, Tata Motors plays a pivotal role in shaping India’s automotive sector while strengthening its position in the global market.</t>
  </si>
  <si>
    <t>Key Financial Metrics</t>
  </si>
  <si>
    <t>INR (Crs)</t>
  </si>
  <si>
    <t>Sales Growth (y-o-y)</t>
  </si>
  <si>
    <t>Sales Growth Y-oy</t>
  </si>
  <si>
    <t>EBIT Margins (%)</t>
  </si>
  <si>
    <t>EBITDA Margins (%)</t>
  </si>
  <si>
    <t>Gross Profit Margins (%)</t>
  </si>
  <si>
    <t>Net Margins (%)</t>
  </si>
  <si>
    <t>Earnings Per Share (in rs.)</t>
  </si>
  <si>
    <t>EPS Growth (y-o-y)</t>
  </si>
  <si>
    <t>DPS Growth (y-o-y)</t>
  </si>
  <si>
    <t>Share Price - 5Y</t>
  </si>
  <si>
    <t>Market Capitalisation</t>
  </si>
  <si>
    <t>Debt</t>
  </si>
  <si>
    <t>Cash</t>
  </si>
  <si>
    <t>EV/Sales</t>
  </si>
  <si>
    <t>Book Value</t>
  </si>
  <si>
    <t>Key Financial Ratios</t>
  </si>
  <si>
    <t>Price to Earnings</t>
  </si>
  <si>
    <t>Price to Book Value</t>
  </si>
  <si>
    <t>Return on Equity (%)</t>
  </si>
  <si>
    <t>Return on Capital Employed (%)</t>
  </si>
  <si>
    <t>Return On Equity</t>
  </si>
  <si>
    <t>Volumes - 5Y</t>
  </si>
  <si>
    <t>Top Ten Shareholders</t>
  </si>
  <si>
    <t>No. of Shares (in cr)</t>
  </si>
  <si>
    <t>% Holding</t>
  </si>
  <si>
    <t>Market Value (in cr)</t>
  </si>
  <si>
    <t>Vol.</t>
  </si>
  <si>
    <t>Open</t>
  </si>
  <si>
    <t>Change %</t>
  </si>
  <si>
    <t>43.53M</t>
  </si>
  <si>
    <t>48.65M</t>
  </si>
  <si>
    <t>31.30M</t>
  </si>
  <si>
    <t>90.27M</t>
  </si>
  <si>
    <t>197.52M</t>
  </si>
  <si>
    <t>181.38M</t>
  </si>
  <si>
    <t>95.20M</t>
  </si>
  <si>
    <t>160.56M</t>
  </si>
  <si>
    <t>58.81M</t>
  </si>
  <si>
    <t>74.95M</t>
  </si>
  <si>
    <t>110.16M</t>
  </si>
  <si>
    <t>95.57M</t>
  </si>
  <si>
    <t>82.62M</t>
  </si>
  <si>
    <t>76.30M</t>
  </si>
  <si>
    <t>105.36M</t>
  </si>
  <si>
    <t>79.61M</t>
  </si>
  <si>
    <t>65.14M</t>
  </si>
  <si>
    <t>84.51M</t>
  </si>
  <si>
    <t>42.89M</t>
  </si>
  <si>
    <t>85.06M</t>
  </si>
  <si>
    <t>48.12M</t>
  </si>
  <si>
    <t>46.27M</t>
  </si>
  <si>
    <t>64.74M</t>
  </si>
  <si>
    <t>87.30M</t>
  </si>
  <si>
    <t>74.98M</t>
  </si>
  <si>
    <t>62.42M</t>
  </si>
  <si>
    <t>65.04M</t>
  </si>
  <si>
    <t>61.83M</t>
  </si>
  <si>
    <t>63.37M</t>
  </si>
  <si>
    <t>48.86M</t>
  </si>
  <si>
    <t>40.49M</t>
  </si>
  <si>
    <t>55.27M</t>
  </si>
  <si>
    <t>162.05M</t>
  </si>
  <si>
    <t>68.27M</t>
  </si>
  <si>
    <t>40.94M</t>
  </si>
  <si>
    <t>37.10M</t>
  </si>
  <si>
    <t>39.28M</t>
  </si>
  <si>
    <t>38.97M</t>
  </si>
  <si>
    <t>45.79M</t>
  </si>
  <si>
    <t>64.00M</t>
  </si>
  <si>
    <t>62.55M</t>
  </si>
  <si>
    <t>33.16M</t>
  </si>
  <si>
    <t>27.47M</t>
  </si>
  <si>
    <t>39.25M</t>
  </si>
  <si>
    <t>48.81M</t>
  </si>
  <si>
    <t>68.71M</t>
  </si>
  <si>
    <t>88.53M</t>
  </si>
  <si>
    <t>56.86M</t>
  </si>
  <si>
    <t>152.36M</t>
  </si>
  <si>
    <t>66.63M</t>
  </si>
  <si>
    <t>51.13M</t>
  </si>
  <si>
    <t>40.39M</t>
  </si>
  <si>
    <t>52.07M</t>
  </si>
  <si>
    <t>44.68M</t>
  </si>
  <si>
    <t>38.93M</t>
  </si>
  <si>
    <t>67.97M</t>
  </si>
  <si>
    <t>40.28M</t>
  </si>
  <si>
    <t>68.79M</t>
  </si>
  <si>
    <t>78.58M</t>
  </si>
  <si>
    <t>56.15M</t>
  </si>
  <si>
    <t>32.57M</t>
  </si>
  <si>
    <t>82.64M</t>
  </si>
  <si>
    <t>171.80M</t>
  </si>
  <si>
    <t>109.45M</t>
  </si>
  <si>
    <t>66.94M</t>
  </si>
  <si>
    <t>54.57M</t>
  </si>
  <si>
    <t>47.70M</t>
  </si>
  <si>
    <t>54.37M</t>
  </si>
  <si>
    <t>39.09M</t>
  </si>
  <si>
    <t>125.93M</t>
  </si>
  <si>
    <t>48.88M</t>
  </si>
  <si>
    <t>88.11M</t>
  </si>
  <si>
    <t>33.33M</t>
  </si>
  <si>
    <t>48.00M</t>
  </si>
  <si>
    <t>29.80M</t>
  </si>
  <si>
    <t>42.14M</t>
  </si>
  <si>
    <t>40.30M</t>
  </si>
  <si>
    <t>38.37M</t>
  </si>
  <si>
    <t>43.07M</t>
  </si>
  <si>
    <t>33.19M</t>
  </si>
  <si>
    <t>41.19M</t>
  </si>
  <si>
    <t>51.26M</t>
  </si>
  <si>
    <t>34.10M</t>
  </si>
  <si>
    <t>46.07M</t>
  </si>
  <si>
    <t>75.58M</t>
  </si>
  <si>
    <t>110.01M</t>
  </si>
  <si>
    <t>56.93M</t>
  </si>
  <si>
    <t>73.83M</t>
  </si>
  <si>
    <t>98.01M</t>
  </si>
  <si>
    <t>71.32M</t>
  </si>
  <si>
    <t>38.58M</t>
  </si>
  <si>
    <t>48.98M</t>
  </si>
  <si>
    <t>27.33M</t>
  </si>
  <si>
    <t>63.98M</t>
  </si>
  <si>
    <t>75.75M</t>
  </si>
  <si>
    <t>75.62M</t>
  </si>
  <si>
    <t>66.02M</t>
  </si>
  <si>
    <t>53.99M</t>
  </si>
  <si>
    <t>182.48M</t>
  </si>
  <si>
    <t>390.58M</t>
  </si>
  <si>
    <t>164.65M</t>
  </si>
  <si>
    <t>86.82M</t>
  </si>
  <si>
    <t>250.04M</t>
  </si>
  <si>
    <t>173.38M</t>
  </si>
  <si>
    <t>136.86M</t>
  </si>
  <si>
    <t>205.15M</t>
  </si>
  <si>
    <t>283.61M</t>
  </si>
  <si>
    <t>316.01M</t>
  </si>
  <si>
    <t>164.35M</t>
  </si>
  <si>
    <t>126.59M</t>
  </si>
  <si>
    <t>129.16M</t>
  </si>
  <si>
    <t>138.44M</t>
  </si>
  <si>
    <t>165.66M</t>
  </si>
  <si>
    <t>251.97M</t>
  </si>
  <si>
    <t>224.19M</t>
  </si>
  <si>
    <t>121.03M</t>
  </si>
  <si>
    <t>103.51M</t>
  </si>
  <si>
    <t>102.12M</t>
  </si>
  <si>
    <t>105.98M</t>
  </si>
  <si>
    <t>93.47M</t>
  </si>
  <si>
    <t>55.26M</t>
  </si>
  <si>
    <t>64.09M</t>
  </si>
  <si>
    <t>78.68M</t>
  </si>
  <si>
    <t>65.94M</t>
  </si>
  <si>
    <t>52.15M</t>
  </si>
  <si>
    <t>49.20M</t>
  </si>
  <si>
    <t>80.27M</t>
  </si>
  <si>
    <t>57.72M</t>
  </si>
  <si>
    <t>133.31M</t>
  </si>
  <si>
    <t>50.82M</t>
  </si>
  <si>
    <t>64.51M</t>
  </si>
  <si>
    <t>91.90M</t>
  </si>
  <si>
    <t>61.19M</t>
  </si>
  <si>
    <t>127.71M</t>
  </si>
  <si>
    <t>92.01M</t>
  </si>
  <si>
    <t>59.86M</t>
  </si>
  <si>
    <t>86.74M</t>
  </si>
  <si>
    <t>81.93M</t>
  </si>
  <si>
    <t>74.70M</t>
  </si>
  <si>
    <t>58.64M</t>
  </si>
  <si>
    <t>48.36M</t>
  </si>
  <si>
    <t>45.08M</t>
  </si>
  <si>
    <t>39.27M</t>
  </si>
  <si>
    <t>47.26M</t>
  </si>
  <si>
    <t>73.73M</t>
  </si>
  <si>
    <t>109.93M</t>
  </si>
  <si>
    <t>56.39M</t>
  </si>
  <si>
    <t>60.24M</t>
  </si>
  <si>
    <t>61.52M</t>
  </si>
  <si>
    <t>84.53M</t>
  </si>
  <si>
    <t>80.92M</t>
  </si>
  <si>
    <t>45.26M</t>
  </si>
  <si>
    <t>58.57M</t>
  </si>
  <si>
    <t>44.09M</t>
  </si>
  <si>
    <t>66.18M</t>
  </si>
  <si>
    <t>63.03M</t>
  </si>
  <si>
    <t>39.07M</t>
  </si>
  <si>
    <t>62.46M</t>
  </si>
  <si>
    <t>75.46M</t>
  </si>
  <si>
    <t>105.34M</t>
  </si>
  <si>
    <t>116.87M</t>
  </si>
  <si>
    <t>75.26M</t>
  </si>
  <si>
    <t>75.33M</t>
  </si>
  <si>
    <t>65.79M</t>
  </si>
  <si>
    <t>56.74M</t>
  </si>
  <si>
    <t>61.02M</t>
  </si>
  <si>
    <t>58.16M</t>
  </si>
  <si>
    <t>30.58M</t>
  </si>
  <si>
    <t>35.04M</t>
  </si>
  <si>
    <t>44.67M</t>
  </si>
  <si>
    <t>36.65M</t>
  </si>
  <si>
    <t>36.12M</t>
  </si>
  <si>
    <t>35.38M</t>
  </si>
  <si>
    <t>38.64M</t>
  </si>
  <si>
    <t>29.35M</t>
  </si>
  <si>
    <t>45.03M</t>
  </si>
  <si>
    <t>41.59M</t>
  </si>
  <si>
    <t>53.26M</t>
  </si>
  <si>
    <t>58.47M</t>
  </si>
  <si>
    <t>111.58M</t>
  </si>
  <si>
    <t>81.31M</t>
  </si>
  <si>
    <t>51.16M</t>
  </si>
  <si>
    <t>86.15M</t>
  </si>
  <si>
    <t>119.41M</t>
  </si>
  <si>
    <t>54.04M</t>
  </si>
  <si>
    <t>40.36M</t>
  </si>
  <si>
    <t>31.96M</t>
  </si>
  <si>
    <t>37.38M</t>
  </si>
  <si>
    <t>28.64M</t>
  </si>
  <si>
    <t>49.48M</t>
  </si>
  <si>
    <t>26.62M</t>
  </si>
  <si>
    <t>30.92M</t>
  </si>
  <si>
    <t>32.60M</t>
  </si>
  <si>
    <t>26.32M</t>
  </si>
  <si>
    <t>21.41M</t>
  </si>
  <si>
    <t>41.28M</t>
  </si>
  <si>
    <t>64.99M</t>
  </si>
  <si>
    <t>44.11M</t>
  </si>
  <si>
    <t>59.33M</t>
  </si>
  <si>
    <t>24.35M</t>
  </si>
  <si>
    <t>36.44M</t>
  </si>
  <si>
    <t>38.48M</t>
  </si>
  <si>
    <t>35.53M</t>
  </si>
  <si>
    <t>27.55M</t>
  </si>
  <si>
    <t>29.24M</t>
  </si>
  <si>
    <t>49.44M</t>
  </si>
  <si>
    <t>29.12M</t>
  </si>
  <si>
    <t>26.71M</t>
  </si>
  <si>
    <t>25.74M</t>
  </si>
  <si>
    <t>15.58M</t>
  </si>
  <si>
    <t>22.43M</t>
  </si>
  <si>
    <t>17.84M</t>
  </si>
  <si>
    <t>22.46M</t>
  </si>
  <si>
    <t>18.28M</t>
  </si>
  <si>
    <t>27.94M</t>
  </si>
  <si>
    <t>18.30M</t>
  </si>
  <si>
    <t>18.40M</t>
  </si>
  <si>
    <t>164.08M</t>
  </si>
  <si>
    <t>112.18M</t>
  </si>
  <si>
    <t>87.36M</t>
  </si>
  <si>
    <t>32.28M</t>
  </si>
  <si>
    <t>21.86M</t>
  </si>
  <si>
    <t>23.62M</t>
  </si>
  <si>
    <t>25.15M</t>
  </si>
  <si>
    <t>21.35M</t>
  </si>
  <si>
    <t>27.67M</t>
  </si>
  <si>
    <t>21.34M</t>
  </si>
  <si>
    <t>33.44M</t>
  </si>
  <si>
    <t>27.50M</t>
  </si>
  <si>
    <t>55.13M</t>
  </si>
  <si>
    <t>36.14M</t>
  </si>
  <si>
    <t>57.73M</t>
  </si>
  <si>
    <t>30.59M</t>
  </si>
  <si>
    <t>19.27M</t>
  </si>
  <si>
    <t>31.06M</t>
  </si>
  <si>
    <t>26.19M</t>
  </si>
  <si>
    <t>20.70M</t>
  </si>
  <si>
    <t>16.00M</t>
  </si>
  <si>
    <t>16.99M</t>
  </si>
  <si>
    <t>15.17M</t>
  </si>
  <si>
    <t>20.80M</t>
  </si>
  <si>
    <t>33.65M</t>
  </si>
  <si>
    <t>34.92M</t>
  </si>
  <si>
    <t>14.35M</t>
  </si>
  <si>
    <t>25.54M</t>
  </si>
  <si>
    <t>18.00M</t>
  </si>
  <si>
    <t>32.58M</t>
  </si>
  <si>
    <t>24.50M</t>
  </si>
  <si>
    <t>37.59M</t>
  </si>
  <si>
    <t>31.54M</t>
  </si>
  <si>
    <t>17.86M</t>
  </si>
  <si>
    <t>13.48M</t>
  </si>
  <si>
    <t>17.22M</t>
  </si>
  <si>
    <t>36.95M</t>
  </si>
  <si>
    <t>33.10M</t>
  </si>
  <si>
    <t>14.91M</t>
  </si>
  <si>
    <t>16.59M</t>
  </si>
  <si>
    <t>16.62M</t>
  </si>
  <si>
    <t>14.33M</t>
  </si>
  <si>
    <t>14.92M</t>
  </si>
  <si>
    <t>34.02M</t>
  </si>
  <si>
    <t>16.34M</t>
  </si>
  <si>
    <t>23.23M</t>
  </si>
  <si>
    <t>26.81M</t>
  </si>
  <si>
    <t>26.25M</t>
  </si>
  <si>
    <t>24.97M</t>
  </si>
  <si>
    <t>19.63M</t>
  </si>
  <si>
    <t>19.44M</t>
  </si>
  <si>
    <t>29.55M</t>
  </si>
  <si>
    <t>52.70M</t>
  </si>
  <si>
    <t>28.90M</t>
  </si>
  <si>
    <t>56.31M</t>
  </si>
  <si>
    <t>28.50M</t>
  </si>
  <si>
    <t>19.74M</t>
  </si>
  <si>
    <t>30.27M</t>
  </si>
  <si>
    <t>29.88M</t>
  </si>
  <si>
    <t>31.86M</t>
  </si>
  <si>
    <t>25.27M</t>
  </si>
  <si>
    <t>163.24M</t>
  </si>
  <si>
    <t>93.73M</t>
  </si>
  <si>
    <t>113.41M</t>
  </si>
  <si>
    <t>97.35M</t>
  </si>
  <si>
    <t>197.95M</t>
  </si>
  <si>
    <t>103.63M</t>
  </si>
  <si>
    <t>72.32M</t>
  </si>
  <si>
    <t>57.43M</t>
  </si>
  <si>
    <t>55.44M</t>
  </si>
  <si>
    <t>52.61M</t>
  </si>
  <si>
    <t>42.74M</t>
  </si>
  <si>
    <t>33.11M</t>
  </si>
  <si>
    <t>58.03M</t>
  </si>
  <si>
    <t>30.36M</t>
  </si>
  <si>
    <t>25.18M</t>
  </si>
  <si>
    <t>31.05M</t>
  </si>
  <si>
    <t>34.32M</t>
  </si>
  <si>
    <t>51.58M</t>
  </si>
  <si>
    <t>22.95M</t>
  </si>
  <si>
    <t>5.53M</t>
  </si>
  <si>
    <t>31.74M</t>
  </si>
  <si>
    <t>50.46M</t>
  </si>
  <si>
    <t>29.26M</t>
  </si>
  <si>
    <t>20.73M</t>
  </si>
  <si>
    <t>18.02M</t>
  </si>
  <si>
    <t>55.90M</t>
  </si>
  <si>
    <t>48.46M</t>
  </si>
  <si>
    <t>47.20M</t>
  </si>
  <si>
    <t>40.04M</t>
  </si>
  <si>
    <t>20.92M</t>
  </si>
  <si>
    <t>15.34M</t>
  </si>
  <si>
    <t>51.79M</t>
  </si>
  <si>
    <t>42.82M</t>
  </si>
  <si>
    <t>35.47M</t>
  </si>
  <si>
    <t>28.26M</t>
  </si>
  <si>
    <t>21.01M</t>
  </si>
  <si>
    <t>20.95M</t>
  </si>
  <si>
    <t>17.47M</t>
  </si>
  <si>
    <t>21.28M</t>
  </si>
  <si>
    <t>20.58M</t>
  </si>
  <si>
    <t>16.95M</t>
  </si>
  <si>
    <t>14.57M</t>
  </si>
  <si>
    <t>21.92M</t>
  </si>
  <si>
    <t>17.72M</t>
  </si>
  <si>
    <t>16.26M</t>
  </si>
  <si>
    <t>13.58M</t>
  </si>
  <si>
    <t>27.34M</t>
  </si>
  <si>
    <t>33.01M</t>
  </si>
  <si>
    <t>18.84M</t>
  </si>
  <si>
    <t>22.73M</t>
  </si>
  <si>
    <t>12.12M</t>
  </si>
  <si>
    <t>15.49M</t>
  </si>
  <si>
    <t>12.56M</t>
  </si>
  <si>
    <t>22.86M</t>
  </si>
  <si>
    <t>10.26M</t>
  </si>
  <si>
    <t>11.92M</t>
  </si>
  <si>
    <t>15.54M</t>
  </si>
  <si>
    <t>32.75M</t>
  </si>
  <si>
    <t>24.10M</t>
  </si>
  <si>
    <t>15.42M</t>
  </si>
  <si>
    <t>16.56M</t>
  </si>
  <si>
    <t>15.53M</t>
  </si>
  <si>
    <t>25.19M</t>
  </si>
  <si>
    <t>16.27M</t>
  </si>
  <si>
    <t>27.57M</t>
  </si>
  <si>
    <t>12.66M</t>
  </si>
  <si>
    <t>19.35M</t>
  </si>
  <si>
    <t>21.80M</t>
  </si>
  <si>
    <t>18.36M</t>
  </si>
  <si>
    <t>17.95M</t>
  </si>
  <si>
    <t>25.23M</t>
  </si>
  <si>
    <t>22.57M</t>
  </si>
  <si>
    <t>26.68M</t>
  </si>
  <si>
    <t>21.78M</t>
  </si>
  <si>
    <t>27.31M</t>
  </si>
  <si>
    <t>48.03M</t>
  </si>
  <si>
    <t>14.31M</t>
  </si>
  <si>
    <t>15.25M</t>
  </si>
  <si>
    <t>13.39M</t>
  </si>
  <si>
    <t>23.38M</t>
  </si>
  <si>
    <t>12.43M</t>
  </si>
  <si>
    <t>14.54M</t>
  </si>
  <si>
    <t>13.53M</t>
  </si>
  <si>
    <t>22.16M</t>
  </si>
  <si>
    <t>30.62M</t>
  </si>
  <si>
    <t>20.18M</t>
  </si>
  <si>
    <t>15.48M</t>
  </si>
  <si>
    <t>22.59M</t>
  </si>
  <si>
    <t>27.96M</t>
  </si>
  <si>
    <t>17.70M</t>
  </si>
  <si>
    <t>57.27M</t>
  </si>
  <si>
    <t>34.48M</t>
  </si>
  <si>
    <t>25.79M</t>
  </si>
  <si>
    <t>29.60M</t>
  </si>
  <si>
    <t>38.77M</t>
  </si>
  <si>
    <t>44.84M</t>
  </si>
  <si>
    <t>55.54M</t>
  </si>
  <si>
    <t>48.38M</t>
  </si>
  <si>
    <t>59.78M</t>
  </si>
  <si>
    <t>51.51M</t>
  </si>
  <si>
    <t>40.72M</t>
  </si>
  <si>
    <t>47.71M</t>
  </si>
  <si>
    <t>27.19M</t>
  </si>
  <si>
    <t>26.70M</t>
  </si>
  <si>
    <t>18.27M</t>
  </si>
  <si>
    <t>30.44M</t>
  </si>
  <si>
    <t>25.47M</t>
  </si>
  <si>
    <t>17.11M</t>
  </si>
  <si>
    <t>15.10M</t>
  </si>
  <si>
    <t>16.76M</t>
  </si>
  <si>
    <t>18.71M</t>
  </si>
  <si>
    <t>18.15M</t>
  </si>
  <si>
    <t>14.25M</t>
  </si>
  <si>
    <t>19.38M</t>
  </si>
  <si>
    <t>18.66M</t>
  </si>
  <si>
    <t>28.53M</t>
  </si>
  <si>
    <t>19.95M</t>
  </si>
  <si>
    <t>16.32M</t>
  </si>
  <si>
    <t>14.34M</t>
  </si>
  <si>
    <t>22.70M</t>
  </si>
  <si>
    <t>16.82M</t>
  </si>
  <si>
    <t>15.30M</t>
  </si>
  <si>
    <t>12.67M</t>
  </si>
  <si>
    <t>19.64M</t>
  </si>
  <si>
    <t>14.12M</t>
  </si>
  <si>
    <t>14.36M</t>
  </si>
  <si>
    <t>14.73M</t>
  </si>
  <si>
    <t>13.70M</t>
  </si>
  <si>
    <t>13.88M</t>
  </si>
  <si>
    <t>21.99M</t>
  </si>
  <si>
    <t>18.95M</t>
  </si>
  <si>
    <t>14.93M</t>
  </si>
  <si>
    <t>12.24M</t>
  </si>
  <si>
    <t>25.14M</t>
  </si>
  <si>
    <t>18.08M</t>
  </si>
  <si>
    <t>16.54M</t>
  </si>
  <si>
    <t>29.22M</t>
  </si>
  <si>
    <t>33.51M</t>
  </si>
  <si>
    <t>71.43M</t>
  </si>
  <si>
    <t>24.94M</t>
  </si>
  <si>
    <t>24.65M</t>
  </si>
  <si>
    <t>20.49M</t>
  </si>
  <si>
    <t>17.71M</t>
  </si>
  <si>
    <t>23.50M</t>
  </si>
  <si>
    <t>16.35M</t>
  </si>
  <si>
    <t>14.53M</t>
  </si>
  <si>
    <t>13.54M</t>
  </si>
  <si>
    <t>16.87M</t>
  </si>
  <si>
    <t>18.50M</t>
  </si>
  <si>
    <t>22.31M</t>
  </si>
  <si>
    <t>11.93M</t>
  </si>
  <si>
    <t>12.74M</t>
  </si>
  <si>
    <t>12.78M</t>
  </si>
  <si>
    <t>11.90M</t>
  </si>
  <si>
    <t>11.15M</t>
  </si>
  <si>
    <t>12.84M</t>
  </si>
  <si>
    <t>13.04M</t>
  </si>
  <si>
    <t>11.91M</t>
  </si>
  <si>
    <t>17.44M</t>
  </si>
  <si>
    <t>15.19M</t>
  </si>
  <si>
    <t>22.26M</t>
  </si>
  <si>
    <t>24.82M</t>
  </si>
  <si>
    <t>17.05M</t>
  </si>
  <si>
    <t>14.74M</t>
  </si>
  <si>
    <t>26.51M</t>
  </si>
  <si>
    <t>14.81M</t>
  </si>
  <si>
    <t>12.02M</t>
  </si>
  <si>
    <t>13.24M</t>
  </si>
  <si>
    <t>13.10M</t>
  </si>
  <si>
    <t>20.12M</t>
  </si>
  <si>
    <t>11.53M</t>
  </si>
  <si>
    <t>16.77M</t>
  </si>
  <si>
    <t>12.20M</t>
  </si>
  <si>
    <t>17.62M</t>
  </si>
  <si>
    <t>23.73M</t>
  </si>
  <si>
    <t>12.62M</t>
  </si>
  <si>
    <t>9.52M</t>
  </si>
  <si>
    <t>10.18M</t>
  </si>
  <si>
    <t>10.74M</t>
  </si>
  <si>
    <t>15.77M</t>
  </si>
  <si>
    <t>21.19M</t>
  </si>
  <si>
    <t>11.55M</t>
  </si>
  <si>
    <t>17.15M</t>
  </si>
  <si>
    <t>10.93M</t>
  </si>
  <si>
    <t>10.34M</t>
  </si>
  <si>
    <t>12.51M</t>
  </si>
  <si>
    <t>11.56M</t>
  </si>
  <si>
    <t>10.08M</t>
  </si>
  <si>
    <t>36.38M</t>
  </si>
  <si>
    <t>43.08M</t>
  </si>
  <si>
    <t>19.07M</t>
  </si>
  <si>
    <t>19.13M</t>
  </si>
  <si>
    <t>18.54M</t>
  </si>
  <si>
    <t>10.56M</t>
  </si>
  <si>
    <t>13.36M</t>
  </si>
  <si>
    <t>16.80M</t>
  </si>
  <si>
    <t>15.95M</t>
  </si>
  <si>
    <t>12.07M</t>
  </si>
  <si>
    <t>16.64M</t>
  </si>
  <si>
    <t>15.05M</t>
  </si>
  <si>
    <t>17.78M</t>
  </si>
  <si>
    <t>12.21M</t>
  </si>
  <si>
    <t>11.26M</t>
  </si>
  <si>
    <t>11.25M</t>
  </si>
  <si>
    <t>11.65M</t>
  </si>
  <si>
    <t>14.42M</t>
  </si>
  <si>
    <t>10.81M</t>
  </si>
  <si>
    <t>9.38M</t>
  </si>
  <si>
    <t>9.81M</t>
  </si>
  <si>
    <t>20.76M</t>
  </si>
  <si>
    <t>19.34M</t>
  </si>
  <si>
    <t>14.29M</t>
  </si>
  <si>
    <t>8.96M</t>
  </si>
  <si>
    <t>10.66M</t>
  </si>
  <si>
    <t>10.36M</t>
  </si>
  <si>
    <t>20.99M</t>
  </si>
  <si>
    <t>15.24M</t>
  </si>
  <si>
    <t>17.56M</t>
  </si>
  <si>
    <t>10.83M</t>
  </si>
  <si>
    <t>13.60M</t>
  </si>
  <si>
    <t>13.44M</t>
  </si>
  <si>
    <t>33.23M</t>
  </si>
  <si>
    <t>21.93M</t>
  </si>
  <si>
    <t>18.11M</t>
  </si>
  <si>
    <t>20.33M</t>
  </si>
  <si>
    <t>12.76M</t>
  </si>
  <si>
    <t>12.77M</t>
  </si>
  <si>
    <t>10.67M</t>
  </si>
  <si>
    <t>32.91M</t>
  </si>
  <si>
    <t>14.64M</t>
  </si>
  <si>
    <t>12.58M</t>
  </si>
  <si>
    <t>12.88M</t>
  </si>
  <si>
    <t>9.54M</t>
  </si>
  <si>
    <t>14.22M</t>
  </si>
  <si>
    <t>8.65M</t>
  </si>
  <si>
    <t>10.75M</t>
  </si>
  <si>
    <t>10.28M</t>
  </si>
  <si>
    <t>2.87M</t>
  </si>
  <si>
    <t>17.98M</t>
  </si>
  <si>
    <t>14.61M</t>
  </si>
  <si>
    <t>12.49M</t>
  </si>
  <si>
    <t>9.93M</t>
  </si>
  <si>
    <t>17.32M</t>
  </si>
  <si>
    <t>10.99M</t>
  </si>
  <si>
    <t>12.28M</t>
  </si>
  <si>
    <t>15.06M</t>
  </si>
  <si>
    <t>14.47M</t>
  </si>
  <si>
    <t>19.30M</t>
  </si>
  <si>
    <t>10.70M</t>
  </si>
  <si>
    <t>8.21M</t>
  </si>
  <si>
    <t>15.62M</t>
  </si>
  <si>
    <t>9.85M</t>
  </si>
  <si>
    <t>9.50M</t>
  </si>
  <si>
    <t>6.41M</t>
  </si>
  <si>
    <t>6.57M</t>
  </si>
  <si>
    <t>6.77M</t>
  </si>
  <si>
    <t>18.76M</t>
  </si>
  <si>
    <t>8.63M</t>
  </si>
  <si>
    <t>8.91M</t>
  </si>
  <si>
    <t>8.35M</t>
  </si>
  <si>
    <t>12.86M</t>
  </si>
  <si>
    <t>8.46M</t>
  </si>
  <si>
    <t>12.13M</t>
  </si>
  <si>
    <t>9.92M</t>
  </si>
  <si>
    <t>8.01M</t>
  </si>
  <si>
    <t>9.72M</t>
  </si>
  <si>
    <t>6.31M</t>
  </si>
  <si>
    <t>7.54M</t>
  </si>
  <si>
    <t>50.95M</t>
  </si>
  <si>
    <t>12.34M</t>
  </si>
  <si>
    <t>11.61M</t>
  </si>
  <si>
    <t>19.90M</t>
  </si>
  <si>
    <t>16.98M</t>
  </si>
  <si>
    <t>14.37M</t>
  </si>
  <si>
    <t>8.44M</t>
  </si>
  <si>
    <t>15.63M</t>
  </si>
  <si>
    <t>9.20M</t>
  </si>
  <si>
    <t>10.50M</t>
  </si>
  <si>
    <t>9.43M</t>
  </si>
  <si>
    <t>16.12M</t>
  </si>
  <si>
    <t>10.44M</t>
  </si>
  <si>
    <t>8.72M</t>
  </si>
  <si>
    <t>14.69M</t>
  </si>
  <si>
    <t>54.02M</t>
  </si>
  <si>
    <t>22.22M</t>
  </si>
  <si>
    <t>12.48M</t>
  </si>
  <si>
    <t>10.45M</t>
  </si>
  <si>
    <t>11.46M</t>
  </si>
  <si>
    <t>13.31M</t>
  </si>
  <si>
    <t>13.13M</t>
  </si>
  <si>
    <t>23.91M</t>
  </si>
  <si>
    <t>13.11M</t>
  </si>
  <si>
    <t>30.20M</t>
  </si>
  <si>
    <t>22.98M</t>
  </si>
  <si>
    <t>63.36M</t>
  </si>
  <si>
    <t>18.32M</t>
  </si>
  <si>
    <t>23.80M</t>
  </si>
  <si>
    <t>11.34M</t>
  </si>
  <si>
    <t>13.07M</t>
  </si>
  <si>
    <t>6.80M</t>
  </si>
  <si>
    <t>9.02M</t>
  </si>
  <si>
    <t>8.67M</t>
  </si>
  <si>
    <t>7.35M</t>
  </si>
  <si>
    <t>14.80M</t>
  </si>
  <si>
    <t>8.33M</t>
  </si>
  <si>
    <t>8.57M</t>
  </si>
  <si>
    <t>9.86M</t>
  </si>
  <si>
    <t>7.67M</t>
  </si>
  <si>
    <t>6.96M</t>
  </si>
  <si>
    <t>7.21M</t>
  </si>
  <si>
    <t>9.28M</t>
  </si>
  <si>
    <t>7.90M</t>
  </si>
  <si>
    <t>9.65M</t>
  </si>
  <si>
    <t>7.60M</t>
  </si>
  <si>
    <t>5.66M</t>
  </si>
  <si>
    <t>8.03M</t>
  </si>
  <si>
    <t>11.31M</t>
  </si>
  <si>
    <t>7.85M</t>
  </si>
  <si>
    <t>5.70M</t>
  </si>
  <si>
    <t>10.42M</t>
  </si>
  <si>
    <t>8.78M</t>
  </si>
  <si>
    <t>9.19M</t>
  </si>
  <si>
    <t>7.68M</t>
  </si>
  <si>
    <t>11.85M</t>
  </si>
  <si>
    <t>8.66M</t>
  </si>
  <si>
    <t>7.39M</t>
  </si>
  <si>
    <t>5.73M</t>
  </si>
  <si>
    <t>9.82M</t>
  </si>
  <si>
    <t>6.88M</t>
  </si>
  <si>
    <t>7.43M</t>
  </si>
  <si>
    <t>9.55M</t>
  </si>
  <si>
    <t>10.48M</t>
  </si>
  <si>
    <t>11.04M</t>
  </si>
  <si>
    <t>6.95M</t>
  </si>
  <si>
    <t>8.82M</t>
  </si>
  <si>
    <t>10.91M</t>
  </si>
  <si>
    <t>14.50M</t>
  </si>
  <si>
    <t>13.55M</t>
  </si>
  <si>
    <t>12.73M</t>
  </si>
  <si>
    <t>10.71M</t>
  </si>
  <si>
    <t>16.14M</t>
  </si>
  <si>
    <t>7.37M</t>
  </si>
  <si>
    <t>14.26M</t>
  </si>
  <si>
    <t>8.48M</t>
  </si>
  <si>
    <t>8.02M</t>
  </si>
  <si>
    <t>6.89M</t>
  </si>
  <si>
    <t>7.79M</t>
  </si>
  <si>
    <t>7.09M</t>
  </si>
  <si>
    <t>9.95M</t>
  </si>
  <si>
    <t>11.54M</t>
  </si>
  <si>
    <t>8.53M</t>
  </si>
  <si>
    <t>5.65M</t>
  </si>
  <si>
    <t>4.83M</t>
  </si>
  <si>
    <t>23.52M</t>
  </si>
  <si>
    <t>19.82M</t>
  </si>
  <si>
    <t>11.45M</t>
  </si>
  <si>
    <t>19.77M</t>
  </si>
  <si>
    <t>38.27M</t>
  </si>
  <si>
    <t>16.51M</t>
  </si>
  <si>
    <t>13.68M</t>
  </si>
  <si>
    <t>12.29M</t>
  </si>
  <si>
    <t>9.98M</t>
  </si>
  <si>
    <t>12.26M</t>
  </si>
  <si>
    <t>7.65M</t>
  </si>
  <si>
    <t>8.36M</t>
  </si>
  <si>
    <t>6.60M</t>
  </si>
  <si>
    <t>5.13M</t>
  </si>
  <si>
    <t>12.33M</t>
  </si>
  <si>
    <t>15.01M</t>
  </si>
  <si>
    <t>15.40M</t>
  </si>
  <si>
    <t>20.86M</t>
  </si>
  <si>
    <t>21.53M</t>
  </si>
  <si>
    <t>9.36M</t>
  </si>
  <si>
    <t>12.85M</t>
  </si>
  <si>
    <t>12.71M</t>
  </si>
  <si>
    <t>8.74M</t>
  </si>
  <si>
    <t>6.28M</t>
  </si>
  <si>
    <t>18.07M</t>
  </si>
  <si>
    <t>9.15M</t>
  </si>
  <si>
    <t>11.23M</t>
  </si>
  <si>
    <t>6.99M</t>
  </si>
  <si>
    <t>9.40M</t>
  </si>
  <si>
    <t>16.72M</t>
  </si>
  <si>
    <t>11.13M</t>
  </si>
  <si>
    <t>6.92M</t>
  </si>
  <si>
    <t>21.07M</t>
  </si>
  <si>
    <t>12.05M</t>
  </si>
  <si>
    <t>10.79M</t>
  </si>
  <si>
    <t>9.69M</t>
  </si>
  <si>
    <t>7.01M</t>
  </si>
  <si>
    <t>7.58M</t>
  </si>
  <si>
    <t>7.83M</t>
  </si>
  <si>
    <t>12.91M</t>
  </si>
  <si>
    <t>12.25M</t>
  </si>
  <si>
    <t>13.99M</t>
  </si>
  <si>
    <t>31.67M</t>
  </si>
  <si>
    <t>11.70M</t>
  </si>
  <si>
    <t>9.30M</t>
  </si>
  <si>
    <t>7.50M</t>
  </si>
  <si>
    <t>8.92M</t>
  </si>
  <si>
    <t>15.76M</t>
  </si>
  <si>
    <t>11.81M</t>
  </si>
  <si>
    <t>9.89M</t>
  </si>
  <si>
    <t>8.86M</t>
  </si>
  <si>
    <t>53.12M</t>
  </si>
  <si>
    <t>9.35M</t>
  </si>
  <si>
    <t>14.49M</t>
  </si>
  <si>
    <t>14.56M</t>
  </si>
  <si>
    <t>11.19M</t>
  </si>
  <si>
    <t>9.58M</t>
  </si>
  <si>
    <t>8.25M</t>
  </si>
  <si>
    <t>7.10M</t>
  </si>
  <si>
    <t>16.08M</t>
  </si>
  <si>
    <t>7.48M</t>
  </si>
  <si>
    <t>5.68M</t>
  </si>
  <si>
    <t>10.54M</t>
  </si>
  <si>
    <t>10.30M</t>
  </si>
  <si>
    <t>8.39M</t>
  </si>
  <si>
    <t>8.56M</t>
  </si>
  <si>
    <t>6.52M</t>
  </si>
  <si>
    <t>16.19M</t>
  </si>
  <si>
    <t>12.54M</t>
  </si>
  <si>
    <t>5.72M</t>
  </si>
  <si>
    <t>18.92M</t>
  </si>
  <si>
    <t>11.11M</t>
  </si>
  <si>
    <t>11.78M</t>
  </si>
  <si>
    <t>9.27M</t>
  </si>
  <si>
    <t>6.55M</t>
  </si>
  <si>
    <t>6.39M</t>
  </si>
  <si>
    <t>6.27M</t>
  </si>
  <si>
    <t>5.96M</t>
  </si>
  <si>
    <t>8.97M</t>
  </si>
  <si>
    <t>7.61M</t>
  </si>
  <si>
    <t>7.89M</t>
  </si>
  <si>
    <t>7.92M</t>
  </si>
  <si>
    <t>6.38M</t>
  </si>
  <si>
    <t>9.83M</t>
  </si>
  <si>
    <t>7.70M</t>
  </si>
  <si>
    <t>5.93M</t>
  </si>
  <si>
    <t>28.01M</t>
  </si>
  <si>
    <t>20.01M</t>
  </si>
  <si>
    <t>10.63M</t>
  </si>
  <si>
    <t>11.76M</t>
  </si>
  <si>
    <t>8.23M</t>
  </si>
  <si>
    <t>8.89M</t>
  </si>
  <si>
    <t>10.23M</t>
  </si>
  <si>
    <t>12.79M</t>
  </si>
  <si>
    <t>11.40M</t>
  </si>
  <si>
    <t>8.79M</t>
  </si>
  <si>
    <t>23.09M</t>
  </si>
  <si>
    <t>10.80M</t>
  </si>
  <si>
    <t>6.59M</t>
  </si>
  <si>
    <t>10.16M</t>
  </si>
  <si>
    <t>6.43M</t>
  </si>
  <si>
    <t>2.24M</t>
  </si>
  <si>
    <t>3.28M</t>
  </si>
  <si>
    <t>11.32M</t>
  </si>
  <si>
    <t>17.50M</t>
  </si>
  <si>
    <t>9.56M</t>
  </si>
  <si>
    <t>8.32M</t>
  </si>
  <si>
    <t>7.29M</t>
  </si>
  <si>
    <t>5.89M</t>
  </si>
  <si>
    <t>16.02M</t>
  </si>
  <si>
    <t>24.28M</t>
  </si>
  <si>
    <t>10.57M</t>
  </si>
  <si>
    <t>9.60M</t>
  </si>
  <si>
    <t>12.15M</t>
  </si>
  <si>
    <t>6.40M</t>
  </si>
  <si>
    <t>6.46M</t>
  </si>
  <si>
    <t>5.81M</t>
  </si>
  <si>
    <t>6.73M</t>
  </si>
  <si>
    <t>12.08M</t>
  </si>
  <si>
    <t>5.45M</t>
  </si>
  <si>
    <t>4.51M</t>
  </si>
  <si>
    <t>8.11M</t>
  </si>
  <si>
    <t>12.06M</t>
  </si>
  <si>
    <t>7.23M</t>
  </si>
  <si>
    <t>41.17M</t>
  </si>
  <si>
    <t>12.57M</t>
  </si>
  <si>
    <t>13.79M</t>
  </si>
  <si>
    <t>14.30M</t>
  </si>
  <si>
    <t>11.09M</t>
  </si>
  <si>
    <t>12.87M</t>
  </si>
  <si>
    <t>11.08M</t>
  </si>
  <si>
    <t>7.66M</t>
  </si>
  <si>
    <t>4.84M</t>
  </si>
  <si>
    <t>11.50M</t>
  </si>
  <si>
    <t>5.71M</t>
  </si>
  <si>
    <t>2.84M</t>
  </si>
  <si>
    <t>9.44M</t>
  </si>
  <si>
    <t>7.22M</t>
  </si>
  <si>
    <t>10.11M</t>
  </si>
  <si>
    <t>12.82M</t>
  </si>
  <si>
    <t>19.73M</t>
  </si>
  <si>
    <t>24.56M</t>
  </si>
  <si>
    <t>14.51M</t>
  </si>
  <si>
    <t>13.00M</t>
  </si>
  <si>
    <t>38.69M</t>
  </si>
  <si>
    <t>7.91M</t>
  </si>
  <si>
    <t>11.58M</t>
  </si>
  <si>
    <t>12.83M</t>
  </si>
  <si>
    <t>4.63M</t>
  </si>
  <si>
    <t>4.73M</t>
  </si>
  <si>
    <t>6.01M</t>
  </si>
  <si>
    <t>6.44M</t>
  </si>
  <si>
    <t>7.05M</t>
  </si>
  <si>
    <t>5.60M</t>
  </si>
  <si>
    <t>12.81M</t>
  </si>
  <si>
    <t>15.22M</t>
  </si>
  <si>
    <t>10.35M</t>
  </si>
  <si>
    <t>10.65M</t>
  </si>
  <si>
    <t>1.78M</t>
  </si>
  <si>
    <t>6.08M</t>
  </si>
  <si>
    <t>59.81M</t>
  </si>
  <si>
    <t>14.21M</t>
  </si>
  <si>
    <t>16.88M</t>
  </si>
  <si>
    <t>8.76M</t>
  </si>
  <si>
    <t>22.93M</t>
  </si>
  <si>
    <t>23.39M</t>
  </si>
  <si>
    <t>9.48M</t>
  </si>
  <si>
    <t>13.90M</t>
  </si>
  <si>
    <t>11.07M</t>
  </si>
  <si>
    <t>13.64M</t>
  </si>
  <si>
    <t>9.46M</t>
  </si>
  <si>
    <t>6.64M</t>
  </si>
  <si>
    <t>8.00M</t>
  </si>
  <si>
    <t>8.04M</t>
  </si>
  <si>
    <t>9.14M</t>
  </si>
  <si>
    <t>4.52M</t>
  </si>
  <si>
    <t>5.19M</t>
  </si>
  <si>
    <t>8.54M</t>
  </si>
  <si>
    <t>4.55M</t>
  </si>
  <si>
    <t>12.63M</t>
  </si>
  <si>
    <t>9.57M</t>
  </si>
  <si>
    <t>15.38M</t>
  </si>
  <si>
    <t>7.19M</t>
  </si>
  <si>
    <t>7.99M</t>
  </si>
  <si>
    <t>4.67M</t>
  </si>
  <si>
    <t>8.37M</t>
  </si>
  <si>
    <t>7.94M</t>
  </si>
  <si>
    <t>4.76M</t>
  </si>
  <si>
    <t>9.05M</t>
  </si>
  <si>
    <t>12.70M</t>
  </si>
  <si>
    <t>11.87M</t>
  </si>
  <si>
    <t>8.88M</t>
  </si>
  <si>
    <t>7.52M</t>
  </si>
  <si>
    <t>19.19M</t>
  </si>
  <si>
    <t>13.38M</t>
  </si>
  <si>
    <t>58.97M</t>
  </si>
  <si>
    <t>16.33M</t>
  </si>
  <si>
    <t>19.67M</t>
  </si>
  <si>
    <t>31.24M</t>
  </si>
  <si>
    <t>13.21M</t>
  </si>
  <si>
    <t>1.93M</t>
  </si>
  <si>
    <t>10.06M</t>
  </si>
  <si>
    <t>11.21M</t>
  </si>
  <si>
    <t>9.59M</t>
  </si>
  <si>
    <t>6.62M</t>
  </si>
  <si>
    <t>8.18M</t>
  </si>
  <si>
    <t>10.17M</t>
  </si>
  <si>
    <t>12.31M</t>
  </si>
  <si>
    <t>26.55M</t>
  </si>
  <si>
    <t>13.75M</t>
  </si>
  <si>
    <t>11.79M</t>
  </si>
  <si>
    <t>9.26M</t>
  </si>
  <si>
    <t>14.83M</t>
  </si>
  <si>
    <t>17.53M</t>
  </si>
  <si>
    <t>12.16M</t>
  </si>
  <si>
    <t>11.59M</t>
  </si>
  <si>
    <t>7.30M</t>
  </si>
  <si>
    <t>6.66M</t>
  </si>
  <si>
    <t>6.91M</t>
  </si>
  <si>
    <t>19.39M</t>
  </si>
  <si>
    <t>23.03M</t>
  </si>
  <si>
    <t>14.01M</t>
  </si>
  <si>
    <t>12.14M</t>
  </si>
  <si>
    <t>10.95M</t>
  </si>
  <si>
    <t>13.41M</t>
  </si>
  <si>
    <t>11.98M</t>
  </si>
  <si>
    <t>7.34M</t>
  </si>
  <si>
    <t>5.85M</t>
  </si>
  <si>
    <t>4.82M</t>
  </si>
  <si>
    <t>7.40M</t>
  </si>
  <si>
    <t>10.38M</t>
  </si>
  <si>
    <t>11.47M</t>
  </si>
  <si>
    <t>32.77M</t>
  </si>
  <si>
    <t>21.23M</t>
  </si>
  <si>
    <t>28.59M</t>
  </si>
  <si>
    <t>10.86M</t>
  </si>
  <si>
    <t>14.38M</t>
  </si>
  <si>
    <t>21.97M</t>
  </si>
  <si>
    <t>26.65M</t>
  </si>
  <si>
    <t>16.73M</t>
  </si>
  <si>
    <t>19.53M</t>
  </si>
  <si>
    <t>15.44M</t>
  </si>
  <si>
    <t>7.51M</t>
  </si>
  <si>
    <t>11.44M</t>
  </si>
  <si>
    <t>5.63M</t>
  </si>
  <si>
    <t>4.87M</t>
  </si>
  <si>
    <t>9.42M</t>
  </si>
  <si>
    <t>8.81M</t>
  </si>
  <si>
    <t>8.15M</t>
  </si>
  <si>
    <t>40.66M</t>
  </si>
  <si>
    <t>17.65M</t>
  </si>
  <si>
    <t>8.12M</t>
  </si>
  <si>
    <t>5.09M</t>
  </si>
  <si>
    <t>25.68M</t>
  </si>
  <si>
    <t>13.20M</t>
  </si>
  <si>
    <t>5.84M</t>
  </si>
  <si>
    <t>44.52M</t>
  </si>
  <si>
    <t>12.04M</t>
  </si>
  <si>
    <t>13.47M</t>
  </si>
  <si>
    <t>10.25M</t>
  </si>
  <si>
    <t>12.96M</t>
  </si>
  <si>
    <t>21.64M</t>
  </si>
  <si>
    <t>12.23M</t>
  </si>
  <si>
    <t>10.09M</t>
  </si>
  <si>
    <t>24.42M</t>
  </si>
  <si>
    <t>11.77M</t>
  </si>
  <si>
    <t>21.18M</t>
  </si>
  <si>
    <t>13.25M</t>
  </si>
  <si>
    <t>4.46M</t>
  </si>
  <si>
    <t>5.74M</t>
  </si>
  <si>
    <t>9.06M</t>
  </si>
  <si>
    <t>13.86M</t>
  </si>
  <si>
    <t>13.62M</t>
  </si>
  <si>
    <t>10.55M</t>
  </si>
  <si>
    <t>10.87M</t>
  </si>
  <si>
    <t>7.11M</t>
  </si>
  <si>
    <t>26.82M</t>
  </si>
  <si>
    <t>12.93M</t>
  </si>
  <si>
    <t>2.90M</t>
  </si>
  <si>
    <t>15.51M</t>
  </si>
  <si>
    <t>10.22M</t>
  </si>
  <si>
    <t>10.58M</t>
  </si>
  <si>
    <t>16.07M</t>
  </si>
  <si>
    <t>27.59M</t>
  </si>
  <si>
    <t>16.53M</t>
  </si>
  <si>
    <t>14.67M</t>
  </si>
  <si>
    <t>11.74M</t>
  </si>
  <si>
    <t>14.19M</t>
  </si>
  <si>
    <t>10.31M</t>
  </si>
  <si>
    <t>10.01M</t>
  </si>
  <si>
    <t>10.94M</t>
  </si>
  <si>
    <t>8.43M</t>
  </si>
  <si>
    <t>9.87M</t>
  </si>
  <si>
    <t>12.39M</t>
  </si>
  <si>
    <t>12.17M</t>
  </si>
  <si>
    <t>19.72M</t>
  </si>
  <si>
    <t>15.57M</t>
  </si>
  <si>
    <t>7.76M</t>
  </si>
  <si>
    <t>10.60M</t>
  </si>
  <si>
    <t>14.10M</t>
  </si>
  <si>
    <t>10.02M</t>
  </si>
  <si>
    <t>10.27M</t>
  </si>
  <si>
    <t>19.09M</t>
  </si>
  <si>
    <t>17.12M</t>
  </si>
  <si>
    <t>17.96M</t>
  </si>
  <si>
    <t>12.55M</t>
  </si>
  <si>
    <t>9.34M</t>
  </si>
  <si>
    <t>15.84M</t>
  </si>
  <si>
    <t>15.29M</t>
  </si>
  <si>
    <t>24.77M</t>
  </si>
  <si>
    <t>15.55M</t>
  </si>
  <si>
    <t>11.86M</t>
  </si>
  <si>
    <t>11.14M</t>
  </si>
  <si>
    <t>11.38M</t>
  </si>
  <si>
    <t>8.68M</t>
  </si>
  <si>
    <t>9.96M</t>
  </si>
  <si>
    <t>11.66M</t>
  </si>
  <si>
    <t>12.42M</t>
  </si>
  <si>
    <t>9.51M</t>
  </si>
  <si>
    <t>16.10M</t>
  </si>
  <si>
    <t>12.46M</t>
  </si>
  <si>
    <t>59.39M</t>
  </si>
  <si>
    <t>19.16M</t>
  </si>
  <si>
    <t>14.09M</t>
  </si>
  <si>
    <t>17.81M</t>
  </si>
  <si>
    <t>16.79M</t>
  </si>
  <si>
    <t>10.98M</t>
  </si>
  <si>
    <t>11.94M</t>
  </si>
  <si>
    <t>8.49M</t>
  </si>
  <si>
    <t>9.97M</t>
  </si>
  <si>
    <t>7.81M</t>
  </si>
  <si>
    <t>9.99M</t>
  </si>
  <si>
    <t>14.58M</t>
  </si>
  <si>
    <t>20.48M</t>
  </si>
  <si>
    <t>11.88M</t>
  </si>
  <si>
    <t>12.37M</t>
  </si>
  <si>
    <t>10.12M</t>
  </si>
  <si>
    <t>9.53M</t>
  </si>
  <si>
    <t>18.73M</t>
  </si>
  <si>
    <t>14.00M</t>
  </si>
  <si>
    <t>9.17M</t>
  </si>
  <si>
    <t>11.24M</t>
  </si>
  <si>
    <t>9.71M</t>
  </si>
  <si>
    <t>14.82M</t>
  </si>
  <si>
    <t>11.67M</t>
  </si>
  <si>
    <t>34.24M</t>
  </si>
  <si>
    <t>16.01M</t>
  </si>
  <si>
    <t>49.46M</t>
  </si>
  <si>
    <t>17.48M</t>
  </si>
  <si>
    <t>21.06M</t>
  </si>
  <si>
    <t>12.32M</t>
  </si>
  <si>
    <t>10.29M</t>
  </si>
  <si>
    <t>10.24M</t>
  </si>
  <si>
    <t>19.49M</t>
  </si>
  <si>
    <t>13.14M</t>
  </si>
  <si>
    <t>8.87M</t>
  </si>
  <si>
    <t>12.72M</t>
  </si>
  <si>
    <t>30.39M</t>
  </si>
  <si>
    <t>29.32M</t>
  </si>
  <si>
    <t>40.18M</t>
  </si>
  <si>
    <t>20.13M</t>
  </si>
  <si>
    <t>16.13M</t>
  </si>
  <si>
    <t>31.51M</t>
  </si>
  <si>
    <t>28.63M</t>
  </si>
  <si>
    <t>20.63M</t>
  </si>
  <si>
    <t>10.46M</t>
  </si>
  <si>
    <t>9.00M</t>
  </si>
  <si>
    <t>10.05M</t>
  </si>
  <si>
    <t>13.02M</t>
  </si>
  <si>
    <t>12.22M</t>
  </si>
  <si>
    <t>7.57M</t>
  </si>
  <si>
    <t>8.84M</t>
  </si>
  <si>
    <t>9.16M</t>
  </si>
  <si>
    <t>11.29M</t>
  </si>
  <si>
    <t>10.20M</t>
  </si>
  <si>
    <t>9.90M</t>
  </si>
  <si>
    <t>19.15M</t>
  </si>
  <si>
    <t>12.59M</t>
  </si>
  <si>
    <t>10.52M</t>
  </si>
  <si>
    <t>31.25M</t>
  </si>
  <si>
    <t>10.90M</t>
  </si>
  <si>
    <t>11.39M</t>
  </si>
  <si>
    <t>15.36M</t>
  </si>
  <si>
    <t>10.10M</t>
  </si>
  <si>
    <t>7.20M</t>
  </si>
  <si>
    <t>6.87M</t>
  </si>
  <si>
    <t>9.67M</t>
  </si>
  <si>
    <t>4.94M</t>
  </si>
  <si>
    <t>5.43M</t>
  </si>
  <si>
    <t>7.62M</t>
  </si>
  <si>
    <t>5.48M</t>
  </si>
  <si>
    <t>7.73M</t>
  </si>
  <si>
    <t>8.28M</t>
  </si>
  <si>
    <t>7.75M</t>
  </si>
  <si>
    <t>7.04M</t>
  </si>
  <si>
    <t>6.24M</t>
  </si>
  <si>
    <t>5.56M</t>
  </si>
  <si>
    <t>14.46M</t>
  </si>
  <si>
    <t>15.20M</t>
  </si>
  <si>
    <t>7.27M</t>
  </si>
  <si>
    <t>18.72M</t>
  </si>
  <si>
    <t>6.71M</t>
  </si>
  <si>
    <t>13.61M</t>
  </si>
  <si>
    <t>10.14M</t>
  </si>
  <si>
    <t>17.28M</t>
  </si>
  <si>
    <t>7.56M</t>
  </si>
  <si>
    <t>6.25M</t>
  </si>
  <si>
    <t>14.23M</t>
  </si>
  <si>
    <t>Shareholder's name</t>
  </si>
  <si>
    <t>Tata Sons Private Limited</t>
  </si>
  <si>
    <t>Life Insurance Corporation Of India</t>
  </si>
  <si>
    <t>SBI Nifty 50 Etf</t>
  </si>
  <si>
    <t>Tata Industries Limited</t>
  </si>
  <si>
    <t>ICICI Prudential Value Discovery Fund</t>
  </si>
  <si>
    <t>Rekha Jhunjhunwala</t>
  </si>
  <si>
    <t>Tata Investment Corporation Limited</t>
  </si>
  <si>
    <t>Investor Education and Protection Fund (IEPF)</t>
  </si>
  <si>
    <t>Ewart Investments Limited</t>
  </si>
  <si>
    <t>HDFC Trustee Co. &amp; HDFC Large Cap Fund</t>
  </si>
  <si>
    <t>Shareholding Pattern</t>
  </si>
  <si>
    <t>Promoters</t>
  </si>
  <si>
    <t>Mutual Funds</t>
  </si>
  <si>
    <t>Fin Ins/Banks/Insurance</t>
  </si>
  <si>
    <t>FII</t>
  </si>
  <si>
    <t>Govt &amp; Others</t>
  </si>
  <si>
    <t>Non Institutional</t>
  </si>
  <si>
    <t>No.of Shares o/s</t>
  </si>
  <si>
    <t>Less: Cash &amp; Equivalents</t>
  </si>
  <si>
    <t>Add: Total Debt</t>
  </si>
  <si>
    <t>Add: Minority Interest</t>
  </si>
  <si>
    <t>Share Price as on 20th Aug</t>
  </si>
  <si>
    <t>S No.</t>
  </si>
  <si>
    <t>Designation</t>
  </si>
  <si>
    <t>Ratio of remuneration to median remuneration</t>
  </si>
  <si>
    <t>Mr N Chandrasekaran</t>
  </si>
  <si>
    <t>Mr Girish Wagh</t>
  </si>
  <si>
    <t xml:space="preserve"> Executive Director</t>
  </si>
  <si>
    <t>Mr Om Prakash Bhat</t>
  </si>
  <si>
    <t>Ms Hanne Sorensen</t>
  </si>
  <si>
    <t>Ms Vedika Bhandarkar</t>
  </si>
  <si>
    <t>Mr K V Chowdary</t>
  </si>
  <si>
    <t>Mr Al-Noor Ramji</t>
  </si>
  <si>
    <t>Mrs Usha Sangwan</t>
  </si>
  <si>
    <t>Independent Director</t>
  </si>
  <si>
    <t>Managerial Remuneration</t>
  </si>
  <si>
    <t>Chairman- NE Director</t>
  </si>
  <si>
    <t>%  Increase in Remuneration</t>
  </si>
  <si>
    <t>Recent Updates</t>
  </si>
  <si>
    <t xml:space="preserve">Re-entered South Africa’s PV market after a six-year hiatus with models like Harrier and; targeting 6–8% market share and 60 dealerships by 2026. </t>
  </si>
  <si>
    <t xml:space="preserve">Q1 FY2026 consolidated net profit plunged ~63% YoY to ₹3,924 crore, impacted by U.S. tariffs on JLR and weak demand, though still above expectations. </t>
  </si>
  <si>
    <t xml:space="preserve">Standalone results: Revenue ₹15,546 crore (June 2025), Profit before tax ₹6,375 crore, with Net Worth standing at ₹36,586 crore. </t>
  </si>
  <si>
    <t xml:space="preserve">Debt-to-Equity ratio improved, standing at 0.62x as of June 2025—the lowest in recent years—signaling enhanced financial stability. </t>
  </si>
  <si>
    <t>Tata Motors shares gained ~3.5%, making them among top Nifty 50 movers post Q1 results publication.</t>
  </si>
  <si>
    <t>Announced $4.5 billion all-cash acquisition of Iveco’s truck and bus business, aiming to gain advanced EV technologies and bolster global commercial vehicle reach.</t>
  </si>
  <si>
    <t>Note : The orange dotted line represents the current market price of share i.e. ₹691.40</t>
  </si>
  <si>
    <t>Note : Data used for WACC calculation.</t>
  </si>
  <si>
    <t>Note : Data used for calculation of Intrinsic Growth</t>
  </si>
  <si>
    <t>Source: Screener.in</t>
  </si>
  <si>
    <t>Note : Data used for Company Valuation.</t>
  </si>
  <si>
    <t>Note : Data used for TATA Motors One Page Profile Summary.</t>
  </si>
  <si>
    <r>
      <t xml:space="preserve">Tax Rate </t>
    </r>
    <r>
      <rPr>
        <b/>
        <vertAlign val="superscript"/>
        <sz val="11"/>
        <color theme="0"/>
        <rFont val="Calibri"/>
        <family val="2"/>
      </rPr>
      <t>1</t>
    </r>
  </si>
  <si>
    <r>
      <t xml:space="preserve">Beta </t>
    </r>
    <r>
      <rPr>
        <b/>
        <vertAlign val="superscript"/>
        <sz val="11"/>
        <color theme="0"/>
        <rFont val="Calibri"/>
        <family val="2"/>
      </rPr>
      <t>2</t>
    </r>
  </si>
  <si>
    <r>
      <t xml:space="preserve">Beta </t>
    </r>
    <r>
      <rPr>
        <b/>
        <vertAlign val="superscript"/>
        <sz val="11"/>
        <color theme="0"/>
        <rFont val="Calibri"/>
        <family val="2"/>
      </rPr>
      <t>3</t>
    </r>
  </si>
  <si>
    <t xml:space="preserve">  </t>
  </si>
  <si>
    <t>Financial Statement Data</t>
  </si>
  <si>
    <t>Screener</t>
  </si>
  <si>
    <t>Share Historical Data</t>
  </si>
  <si>
    <t>Mentor</t>
  </si>
  <si>
    <t>The Valuation School</t>
  </si>
  <si>
    <t>Investing.com</t>
  </si>
  <si>
    <t>Yahoo Finance</t>
  </si>
  <si>
    <t>Playlist</t>
  </si>
  <si>
    <t>Financial Modeling</t>
  </si>
  <si>
    <t>Prepared by</t>
  </si>
  <si>
    <t>Niharika Shahi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</si>
</sst>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409]mmm\-yy;@"/>
    <numFmt numFmtId="166" formatCode="&quot;₹&quot;\ #,##0.00;\(&quot;₹&quot;\ #,##0.00\)"/>
    <numFmt numFmtId="167" formatCode="0.00&quot;x&quot;"/>
    <numFmt numFmtId="168" formatCode="yyyy&quot;A&quot;"/>
    <numFmt numFmtId="169" formatCode="0&quot;A&quot;"/>
    <numFmt numFmtId="170" formatCode="0&quot;E&quot;"/>
    <numFmt numFmtId="171" formatCode="yyyy&quot;E&quot;"/>
    <numFmt numFmtId="172" formatCode="\ #,##0.00;\(\ #,##0.00\)"/>
    <numFmt numFmtId="173" formatCode="mmm/yy&quot;A&quot;"/>
    <numFmt numFmtId="174" formatCode="mmm/yy&quot;F&quot;"/>
    <numFmt numFmtId="175" formatCode="0.000"/>
    <numFmt numFmtId="176" formatCode="0.00\x"/>
    <numFmt numFmtId="177" formatCode="#,##0.0"/>
    <numFmt numFmtId="178" formatCode="0.0\x"/>
    <numFmt numFmtId="179" formatCode="0.0"/>
    <numFmt numFmtId="180" formatCode="0.0%"/>
  </numFmts>
  <fonts count="88">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b/>
      <sz val="11"/>
      <color rgb="FFFF0000"/>
      <name val="Calibri"/>
      <family val="2"/>
      <scheme val="minor"/>
    </font>
    <font>
      <sz val="11"/>
      <name val="Calibri"/>
      <family val="2"/>
      <scheme val="minor"/>
    </font>
    <font>
      <i/>
      <sz val="11"/>
      <color theme="3" tint="0.59999389629810485"/>
      <name val="Calibri"/>
      <family val="2"/>
      <scheme val="minor"/>
    </font>
    <font>
      <i/>
      <sz val="11"/>
      <color theme="3" tint="0.39997558519241921"/>
      <name val="Calibri"/>
      <family val="2"/>
      <scheme val="minor"/>
    </font>
    <font>
      <sz val="11"/>
      <color theme="1"/>
      <name val="Arial Narrow"/>
      <family val="2"/>
    </font>
    <font>
      <i/>
      <sz val="11"/>
      <color theme="1"/>
      <name val="Calibri"/>
      <family val="2"/>
      <scheme val="minor"/>
    </font>
    <font>
      <b/>
      <sz val="11"/>
      <color theme="0"/>
      <name val="Calibri"/>
      <family val="2"/>
    </font>
    <font>
      <b/>
      <sz val="11"/>
      <color theme="1"/>
      <name val="Calibri"/>
      <family val="2"/>
    </font>
    <font>
      <sz val="11"/>
      <color rgb="FF22222F"/>
      <name val="Calibri"/>
      <family val="2"/>
      <scheme val="minor"/>
    </font>
    <font>
      <sz val="11"/>
      <color rgb="FF22222F"/>
      <name val="Calibri"/>
      <family val="2"/>
      <scheme val="minor"/>
    </font>
    <font>
      <b/>
      <sz val="11"/>
      <color rgb="FF22222F"/>
      <name val="Calibri"/>
      <family val="2"/>
      <scheme val="minor"/>
    </font>
    <font>
      <sz val="11"/>
      <color rgb="FF2413C7"/>
      <name val="Calibri"/>
      <family val="2"/>
      <scheme val="minor"/>
    </font>
    <font>
      <sz val="11"/>
      <color rgb="FF3333FF"/>
      <name val="calibri"/>
      <family val="2"/>
    </font>
    <font>
      <sz val="11"/>
      <color theme="1"/>
      <name val="Calibri"/>
      <family val="2"/>
      <scheme val="minor"/>
    </font>
    <font>
      <sz val="11"/>
      <color theme="1"/>
      <name val="Calibri"/>
      <family val="2"/>
    </font>
    <font>
      <i/>
      <sz val="9"/>
      <color theme="1"/>
      <name val="Calibri"/>
      <family val="2"/>
    </font>
    <font>
      <b/>
      <sz val="11"/>
      <color theme="1"/>
      <name val="Calibri"/>
      <family val="2"/>
    </font>
    <font>
      <sz val="11"/>
      <color rgb="FF3333FF"/>
      <name val="Calibri"/>
      <family val="2"/>
    </font>
    <font>
      <vertAlign val="superscript"/>
      <sz val="11"/>
      <color theme="1"/>
      <name val="Calibri"/>
      <family val="2"/>
    </font>
    <font>
      <i/>
      <sz val="10"/>
      <color theme="1"/>
      <name val="Calibri"/>
      <family val="2"/>
    </font>
    <font>
      <u/>
      <sz val="11"/>
      <color theme="10"/>
      <name val="Calibri"/>
      <family val="2"/>
      <scheme val="minor"/>
    </font>
    <font>
      <b/>
      <sz val="11"/>
      <color theme="2"/>
      <name val="Calibri"/>
      <family val="2"/>
      <scheme val="minor"/>
    </font>
    <font>
      <vertAlign val="superscript"/>
      <sz val="11"/>
      <color theme="1"/>
      <name val="Calibri"/>
      <family val="2"/>
      <scheme val="minor"/>
    </font>
    <font>
      <sz val="11"/>
      <color theme="0"/>
      <name val="Calibri"/>
      <family val="2"/>
    </font>
    <font>
      <i/>
      <sz val="11"/>
      <color theme="1"/>
      <name val="calibri"/>
      <family val="2"/>
    </font>
    <font>
      <b/>
      <sz val="12"/>
      <color rgb="FF002060"/>
      <name val="calibri"/>
      <family val="2"/>
    </font>
    <font>
      <sz val="11"/>
      <name val="calibri"/>
      <family val="2"/>
    </font>
    <font>
      <sz val="8"/>
      <name val="Calibri"/>
      <family val="2"/>
      <scheme val="minor"/>
    </font>
    <font>
      <i/>
      <sz val="9"/>
      <color theme="7" tint="-0.249977111117893"/>
      <name val="calibri"/>
      <family val="2"/>
    </font>
    <font>
      <sz val="11"/>
      <color rgb="FF2413C7"/>
      <name val="Calibri"/>
      <family val="2"/>
    </font>
    <font>
      <sz val="10"/>
      <color rgb="FF2413C7"/>
      <name val="Arial"/>
      <family val="2"/>
    </font>
    <font>
      <b/>
      <sz val="12"/>
      <color theme="0"/>
      <name val="calibri"/>
      <family val="2"/>
    </font>
    <font>
      <b/>
      <sz val="22"/>
      <color rgb="FF1467B3"/>
      <name val="calibri"/>
      <family val="2"/>
    </font>
    <font>
      <sz val="9"/>
      <color theme="1"/>
      <name val="calibri"/>
      <family val="2"/>
    </font>
    <font>
      <sz val="10"/>
      <color theme="1"/>
      <name val="calibri"/>
      <family val="2"/>
    </font>
    <font>
      <b/>
      <sz val="14"/>
      <color rgb="FF028655"/>
      <name val="calibri"/>
      <family val="2"/>
    </font>
    <font>
      <b/>
      <sz val="18"/>
      <color rgb="FF1467B3"/>
      <name val="calibri"/>
      <family val="2"/>
    </font>
    <font>
      <sz val="8"/>
      <color theme="1"/>
      <name val="calibri"/>
      <family val="2"/>
    </font>
    <font>
      <sz val="5"/>
      <color theme="1"/>
      <name val="calibri"/>
      <family val="2"/>
    </font>
    <font>
      <b/>
      <sz val="10"/>
      <color theme="0"/>
      <name val="calibri"/>
      <family val="2"/>
    </font>
    <font>
      <i/>
      <sz val="6"/>
      <color theme="1"/>
      <name val="calibri"/>
      <family val="2"/>
    </font>
    <font>
      <b/>
      <sz val="7"/>
      <color rgb="FF000000"/>
      <name val="Inherit"/>
    </font>
    <font>
      <sz val="7"/>
      <color rgb="FF000000"/>
      <name val="Arial"/>
      <family val="2"/>
    </font>
    <font>
      <sz val="11"/>
      <color rgb="FF212529"/>
      <name val="Segoe UI"/>
      <family val="2"/>
    </font>
    <font>
      <sz val="8"/>
      <color theme="1"/>
      <name val="Calibri"/>
      <family val="2"/>
      <scheme val="minor"/>
    </font>
    <font>
      <b/>
      <sz val="8"/>
      <color theme="1"/>
      <name val="Calibri"/>
      <family val="2"/>
      <scheme val="minor"/>
    </font>
    <font>
      <sz val="7"/>
      <color theme="1"/>
      <name val="calibri"/>
      <family val="2"/>
    </font>
    <font>
      <sz val="9"/>
      <color theme="1"/>
      <name val="Calibri"/>
      <family val="2"/>
      <scheme val="minor"/>
    </font>
    <font>
      <b/>
      <sz val="9"/>
      <color theme="0"/>
      <name val="Calibri"/>
      <family val="2"/>
      <scheme val="minor"/>
    </font>
    <font>
      <b/>
      <sz val="8"/>
      <color theme="0"/>
      <name val="Calibri"/>
      <family val="2"/>
      <scheme val="minor"/>
    </font>
    <font>
      <sz val="12"/>
      <color theme="1"/>
      <name val="Arial"/>
      <family val="2"/>
    </font>
    <font>
      <sz val="12"/>
      <color rgb="FF000000"/>
      <name val="Calibri"/>
      <family val="2"/>
      <scheme val="minor"/>
    </font>
    <font>
      <b/>
      <sz val="14"/>
      <color theme="0"/>
      <name val="Calibri"/>
      <family val="2"/>
    </font>
    <font>
      <sz val="14"/>
      <color theme="0"/>
      <name val="Calibri"/>
      <family val="2"/>
    </font>
    <font>
      <u/>
      <sz val="11"/>
      <color theme="1"/>
      <name val="Calibri"/>
      <family val="2"/>
      <scheme val="minor"/>
    </font>
    <font>
      <b/>
      <sz val="22"/>
      <color rgb="FF002060"/>
      <name val="calibri"/>
      <family val="2"/>
    </font>
    <font>
      <b/>
      <sz val="14"/>
      <color rgb="FF002060"/>
      <name val="calibri"/>
      <family val="2"/>
    </font>
    <font>
      <i/>
      <sz val="10"/>
      <color theme="1"/>
      <name val="Calibri"/>
      <family val="2"/>
      <scheme val="minor"/>
    </font>
    <font>
      <i/>
      <sz val="9"/>
      <color theme="1"/>
      <name val="Calibri"/>
      <family val="2"/>
      <scheme val="minor"/>
    </font>
    <font>
      <b/>
      <vertAlign val="superscript"/>
      <sz val="11"/>
      <color theme="0"/>
      <name val="Calibri"/>
      <family val="2"/>
    </font>
    <font>
      <b/>
      <sz val="18"/>
      <color rgb="FF002060"/>
      <name val="calibri"/>
      <family val="2"/>
    </font>
    <font>
      <b/>
      <i/>
      <sz val="11"/>
      <color rgb="FF002060"/>
      <name val="calibri"/>
      <family val="2"/>
    </font>
    <font>
      <b/>
      <i/>
      <sz val="11"/>
      <color theme="1"/>
      <name val="Calibri"/>
      <family val="2"/>
      <scheme val="minor"/>
    </font>
    <font>
      <sz val="11"/>
      <color rgb="FF002060"/>
      <name val="Calibri"/>
      <family val="2"/>
      <scheme val="minor"/>
    </font>
    <font>
      <sz val="11"/>
      <color rgb="FF002060"/>
      <name val="Calibri"/>
      <family val="2"/>
    </font>
  </fonts>
  <fills count="19">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0"/>
        <bgColor rgb="FFF2F2F2"/>
      </patternFill>
    </fill>
    <fill>
      <patternFill patternType="solid">
        <fgColor rgb="FFF2F2F2"/>
        <bgColor rgb="FFF2F2F2"/>
      </patternFill>
    </fill>
    <fill>
      <patternFill patternType="solid">
        <fgColor theme="8" tint="0.59999389629810485"/>
        <bgColor indexed="64"/>
      </patternFill>
    </fill>
    <fill>
      <patternFill patternType="solid">
        <fgColor theme="4" tint="0.79998168889431442"/>
        <bgColor indexed="64"/>
      </patternFill>
    </fill>
    <fill>
      <patternFill patternType="solid">
        <fgColor rgb="FFEEEEEE"/>
        <bgColor indexed="64"/>
      </patternFill>
    </fill>
    <fill>
      <patternFill patternType="solid">
        <fgColor rgb="FFFFFFFF"/>
        <bgColor indexed="64"/>
      </patternFill>
    </fill>
    <fill>
      <patternFill patternType="solid">
        <fgColor rgb="FF002060"/>
        <bgColor rgb="FFDEEAF6"/>
      </patternFill>
    </fill>
    <fill>
      <patternFill patternType="solid">
        <fgColor theme="7" tint="0.59999389629810485"/>
        <bgColor indexed="64"/>
      </patternFill>
    </fill>
  </fills>
  <borders count="34">
    <border>
      <left/>
      <right/>
      <top/>
      <bottom/>
      <diagonal/>
    </border>
    <border>
      <left/>
      <right/>
      <top style="thin">
        <color auto="1"/>
      </top>
      <bottom style="thin">
        <color auto="1"/>
      </bottom>
      <diagonal/>
    </border>
    <border>
      <left/>
      <right/>
      <top style="hair">
        <color indexed="64"/>
      </top>
      <bottom/>
      <diagonal/>
    </border>
    <border>
      <left/>
      <right/>
      <top/>
      <bottom style="hair">
        <color indexed="64"/>
      </bottom>
      <diagonal/>
    </border>
    <border>
      <left/>
      <right/>
      <top/>
      <bottom style="medium">
        <color indexed="64"/>
      </bottom>
      <diagonal/>
    </border>
    <border>
      <left/>
      <right/>
      <top style="medium">
        <color indexed="64"/>
      </top>
      <bottom style="thin">
        <color auto="1"/>
      </bottom>
      <diagonal/>
    </border>
    <border>
      <left/>
      <right/>
      <top/>
      <bottom style="thin">
        <color rgb="FF002060"/>
      </bottom>
      <diagonal/>
    </border>
    <border>
      <left/>
      <right/>
      <top style="thin">
        <color indexed="64"/>
      </top>
      <bottom/>
      <diagonal/>
    </border>
    <border>
      <left/>
      <right/>
      <top style="dashed">
        <color theme="0" tint="-0.24994659260841701"/>
      </top>
      <bottom style="dashed">
        <color theme="0" tint="-0.24994659260841701"/>
      </bottom>
      <diagonal/>
    </border>
    <border>
      <left/>
      <right/>
      <top style="dashed">
        <color theme="0" tint="-0.24994659260841701"/>
      </top>
      <bottom/>
      <diagonal/>
    </border>
    <border>
      <left/>
      <right/>
      <top style="dashed">
        <color theme="0" tint="-0.34998626667073579"/>
      </top>
      <bottom style="dashed">
        <color theme="0" tint="-0.34998626667073579"/>
      </bottom>
      <diagonal/>
    </border>
    <border>
      <left/>
      <right/>
      <top style="dashed">
        <color theme="0" tint="-0.34998626667073579"/>
      </top>
      <bottom/>
      <diagonal/>
    </border>
    <border>
      <left/>
      <right/>
      <top/>
      <bottom style="dashed">
        <color theme="0" tint="-0.34998626667073579"/>
      </bottom>
      <diagonal/>
    </border>
    <border>
      <left/>
      <right/>
      <top style="dashed">
        <color theme="0" tint="-0.24994659260841701"/>
      </top>
      <bottom style="thin">
        <color indexed="64"/>
      </bottom>
      <diagonal/>
    </border>
    <border>
      <left/>
      <right/>
      <top style="thin">
        <color indexed="64"/>
      </top>
      <bottom style="medium">
        <color indexed="64"/>
      </bottom>
      <diagonal/>
    </border>
    <border>
      <left/>
      <right/>
      <top style="hair">
        <color rgb="FF002060"/>
      </top>
      <bottom style="hair">
        <color rgb="FF002060"/>
      </bottom>
      <diagonal/>
    </border>
    <border>
      <left/>
      <right/>
      <top style="thin">
        <color rgb="FF002060"/>
      </top>
      <bottom style="medium">
        <color rgb="FF002060"/>
      </bottom>
      <diagonal/>
    </border>
    <border>
      <left/>
      <right/>
      <top/>
      <bottom style="thin">
        <color rgb="FF000000"/>
      </bottom>
      <diagonal/>
    </border>
    <border>
      <left/>
      <right/>
      <top style="hair">
        <color rgb="FF000000"/>
      </top>
      <bottom/>
      <diagonal/>
    </border>
    <border>
      <left/>
      <right/>
      <top style="thin">
        <color rgb="FF002060"/>
      </top>
      <bottom/>
      <diagonal/>
    </border>
    <border>
      <left/>
      <right/>
      <top/>
      <bottom style="thin">
        <color indexed="64"/>
      </bottom>
      <diagonal/>
    </border>
    <border>
      <left/>
      <right/>
      <top/>
      <bottom style="thin">
        <color theme="0"/>
      </bottom>
      <diagonal/>
    </border>
    <border>
      <left/>
      <right/>
      <top style="thin">
        <color rgb="FF002060"/>
      </top>
      <bottom style="thin">
        <color rgb="FF002060"/>
      </bottom>
      <diagonal/>
    </border>
    <border>
      <left/>
      <right/>
      <top/>
      <bottom style="hair">
        <color rgb="FF002060"/>
      </bottom>
      <diagonal/>
    </border>
    <border>
      <left/>
      <right/>
      <top/>
      <bottom style="hair">
        <color theme="0" tint="-0.34998626667073579"/>
      </bottom>
      <diagonal/>
    </border>
    <border>
      <left style="medium">
        <color rgb="FFDDDDDD"/>
      </left>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top/>
      <bottom style="medium">
        <color rgb="FFDDDDDD"/>
      </bottom>
      <diagonal/>
    </border>
    <border>
      <left style="medium">
        <color rgb="FFDDDDDD"/>
      </left>
      <right style="medium">
        <color rgb="FFDDDDDD"/>
      </right>
      <top/>
      <bottom style="medium">
        <color rgb="FFDDDDDD"/>
      </bottom>
      <diagonal/>
    </border>
    <border>
      <left/>
      <right/>
      <top style="dashed">
        <color theme="0" tint="-0.14996795556505021"/>
      </top>
      <bottom style="dashed">
        <color theme="0" tint="-0.14996795556505021"/>
      </bottom>
      <diagonal/>
    </border>
    <border>
      <left/>
      <right/>
      <top/>
      <bottom style="medium">
        <color rgb="FF002060"/>
      </bottom>
      <diagonal/>
    </border>
    <border>
      <left/>
      <right/>
      <top/>
      <bottom style="dashed">
        <color rgb="FF002060"/>
      </bottom>
      <diagonal/>
    </border>
    <border>
      <left/>
      <right/>
      <top style="dashed">
        <color rgb="FF002060"/>
      </top>
      <bottom style="dashed">
        <color rgb="FF002060"/>
      </bottom>
      <diagonal/>
    </border>
    <border>
      <left/>
      <right/>
      <top style="dashed">
        <color rgb="FF002060"/>
      </top>
      <bottom/>
      <diagonal/>
    </border>
  </borders>
  <cellStyleXfs count="26">
    <xf numFmtId="0" fontId="0" fillId="0" borderId="0"/>
    <xf numFmtId="43" fontId="18" fillId="0" borderId="0" applyFont="0" applyFill="0" applyBorder="0" applyAlignment="0" applyProtection="0"/>
    <xf numFmtId="0" fontId="19" fillId="0" borderId="0" applyNumberFormat="0" applyFill="0" applyBorder="0" applyAlignment="0" applyProtection="0">
      <alignment vertical="top"/>
      <protection locked="0"/>
    </xf>
    <xf numFmtId="0" fontId="20" fillId="2" borderId="0" applyNumberFormat="0" applyBorder="0" applyAlignment="0" applyProtection="0"/>
    <xf numFmtId="0" fontId="20" fillId="3" borderId="0" applyNumberFormat="0" applyBorder="0" applyAlignment="0" applyProtection="0"/>
    <xf numFmtId="0" fontId="20" fillId="4" borderId="0" applyNumberFormat="0" applyBorder="0" applyAlignment="0" applyProtection="0"/>
    <xf numFmtId="9" fontId="18" fillId="0" borderId="0" applyFont="0" applyFill="0" applyBorder="0" applyAlignment="0" applyProtection="0"/>
    <xf numFmtId="0" fontId="15" fillId="0" borderId="0"/>
    <xf numFmtId="9" fontId="15" fillId="0" borderId="0" applyFont="0" applyFill="0" applyBorder="0" applyAlignment="0" applyProtection="0"/>
    <xf numFmtId="43" fontId="18" fillId="0" borderId="0" applyFont="0" applyFill="0" applyBorder="0" applyAlignment="0" applyProtection="0"/>
    <xf numFmtId="0" fontId="19" fillId="0" borderId="0" applyNumberFormat="0" applyFill="0" applyBorder="0" applyAlignment="0" applyProtection="0">
      <alignment vertical="top"/>
      <protection locked="0"/>
    </xf>
    <xf numFmtId="0" fontId="20" fillId="4" borderId="0" applyNumberFormat="0" applyBorder="0" applyAlignment="0" applyProtection="0"/>
    <xf numFmtId="0" fontId="18" fillId="0" borderId="0"/>
    <xf numFmtId="9" fontId="18" fillId="0" borderId="0" applyFont="0" applyFill="0" applyBorder="0" applyAlignment="0" applyProtection="0"/>
    <xf numFmtId="0" fontId="27" fillId="0" borderId="0"/>
    <xf numFmtId="0" fontId="36" fillId="0" borderId="0"/>
    <xf numFmtId="0" fontId="43" fillId="0" borderId="0" applyNumberFormat="0" applyFill="0" applyBorder="0" applyAlignment="0" applyProtection="0"/>
    <xf numFmtId="0" fontId="12" fillId="0" borderId="0"/>
    <xf numFmtId="9" fontId="12" fillId="0" borderId="0" applyFont="0" applyFill="0" applyBorder="0" applyAlignment="0" applyProtection="0"/>
    <xf numFmtId="0" fontId="11" fillId="0" borderId="0"/>
    <xf numFmtId="9" fontId="11" fillId="0" borderId="0" applyFont="0" applyFill="0" applyBorder="0" applyAlignment="0" applyProtection="0"/>
    <xf numFmtId="0" fontId="10" fillId="0" borderId="0"/>
    <xf numFmtId="9" fontId="10" fillId="0" borderId="0" applyFont="0" applyFill="0" applyBorder="0" applyAlignment="0" applyProtection="0"/>
    <xf numFmtId="0" fontId="8" fillId="0" borderId="0"/>
    <xf numFmtId="9" fontId="8" fillId="0" borderId="0" applyFont="0" applyFill="0" applyBorder="0" applyAlignment="0" applyProtection="0"/>
    <xf numFmtId="0" fontId="6" fillId="0" borderId="0"/>
  </cellStyleXfs>
  <cellXfs count="447">
    <xf numFmtId="0" fontId="0" fillId="0" borderId="0" xfId="0"/>
    <xf numFmtId="43" fontId="16" fillId="0" borderId="0" xfId="1" applyFont="1" applyBorder="1"/>
    <xf numFmtId="0" fontId="16" fillId="0" borderId="0" xfId="0" applyFont="1"/>
    <xf numFmtId="0" fontId="23" fillId="0" borderId="0" xfId="0" applyFont="1"/>
    <xf numFmtId="43" fontId="0" fillId="0" borderId="0" xfId="1" applyFont="1" applyBorder="1"/>
    <xf numFmtId="10" fontId="0" fillId="0" borderId="0" xfId="0" applyNumberFormat="1"/>
    <xf numFmtId="43" fontId="18" fillId="0" borderId="0" xfId="1" applyFont="1" applyBorder="1"/>
    <xf numFmtId="9" fontId="18" fillId="0" borderId="0" xfId="1" applyNumberFormat="1" applyFont="1" applyBorder="1"/>
    <xf numFmtId="43" fontId="17" fillId="2" borderId="0" xfId="3" applyNumberFormat="1" applyFont="1" applyBorder="1"/>
    <xf numFmtId="43" fontId="17" fillId="3" borderId="0" xfId="4" applyNumberFormat="1" applyFont="1" applyBorder="1"/>
    <xf numFmtId="9" fontId="16" fillId="0" borderId="0" xfId="6" applyFont="1" applyBorder="1"/>
    <xf numFmtId="0" fontId="17" fillId="5" borderId="0" xfId="0" applyFont="1" applyFill="1"/>
    <xf numFmtId="165" fontId="17" fillId="5" borderId="0" xfId="0" applyNumberFormat="1" applyFont="1" applyFill="1" applyAlignment="1">
      <alignment horizontal="center"/>
    </xf>
    <xf numFmtId="0" fontId="17" fillId="5" borderId="0" xfId="0" applyFont="1" applyFill="1" applyAlignment="1">
      <alignment horizontal="center"/>
    </xf>
    <xf numFmtId="43" fontId="0" fillId="0" borderId="0" xfId="1" applyFont="1" applyBorder="1" applyAlignment="1">
      <alignment horizontal="center"/>
    </xf>
    <xf numFmtId="43" fontId="16" fillId="0" borderId="0" xfId="1" applyFont="1" applyBorder="1" applyAlignment="1">
      <alignment horizontal="center"/>
    </xf>
    <xf numFmtId="10" fontId="16" fillId="0" borderId="0" xfId="0" applyNumberFormat="1" applyFont="1"/>
    <xf numFmtId="165" fontId="17" fillId="5" borderId="0" xfId="1" applyNumberFormat="1" applyFont="1" applyFill="1" applyBorder="1"/>
    <xf numFmtId="165" fontId="24" fillId="0" borderId="0" xfId="1" applyNumberFormat="1" applyFont="1" applyFill="1" applyBorder="1"/>
    <xf numFmtId="0" fontId="22" fillId="0" borderId="0" xfId="0" applyFont="1"/>
    <xf numFmtId="0" fontId="0" fillId="0" borderId="0" xfId="0" applyAlignment="1">
      <alignment horizontal="left"/>
    </xf>
    <xf numFmtId="0" fontId="21" fillId="0" borderId="0" xfId="2" applyFont="1" applyBorder="1" applyAlignment="1" applyProtection="1">
      <alignment horizontal="left"/>
    </xf>
    <xf numFmtId="0" fontId="21" fillId="0" borderId="0" xfId="2" applyFont="1" applyBorder="1" applyAlignment="1" applyProtection="1"/>
    <xf numFmtId="0" fontId="24" fillId="0" borderId="0" xfId="0" applyFont="1"/>
    <xf numFmtId="164" fontId="0" fillId="0" borderId="0" xfId="1" applyNumberFormat="1" applyFont="1" applyBorder="1"/>
    <xf numFmtId="17" fontId="0" fillId="0" borderId="0" xfId="0" applyNumberFormat="1"/>
    <xf numFmtId="0" fontId="25" fillId="0" borderId="0" xfId="0" applyFont="1"/>
    <xf numFmtId="10" fontId="25" fillId="0" borderId="0" xfId="0" applyNumberFormat="1" applyFont="1"/>
    <xf numFmtId="0" fontId="26" fillId="0" borderId="0" xfId="0" applyFont="1"/>
    <xf numFmtId="10" fontId="26" fillId="0" borderId="0" xfId="0" applyNumberFormat="1" applyFont="1"/>
    <xf numFmtId="0" fontId="25" fillId="0" borderId="0" xfId="0" applyFont="1" applyAlignment="1">
      <alignment horizontal="right"/>
    </xf>
    <xf numFmtId="0" fontId="26" fillId="0" borderId="0" xfId="0" applyFont="1" applyAlignment="1">
      <alignment horizontal="right"/>
    </xf>
    <xf numFmtId="166" fontId="0" fillId="0" borderId="0" xfId="0" applyNumberFormat="1"/>
    <xf numFmtId="166" fontId="16" fillId="0" borderId="0" xfId="0" applyNumberFormat="1" applyFont="1"/>
    <xf numFmtId="3" fontId="0" fillId="0" borderId="0" xfId="0" applyNumberFormat="1"/>
    <xf numFmtId="0" fontId="0" fillId="6" borderId="0" xfId="0" applyFill="1"/>
    <xf numFmtId="0" fontId="16" fillId="6" borderId="0" xfId="0" applyFont="1" applyFill="1"/>
    <xf numFmtId="0" fontId="26" fillId="6" borderId="0" xfId="0" applyFont="1" applyFill="1"/>
    <xf numFmtId="0" fontId="0" fillId="0" borderId="1" xfId="0" applyBorder="1"/>
    <xf numFmtId="166" fontId="0" fillId="0" borderId="1" xfId="0" applyNumberFormat="1" applyBorder="1"/>
    <xf numFmtId="0" fontId="16" fillId="0" borderId="1" xfId="0" applyFont="1" applyBorder="1"/>
    <xf numFmtId="166" fontId="16" fillId="0" borderId="1" xfId="0" applyNumberFormat="1" applyFont="1" applyBorder="1"/>
    <xf numFmtId="167" fontId="0" fillId="0" borderId="0" xfId="0" applyNumberFormat="1"/>
    <xf numFmtId="0" fontId="15" fillId="0" borderId="0" xfId="7"/>
    <xf numFmtId="10" fontId="0" fillId="0" borderId="2" xfId="0" applyNumberFormat="1" applyBorder="1"/>
    <xf numFmtId="10" fontId="0" fillId="0" borderId="3" xfId="0" applyNumberFormat="1" applyBorder="1"/>
    <xf numFmtId="0" fontId="0" fillId="7" borderId="0" xfId="0" applyFill="1" applyAlignment="1">
      <alignment horizontal="center"/>
    </xf>
    <xf numFmtId="17" fontId="0" fillId="7" borderId="0" xfId="0" applyNumberFormat="1" applyFill="1"/>
    <xf numFmtId="0" fontId="0" fillId="7" borderId="0" xfId="0" applyFill="1"/>
    <xf numFmtId="0" fontId="15" fillId="0" borderId="2" xfId="7" applyBorder="1"/>
    <xf numFmtId="0" fontId="15" fillId="0" borderId="3" xfId="7" applyBorder="1"/>
    <xf numFmtId="167" fontId="0" fillId="0" borderId="3" xfId="0" applyNumberFormat="1" applyBorder="1"/>
    <xf numFmtId="167" fontId="0" fillId="0" borderId="2" xfId="0" applyNumberFormat="1" applyBorder="1"/>
    <xf numFmtId="1" fontId="0" fillId="0" borderId="2" xfId="0" applyNumberFormat="1" applyBorder="1"/>
    <xf numFmtId="1" fontId="0" fillId="0" borderId="0" xfId="0" applyNumberFormat="1"/>
    <xf numFmtId="1" fontId="0" fillId="0" borderId="3" xfId="0" applyNumberFormat="1" applyBorder="1"/>
    <xf numFmtId="0" fontId="0" fillId="0" borderId="2" xfId="0" applyBorder="1"/>
    <xf numFmtId="0" fontId="0" fillId="0" borderId="3" xfId="0" applyBorder="1"/>
    <xf numFmtId="4" fontId="0" fillId="0" borderId="0" xfId="0" applyNumberFormat="1" applyAlignment="1">
      <alignment horizontal="right"/>
    </xf>
    <xf numFmtId="168" fontId="0" fillId="0" borderId="0" xfId="0" applyNumberFormat="1" applyAlignment="1">
      <alignment horizontal="right"/>
    </xf>
    <xf numFmtId="169" fontId="0" fillId="0" borderId="0" xfId="0" applyNumberFormat="1" applyAlignment="1">
      <alignment horizontal="right"/>
    </xf>
    <xf numFmtId="170" fontId="0" fillId="0" borderId="0" xfId="0" applyNumberFormat="1" applyAlignment="1">
      <alignment horizontal="right"/>
    </xf>
    <xf numFmtId="0" fontId="0" fillId="0" borderId="4" xfId="0" applyBorder="1"/>
    <xf numFmtId="0" fontId="28" fillId="0" borderId="5" xfId="0" applyFont="1" applyBorder="1" applyAlignment="1">
      <alignment horizontal="center"/>
    </xf>
    <xf numFmtId="0" fontId="28" fillId="0" borderId="5" xfId="0" applyFont="1" applyBorder="1" applyAlignment="1">
      <alignment horizontal="centerContinuous"/>
    </xf>
    <xf numFmtId="170" fontId="0" fillId="0" borderId="0" xfId="0" applyNumberFormat="1"/>
    <xf numFmtId="2" fontId="0" fillId="0" borderId="0" xfId="0" applyNumberFormat="1"/>
    <xf numFmtId="4" fontId="0" fillId="0" borderId="0" xfId="0" applyNumberFormat="1"/>
    <xf numFmtId="0" fontId="0" fillId="8" borderId="0" xfId="0" applyFill="1" applyAlignment="1">
      <alignment horizontal="left"/>
    </xf>
    <xf numFmtId="171" fontId="0" fillId="8" borderId="0" xfId="0" applyNumberFormat="1" applyFill="1" applyAlignment="1">
      <alignment horizontal="right"/>
    </xf>
    <xf numFmtId="4" fontId="0" fillId="8" borderId="0" xfId="0" applyNumberFormat="1" applyFill="1"/>
    <xf numFmtId="10" fontId="0" fillId="8" borderId="0" xfId="0" applyNumberFormat="1" applyFill="1"/>
    <xf numFmtId="0" fontId="30" fillId="0" borderId="6" xfId="0" applyFont="1" applyBorder="1"/>
    <xf numFmtId="17" fontId="30" fillId="0" borderId="6" xfId="0" applyNumberFormat="1" applyFont="1" applyBorder="1"/>
    <xf numFmtId="43" fontId="30" fillId="0" borderId="0" xfId="0" applyNumberFormat="1" applyFont="1"/>
    <xf numFmtId="10" fontId="30" fillId="0" borderId="0" xfId="6" applyNumberFormat="1" applyFont="1"/>
    <xf numFmtId="43" fontId="0" fillId="0" borderId="0" xfId="0" applyNumberFormat="1"/>
    <xf numFmtId="10" fontId="0" fillId="0" borderId="0" xfId="6" applyNumberFormat="1" applyFont="1"/>
    <xf numFmtId="0" fontId="30" fillId="0" borderId="0" xfId="0" applyFont="1"/>
    <xf numFmtId="17" fontId="30" fillId="0" borderId="0" xfId="0" applyNumberFormat="1" applyFont="1"/>
    <xf numFmtId="10" fontId="30" fillId="0" borderId="0" xfId="6" applyNumberFormat="1" applyFont="1" applyBorder="1"/>
    <xf numFmtId="43" fontId="14" fillId="0" borderId="0" xfId="0" applyNumberFormat="1" applyFont="1"/>
    <xf numFmtId="10" fontId="14" fillId="0" borderId="0" xfId="6" applyNumberFormat="1" applyFont="1"/>
    <xf numFmtId="0" fontId="17" fillId="9" borderId="0" xfId="0" applyFont="1" applyFill="1"/>
    <xf numFmtId="17" fontId="17" fillId="9" borderId="0" xfId="0" applyNumberFormat="1" applyFont="1" applyFill="1" applyAlignment="1">
      <alignment horizontal="right" vertical="center" wrapText="1"/>
    </xf>
    <xf numFmtId="0" fontId="17" fillId="7" borderId="0" xfId="0" applyFont="1" applyFill="1"/>
    <xf numFmtId="17" fontId="17" fillId="7" borderId="0" xfId="0" applyNumberFormat="1" applyFont="1" applyFill="1" applyAlignment="1">
      <alignment horizontal="right" vertical="center" wrapText="1"/>
    </xf>
    <xf numFmtId="0" fontId="33" fillId="7" borderId="0" xfId="0" applyFont="1" applyFill="1" applyAlignment="1">
      <alignment vertical="center"/>
    </xf>
    <xf numFmtId="0" fontId="31" fillId="7" borderId="0" xfId="0" applyFont="1" applyFill="1" applyAlignment="1">
      <alignment vertical="center"/>
    </xf>
    <xf numFmtId="0" fontId="32" fillId="7" borderId="0" xfId="0" applyFont="1" applyFill="1" applyAlignment="1">
      <alignment vertical="center"/>
    </xf>
    <xf numFmtId="0" fontId="33" fillId="7" borderId="1" xfId="0" applyFont="1" applyFill="1" applyBorder="1" applyAlignment="1">
      <alignment vertical="center"/>
    </xf>
    <xf numFmtId="0" fontId="33" fillId="7" borderId="7" xfId="0" applyFont="1" applyFill="1" applyBorder="1" applyAlignment="1">
      <alignment vertical="center"/>
    </xf>
    <xf numFmtId="0" fontId="32" fillId="7" borderId="1" xfId="0" applyFont="1" applyFill="1" applyBorder="1" applyAlignment="1">
      <alignment vertical="center"/>
    </xf>
    <xf numFmtId="0" fontId="0" fillId="9" borderId="0" xfId="0" applyFill="1"/>
    <xf numFmtId="0" fontId="31" fillId="7" borderId="8" xfId="0" applyFont="1" applyFill="1" applyBorder="1" applyAlignment="1">
      <alignment vertical="center"/>
    </xf>
    <xf numFmtId="0" fontId="0" fillId="0" borderId="8" xfId="0" applyBorder="1"/>
    <xf numFmtId="0" fontId="31" fillId="7" borderId="9" xfId="0" applyFont="1" applyFill="1" applyBorder="1" applyAlignment="1">
      <alignment vertical="center"/>
    </xf>
    <xf numFmtId="0" fontId="0" fillId="0" borderId="9" xfId="0" applyBorder="1"/>
    <xf numFmtId="0" fontId="0" fillId="0" borderId="7" xfId="0" applyBorder="1"/>
    <xf numFmtId="0" fontId="16" fillId="0" borderId="7" xfId="0" applyFont="1" applyBorder="1"/>
    <xf numFmtId="0" fontId="0" fillId="0" borderId="13" xfId="0" applyBorder="1"/>
    <xf numFmtId="0" fontId="16" fillId="0" borderId="14" xfId="0" applyFont="1" applyBorder="1"/>
    <xf numFmtId="10" fontId="16" fillId="0" borderId="14" xfId="0" applyNumberFormat="1" applyFont="1" applyBorder="1"/>
    <xf numFmtId="4" fontId="31" fillId="7" borderId="8" xfId="0" applyNumberFormat="1" applyFont="1" applyFill="1" applyBorder="1" applyAlignment="1">
      <alignment horizontal="right" vertical="center" wrapText="1"/>
    </xf>
    <xf numFmtId="4" fontId="32" fillId="7" borderId="8" xfId="0" applyNumberFormat="1" applyFont="1" applyFill="1" applyBorder="1" applyAlignment="1">
      <alignment horizontal="right" vertical="center" wrapText="1"/>
    </xf>
    <xf numFmtId="4" fontId="31" fillId="7" borderId="9" xfId="0" applyNumberFormat="1" applyFont="1" applyFill="1" applyBorder="1" applyAlignment="1">
      <alignment horizontal="right" vertical="center" wrapText="1"/>
    </xf>
    <xf numFmtId="4" fontId="32" fillId="7" borderId="1" xfId="0" applyNumberFormat="1" applyFont="1" applyFill="1" applyBorder="1" applyAlignment="1">
      <alignment horizontal="right" vertical="center" wrapText="1"/>
    </xf>
    <xf numFmtId="4" fontId="32" fillId="7" borderId="0" xfId="0" applyNumberFormat="1" applyFont="1" applyFill="1" applyAlignment="1">
      <alignment horizontal="right" vertical="center" wrapText="1"/>
    </xf>
    <xf numFmtId="4" fontId="31" fillId="7" borderId="10" xfId="0" applyNumberFormat="1" applyFont="1" applyFill="1" applyBorder="1" applyAlignment="1">
      <alignment horizontal="right" vertical="center" wrapText="1"/>
    </xf>
    <xf numFmtId="4" fontId="32" fillId="7" borderId="10" xfId="0" applyNumberFormat="1" applyFont="1" applyFill="1" applyBorder="1" applyAlignment="1">
      <alignment horizontal="right" vertical="center" wrapText="1"/>
    </xf>
    <xf numFmtId="4" fontId="31" fillId="7" borderId="11" xfId="0" applyNumberFormat="1" applyFont="1" applyFill="1" applyBorder="1" applyAlignment="1">
      <alignment horizontal="right" vertical="center" wrapText="1"/>
    </xf>
    <xf numFmtId="4" fontId="31" fillId="7" borderId="7" xfId="0" applyNumberFormat="1" applyFont="1" applyFill="1" applyBorder="1" applyAlignment="1">
      <alignment horizontal="right" vertical="center" wrapText="1"/>
    </xf>
    <xf numFmtId="4" fontId="33" fillId="7" borderId="12" xfId="0" applyNumberFormat="1" applyFont="1" applyFill="1" applyBorder="1" applyAlignment="1">
      <alignment horizontal="right" vertical="center" wrapText="1"/>
    </xf>
    <xf numFmtId="4" fontId="31" fillId="7" borderId="0" xfId="0" applyNumberFormat="1" applyFont="1" applyFill="1" applyAlignment="1">
      <alignment horizontal="right" vertical="center" wrapText="1"/>
    </xf>
    <xf numFmtId="172" fontId="0" fillId="0" borderId="8" xfId="0" applyNumberFormat="1" applyBorder="1"/>
    <xf numFmtId="172" fontId="0" fillId="0" borderId="9" xfId="0" applyNumberFormat="1" applyBorder="1"/>
    <xf numFmtId="172" fontId="16" fillId="0" borderId="7" xfId="0" applyNumberFormat="1" applyFont="1" applyBorder="1"/>
    <xf numFmtId="172" fontId="0" fillId="0" borderId="0" xfId="0" applyNumberFormat="1"/>
    <xf numFmtId="172" fontId="0" fillId="0" borderId="13" xfId="0" applyNumberFormat="1" applyBorder="1"/>
    <xf numFmtId="172" fontId="16" fillId="0" borderId="14" xfId="0" applyNumberFormat="1" applyFont="1" applyBorder="1"/>
    <xf numFmtId="172" fontId="16" fillId="0" borderId="0" xfId="0" applyNumberFormat="1" applyFont="1"/>
    <xf numFmtId="10" fontId="34" fillId="7" borderId="8" xfId="0" applyNumberFormat="1" applyFont="1" applyFill="1" applyBorder="1"/>
    <xf numFmtId="172" fontId="24" fillId="7" borderId="8" xfId="0" applyNumberFormat="1" applyFont="1" applyFill="1" applyBorder="1"/>
    <xf numFmtId="172" fontId="16" fillId="8" borderId="0" xfId="0" applyNumberFormat="1" applyFont="1" applyFill="1"/>
    <xf numFmtId="10" fontId="16" fillId="8" borderId="0" xfId="0" applyNumberFormat="1" applyFont="1" applyFill="1"/>
    <xf numFmtId="10" fontId="0" fillId="0" borderId="8" xfId="0" applyNumberFormat="1" applyBorder="1"/>
    <xf numFmtId="17" fontId="17" fillId="9" borderId="0" xfId="0" applyNumberFormat="1" applyFont="1" applyFill="1"/>
    <xf numFmtId="173" fontId="17" fillId="9" borderId="0" xfId="0" applyNumberFormat="1" applyFont="1" applyFill="1"/>
    <xf numFmtId="174" fontId="17" fillId="9" borderId="0" xfId="0" applyNumberFormat="1" applyFont="1" applyFill="1"/>
    <xf numFmtId="0" fontId="0" fillId="0" borderId="15" xfId="0" applyBorder="1"/>
    <xf numFmtId="43" fontId="0" fillId="10" borderId="15" xfId="0" applyNumberFormat="1" applyFill="1" applyBorder="1"/>
    <xf numFmtId="43" fontId="0" fillId="0" borderId="15" xfId="0" applyNumberFormat="1" applyBorder="1"/>
    <xf numFmtId="10" fontId="35" fillId="10" borderId="15" xfId="0" applyNumberFormat="1" applyFont="1" applyFill="1" applyBorder="1"/>
    <xf numFmtId="10" fontId="0" fillId="0" borderId="15" xfId="0" applyNumberFormat="1" applyBorder="1"/>
    <xf numFmtId="10" fontId="0" fillId="10" borderId="15" xfId="0" applyNumberFormat="1" applyFill="1" applyBorder="1"/>
    <xf numFmtId="0" fontId="0" fillId="10" borderId="15" xfId="0" applyFill="1" applyBorder="1"/>
    <xf numFmtId="0" fontId="35" fillId="0" borderId="15" xfId="0" applyFont="1" applyBorder="1"/>
    <xf numFmtId="175" fontId="0" fillId="0" borderId="15" xfId="0" applyNumberFormat="1" applyBorder="1"/>
    <xf numFmtId="0" fontId="0" fillId="10" borderId="0" xfId="0" applyFill="1"/>
    <xf numFmtId="0" fontId="30" fillId="0" borderId="16" xfId="0" applyFont="1" applyBorder="1"/>
    <xf numFmtId="0" fontId="30" fillId="10" borderId="16" xfId="0" applyFont="1" applyFill="1" applyBorder="1"/>
    <xf numFmtId="43" fontId="30" fillId="0" borderId="16" xfId="0" applyNumberFormat="1" applyFont="1" applyBorder="1"/>
    <xf numFmtId="0" fontId="0" fillId="8" borderId="0" xfId="0" applyFill="1"/>
    <xf numFmtId="0" fontId="29" fillId="9" borderId="0" xfId="0" applyFont="1" applyFill="1"/>
    <xf numFmtId="176" fontId="0" fillId="0" borderId="0" xfId="6" applyNumberFormat="1" applyFont="1" applyFill="1"/>
    <xf numFmtId="0" fontId="36" fillId="0" borderId="0" xfId="15"/>
    <xf numFmtId="0" fontId="37" fillId="0" borderId="0" xfId="15" applyFont="1"/>
    <xf numFmtId="10" fontId="37" fillId="0" borderId="0" xfId="15" applyNumberFormat="1" applyFont="1"/>
    <xf numFmtId="0" fontId="13" fillId="0" borderId="0" xfId="15" applyFont="1"/>
    <xf numFmtId="10" fontId="37" fillId="11" borderId="0" xfId="15" applyNumberFormat="1" applyFont="1" applyFill="1"/>
    <xf numFmtId="0" fontId="37" fillId="0" borderId="0" xfId="15" applyFont="1" applyAlignment="1">
      <alignment vertical="top"/>
    </xf>
    <xf numFmtId="0" fontId="38" fillId="0" borderId="0" xfId="15" applyFont="1" applyAlignment="1">
      <alignment vertical="top"/>
    </xf>
    <xf numFmtId="0" fontId="38" fillId="0" borderId="0" xfId="15" applyFont="1"/>
    <xf numFmtId="2" fontId="37" fillId="0" borderId="0" xfId="15" applyNumberFormat="1" applyFont="1"/>
    <xf numFmtId="10" fontId="37" fillId="12" borderId="0" xfId="15" applyNumberFormat="1" applyFont="1" applyFill="1"/>
    <xf numFmtId="2" fontId="37" fillId="0" borderId="18" xfId="15" applyNumberFormat="1" applyFont="1" applyBorder="1"/>
    <xf numFmtId="0" fontId="37" fillId="0" borderId="18" xfId="15" applyFont="1" applyBorder="1"/>
    <xf numFmtId="10" fontId="37" fillId="0" borderId="18" xfId="15" applyNumberFormat="1" applyFont="1" applyBorder="1"/>
    <xf numFmtId="177" fontId="37" fillId="0" borderId="18" xfId="15" applyNumberFormat="1" applyFont="1" applyBorder="1"/>
    <xf numFmtId="177" fontId="40" fillId="0" borderId="0" xfId="15" applyNumberFormat="1" applyFont="1"/>
    <xf numFmtId="10" fontId="40" fillId="0" borderId="0" xfId="15" applyNumberFormat="1" applyFont="1"/>
    <xf numFmtId="0" fontId="39" fillId="0" borderId="17" xfId="15" applyFont="1" applyBorder="1" applyAlignment="1">
      <alignment horizontal="right"/>
    </xf>
    <xf numFmtId="0" fontId="39" fillId="0" borderId="0" xfId="15" applyFont="1"/>
    <xf numFmtId="10" fontId="37" fillId="12" borderId="18" xfId="15" applyNumberFormat="1" applyFont="1" applyFill="1" applyBorder="1"/>
    <xf numFmtId="2" fontId="37" fillId="12" borderId="0" xfId="15" applyNumberFormat="1" applyFont="1" applyFill="1"/>
    <xf numFmtId="2" fontId="40" fillId="0" borderId="0" xfId="15" applyNumberFormat="1" applyFont="1"/>
    <xf numFmtId="10" fontId="40" fillId="0" borderId="0" xfId="15" applyNumberFormat="1" applyFont="1" applyAlignment="1">
      <alignment vertical="top"/>
    </xf>
    <xf numFmtId="4" fontId="40" fillId="0" borderId="0" xfId="15" applyNumberFormat="1" applyFont="1"/>
    <xf numFmtId="0" fontId="40" fillId="0" borderId="0" xfId="15" applyFont="1" applyAlignment="1">
      <alignment horizontal="right"/>
    </xf>
    <xf numFmtId="0" fontId="40" fillId="0" borderId="0" xfId="15" applyFont="1"/>
    <xf numFmtId="0" fontId="42" fillId="0" borderId="0" xfId="15" applyFont="1"/>
    <xf numFmtId="0" fontId="18" fillId="0" borderId="0" xfId="15" applyFont="1"/>
    <xf numFmtId="0" fontId="18" fillId="0" borderId="0" xfId="15" applyFont="1" applyAlignment="1">
      <alignment horizontal="center" vertical="center"/>
    </xf>
    <xf numFmtId="0" fontId="31" fillId="7" borderId="0" xfId="15" applyFont="1" applyFill="1" applyAlignment="1">
      <alignment horizontal="left" vertical="center" indent="1"/>
    </xf>
    <xf numFmtId="0" fontId="31" fillId="7" borderId="0" xfId="15" applyFont="1" applyFill="1" applyAlignment="1">
      <alignment horizontal="right" vertical="center" wrapText="1"/>
    </xf>
    <xf numFmtId="0" fontId="18" fillId="7" borderId="0" xfId="15" applyFont="1" applyFill="1"/>
    <xf numFmtId="0" fontId="16" fillId="0" borderId="0" xfId="15" applyFont="1"/>
    <xf numFmtId="0" fontId="16" fillId="0" borderId="20" xfId="15" applyFont="1" applyBorder="1"/>
    <xf numFmtId="0" fontId="16" fillId="0" borderId="20" xfId="15" applyFont="1" applyBorder="1" applyAlignment="1">
      <alignment horizontal="right"/>
    </xf>
    <xf numFmtId="0" fontId="18" fillId="0" borderId="0" xfId="15" applyFont="1" applyAlignment="1">
      <alignment horizontal="left"/>
    </xf>
    <xf numFmtId="2" fontId="36" fillId="0" borderId="0" xfId="15" applyNumberFormat="1"/>
    <xf numFmtId="14" fontId="36" fillId="0" borderId="0" xfId="15" applyNumberFormat="1"/>
    <xf numFmtId="4" fontId="36" fillId="0" borderId="0" xfId="15" applyNumberFormat="1"/>
    <xf numFmtId="10" fontId="36" fillId="0" borderId="0" xfId="15" applyNumberFormat="1"/>
    <xf numFmtId="0" fontId="18" fillId="13" borderId="0" xfId="15" applyFont="1" applyFill="1"/>
    <xf numFmtId="2" fontId="36" fillId="13" borderId="0" xfId="15" applyNumberFormat="1" applyFill="1"/>
    <xf numFmtId="0" fontId="28" fillId="0" borderId="5" xfId="15" applyFont="1" applyBorder="1" applyAlignment="1">
      <alignment horizontal="centerContinuous"/>
    </xf>
    <xf numFmtId="0" fontId="36" fillId="0" borderId="4" xfId="15" applyBorder="1"/>
    <xf numFmtId="0" fontId="28" fillId="0" borderId="5" xfId="15" applyFont="1" applyBorder="1" applyAlignment="1">
      <alignment horizontal="center"/>
    </xf>
    <xf numFmtId="0" fontId="12" fillId="9" borderId="0" xfId="17" applyFill="1"/>
    <xf numFmtId="0" fontId="12" fillId="0" borderId="0" xfId="17"/>
    <xf numFmtId="0" fontId="47" fillId="0" borderId="0" xfId="17" applyFont="1"/>
    <xf numFmtId="0" fontId="48" fillId="0" borderId="6" xfId="17" applyFont="1" applyBorder="1"/>
    <xf numFmtId="0" fontId="12" fillId="0" borderId="6" xfId="17" applyBorder="1"/>
    <xf numFmtId="0" fontId="47" fillId="0" borderId="6" xfId="17" applyFont="1" applyBorder="1"/>
    <xf numFmtId="0" fontId="29" fillId="9" borderId="0" xfId="17" applyFont="1" applyFill="1"/>
    <xf numFmtId="0" fontId="29" fillId="9" borderId="0" xfId="17" applyFont="1" applyFill="1" applyAlignment="1">
      <alignment horizontal="left"/>
    </xf>
    <xf numFmtId="0" fontId="29" fillId="9" borderId="0" xfId="17" applyFont="1" applyFill="1" applyAlignment="1">
      <alignment horizontal="right" wrapText="1"/>
    </xf>
    <xf numFmtId="0" fontId="29" fillId="9" borderId="0" xfId="17" applyFont="1" applyFill="1" applyAlignment="1">
      <alignment horizontal="right"/>
    </xf>
    <xf numFmtId="2" fontId="29" fillId="0" borderId="0" xfId="17" applyNumberFormat="1" applyFont="1" applyAlignment="1">
      <alignment horizontal="left"/>
    </xf>
    <xf numFmtId="2" fontId="29" fillId="0" borderId="0" xfId="17" applyNumberFormat="1" applyFont="1" applyAlignment="1">
      <alignment horizontal="right" wrapText="1"/>
    </xf>
    <xf numFmtId="2" fontId="29" fillId="0" borderId="0" xfId="17" applyNumberFormat="1" applyFont="1" applyAlignment="1">
      <alignment horizontal="right"/>
    </xf>
    <xf numFmtId="2" fontId="12" fillId="0" borderId="0" xfId="17" applyNumberFormat="1"/>
    <xf numFmtId="0" fontId="49" fillId="8" borderId="15" xfId="17" applyFont="1" applyFill="1" applyBorder="1" applyAlignment="1">
      <alignment horizontal="left"/>
    </xf>
    <xf numFmtId="2" fontId="49" fillId="8" borderId="15" xfId="17" applyNumberFormat="1" applyFont="1" applyFill="1" applyBorder="1" applyAlignment="1">
      <alignment horizontal="left"/>
    </xf>
    <xf numFmtId="3" fontId="49" fillId="8" borderId="15" xfId="17" applyNumberFormat="1" applyFont="1" applyFill="1" applyBorder="1" applyAlignment="1">
      <alignment horizontal="right" wrapText="1"/>
    </xf>
    <xf numFmtId="3" fontId="12" fillId="8" borderId="15" xfId="17" applyNumberFormat="1" applyFill="1" applyBorder="1" applyAlignment="1">
      <alignment horizontal="right"/>
    </xf>
    <xf numFmtId="3" fontId="49" fillId="8" borderId="15" xfId="17" applyNumberFormat="1" applyFont="1" applyFill="1" applyBorder="1" applyAlignment="1">
      <alignment horizontal="right"/>
    </xf>
    <xf numFmtId="178" fontId="49" fillId="8" borderId="15" xfId="17" applyNumberFormat="1" applyFont="1" applyFill="1" applyBorder="1" applyAlignment="1">
      <alignment horizontal="right"/>
    </xf>
    <xf numFmtId="0" fontId="12" fillId="8" borderId="15" xfId="17" applyFill="1" applyBorder="1"/>
    <xf numFmtId="178" fontId="12" fillId="8" borderId="15" xfId="17" applyNumberFormat="1" applyFill="1" applyBorder="1"/>
    <xf numFmtId="0" fontId="30" fillId="8" borderId="15" xfId="17" applyFont="1" applyFill="1" applyBorder="1"/>
    <xf numFmtId="178" fontId="30" fillId="8" borderId="15" xfId="17" applyNumberFormat="1" applyFont="1" applyFill="1" applyBorder="1"/>
    <xf numFmtId="0" fontId="29" fillId="9" borderId="6" xfId="17" applyFont="1" applyFill="1" applyBorder="1"/>
    <xf numFmtId="0" fontId="46" fillId="9" borderId="0" xfId="17" applyFont="1" applyFill="1"/>
    <xf numFmtId="0" fontId="29" fillId="9" borderId="0" xfId="17" applyFont="1" applyFill="1" applyAlignment="1">
      <alignment horizontal="center"/>
    </xf>
    <xf numFmtId="0" fontId="12" fillId="0" borderId="15" xfId="17" applyBorder="1"/>
    <xf numFmtId="3" fontId="12" fillId="0" borderId="15" xfId="17" applyNumberFormat="1" applyBorder="1"/>
    <xf numFmtId="2" fontId="12" fillId="0" borderId="15" xfId="17" applyNumberFormat="1" applyBorder="1"/>
    <xf numFmtId="0" fontId="30" fillId="8" borderId="22" xfId="17" applyFont="1" applyFill="1" applyBorder="1"/>
    <xf numFmtId="177" fontId="30" fillId="8" borderId="22" xfId="17" applyNumberFormat="1" applyFont="1" applyFill="1" applyBorder="1"/>
    <xf numFmtId="0" fontId="30" fillId="0" borderId="0" xfId="17" applyFont="1"/>
    <xf numFmtId="177" fontId="30" fillId="0" borderId="0" xfId="17" applyNumberFormat="1" applyFont="1"/>
    <xf numFmtId="0" fontId="17" fillId="9" borderId="0" xfId="0" applyFont="1" applyFill="1" applyAlignment="1">
      <alignment horizontal="center"/>
    </xf>
    <xf numFmtId="2" fontId="17" fillId="9" borderId="0" xfId="0" applyNumberFormat="1" applyFont="1" applyFill="1" applyAlignment="1">
      <alignment horizontal="center"/>
    </xf>
    <xf numFmtId="0" fontId="17" fillId="9" borderId="0" xfId="0" applyFont="1" applyFill="1" applyAlignment="1">
      <alignment horizontal="left"/>
    </xf>
    <xf numFmtId="2" fontId="0" fillId="0" borderId="0" xfId="6" applyNumberFormat="1" applyFont="1"/>
    <xf numFmtId="0" fontId="49" fillId="7" borderId="15" xfId="17" applyFont="1" applyFill="1" applyBorder="1" applyAlignment="1">
      <alignment horizontal="left"/>
    </xf>
    <xf numFmtId="3" fontId="12" fillId="7" borderId="15" xfId="17" applyNumberFormat="1" applyFill="1" applyBorder="1" applyAlignment="1">
      <alignment horizontal="right"/>
    </xf>
    <xf numFmtId="3" fontId="49" fillId="7" borderId="15" xfId="17" applyNumberFormat="1" applyFont="1" applyFill="1" applyBorder="1" applyAlignment="1">
      <alignment horizontal="right" wrapText="1"/>
    </xf>
    <xf numFmtId="3" fontId="49" fillId="7" borderId="15" xfId="17" applyNumberFormat="1" applyFont="1" applyFill="1" applyBorder="1" applyAlignment="1">
      <alignment horizontal="right"/>
    </xf>
    <xf numFmtId="178" fontId="49" fillId="7" borderId="15" xfId="17" applyNumberFormat="1" applyFont="1" applyFill="1" applyBorder="1" applyAlignment="1">
      <alignment horizontal="right"/>
    </xf>
    <xf numFmtId="0" fontId="12" fillId="7" borderId="15" xfId="17" applyFill="1" applyBorder="1" applyAlignment="1">
      <alignment horizontal="left"/>
    </xf>
    <xf numFmtId="0" fontId="0" fillId="7" borderId="15" xfId="0" applyFill="1" applyBorder="1"/>
    <xf numFmtId="1" fontId="12" fillId="7" borderId="15" xfId="17" applyNumberFormat="1" applyFill="1" applyBorder="1" applyAlignment="1">
      <alignment horizontal="right"/>
    </xf>
    <xf numFmtId="179" fontId="12" fillId="0" borderId="0" xfId="17" applyNumberFormat="1"/>
    <xf numFmtId="1" fontId="49" fillId="8" borderId="15" xfId="17" applyNumberFormat="1" applyFont="1" applyFill="1" applyBorder="1" applyAlignment="1">
      <alignment horizontal="right"/>
    </xf>
    <xf numFmtId="4" fontId="49" fillId="8" borderId="15" xfId="17" applyNumberFormat="1" applyFont="1" applyFill="1" applyBorder="1" applyAlignment="1">
      <alignment horizontal="right" wrapText="1"/>
    </xf>
    <xf numFmtId="4" fontId="49" fillId="7" borderId="15" xfId="17" applyNumberFormat="1" applyFont="1" applyFill="1" applyBorder="1" applyAlignment="1">
      <alignment horizontal="right" wrapText="1"/>
    </xf>
    <xf numFmtId="43" fontId="20" fillId="0" borderId="0" xfId="0" applyNumberFormat="1" applyFont="1"/>
    <xf numFmtId="10" fontId="16" fillId="0" borderId="0" xfId="0" applyNumberFormat="1" applyFont="1" applyAlignment="1">
      <alignment horizontal="left"/>
    </xf>
    <xf numFmtId="4" fontId="28" fillId="8" borderId="0" xfId="0" applyNumberFormat="1" applyFont="1" applyFill="1"/>
    <xf numFmtId="0" fontId="12" fillId="0" borderId="0" xfId="17" applyAlignment="1">
      <alignment horizontal="center"/>
    </xf>
    <xf numFmtId="0" fontId="12" fillId="0" borderId="0" xfId="17" applyAlignment="1">
      <alignment wrapText="1"/>
    </xf>
    <xf numFmtId="4" fontId="12" fillId="0" borderId="0" xfId="17" applyNumberFormat="1"/>
    <xf numFmtId="4" fontId="52" fillId="0" borderId="0" xfId="17" applyNumberFormat="1" applyFont="1"/>
    <xf numFmtId="4" fontId="53" fillId="0" borderId="0" xfId="0" applyNumberFormat="1" applyFont="1"/>
    <xf numFmtId="0" fontId="30" fillId="0" borderId="0" xfId="19" applyFont="1"/>
    <xf numFmtId="0" fontId="29" fillId="9" borderId="0" xfId="19" applyFont="1" applyFill="1"/>
    <xf numFmtId="0" fontId="29" fillId="9" borderId="0" xfId="19" applyFont="1" applyFill="1" applyAlignment="1">
      <alignment horizontal="right"/>
    </xf>
    <xf numFmtId="0" fontId="46" fillId="9" borderId="0" xfId="19" applyFont="1" applyFill="1"/>
    <xf numFmtId="0" fontId="11" fillId="0" borderId="0" xfId="19"/>
    <xf numFmtId="14" fontId="11" fillId="0" borderId="0" xfId="19" applyNumberFormat="1"/>
    <xf numFmtId="0" fontId="11" fillId="0" borderId="15" xfId="19" applyBorder="1"/>
    <xf numFmtId="10" fontId="0" fillId="0" borderId="15" xfId="20" applyNumberFormat="1" applyFont="1" applyBorder="1"/>
    <xf numFmtId="2" fontId="0" fillId="0" borderId="15" xfId="20" applyNumberFormat="1" applyFont="1" applyBorder="1"/>
    <xf numFmtId="0" fontId="30" fillId="0" borderId="22" xfId="19" applyFont="1" applyBorder="1" applyAlignment="1">
      <alignment horizontal="left"/>
    </xf>
    <xf numFmtId="0" fontId="30" fillId="0" borderId="22" xfId="19" applyFont="1" applyBorder="1"/>
    <xf numFmtId="0" fontId="30" fillId="0" borderId="22" xfId="19" applyFont="1" applyBorder="1" applyAlignment="1">
      <alignment horizontal="right"/>
    </xf>
    <xf numFmtId="180" fontId="11" fillId="0" borderId="23" xfId="19" applyNumberFormat="1" applyBorder="1" applyAlignment="1">
      <alignment horizontal="left"/>
    </xf>
    <xf numFmtId="180" fontId="11" fillId="0" borderId="23" xfId="19" applyNumberFormat="1" applyBorder="1"/>
    <xf numFmtId="10" fontId="0" fillId="0" borderId="23" xfId="20" applyNumberFormat="1" applyFont="1" applyBorder="1"/>
    <xf numFmtId="179" fontId="11" fillId="0" borderId="23" xfId="19" applyNumberFormat="1" applyBorder="1"/>
    <xf numFmtId="180" fontId="11" fillId="0" borderId="15" xfId="19" applyNumberFormat="1" applyBorder="1" applyAlignment="1">
      <alignment horizontal="left"/>
    </xf>
    <xf numFmtId="180" fontId="11" fillId="0" borderId="15" xfId="19" applyNumberFormat="1" applyBorder="1"/>
    <xf numFmtId="179" fontId="11" fillId="0" borderId="15" xfId="19" applyNumberFormat="1" applyBorder="1"/>
    <xf numFmtId="9" fontId="11" fillId="0" borderId="15" xfId="19" applyNumberFormat="1" applyBorder="1" applyAlignment="1">
      <alignment horizontal="left"/>
    </xf>
    <xf numFmtId="4" fontId="11" fillId="0" borderId="0" xfId="19" applyNumberFormat="1"/>
    <xf numFmtId="2" fontId="11" fillId="0" borderId="0" xfId="19" applyNumberFormat="1"/>
    <xf numFmtId="0" fontId="29" fillId="0" borderId="0" xfId="19" applyFont="1"/>
    <xf numFmtId="0" fontId="11" fillId="0" borderId="22" xfId="19" applyBorder="1"/>
    <xf numFmtId="0" fontId="11" fillId="0" borderId="23" xfId="19" applyBorder="1"/>
    <xf numFmtId="179" fontId="0" fillId="0" borderId="0" xfId="20" applyNumberFormat="1" applyFont="1" applyBorder="1"/>
    <xf numFmtId="0" fontId="10" fillId="0" borderId="0" xfId="21"/>
    <xf numFmtId="0" fontId="10" fillId="0" borderId="0" xfId="21" applyAlignment="1">
      <alignment horizontal="left"/>
    </xf>
    <xf numFmtId="0" fontId="10" fillId="0" borderId="0" xfId="21" applyAlignment="1">
      <alignment wrapText="1"/>
    </xf>
    <xf numFmtId="17" fontId="30" fillId="0" borderId="0" xfId="21" applyNumberFormat="1" applyFont="1"/>
    <xf numFmtId="177" fontId="10" fillId="0" borderId="0" xfId="21" applyNumberFormat="1"/>
    <xf numFmtId="43" fontId="55" fillId="0" borderId="0" xfId="21" applyNumberFormat="1" applyFont="1" applyAlignment="1">
      <alignment horizontal="left"/>
    </xf>
    <xf numFmtId="0" fontId="9" fillId="0" borderId="0" xfId="21" applyFont="1" applyAlignment="1">
      <alignment horizontal="left"/>
    </xf>
    <xf numFmtId="0" fontId="30" fillId="14" borderId="0" xfId="21" applyFont="1" applyFill="1"/>
    <xf numFmtId="10" fontId="30" fillId="14" borderId="0" xfId="22" applyNumberFormat="1" applyFont="1" applyFill="1"/>
    <xf numFmtId="178" fontId="30" fillId="14" borderId="0" xfId="22" applyNumberFormat="1" applyFont="1" applyFill="1"/>
    <xf numFmtId="176" fontId="30" fillId="14" borderId="0" xfId="22" applyNumberFormat="1" applyFont="1" applyFill="1"/>
    <xf numFmtId="0" fontId="10" fillId="7" borderId="0" xfId="21" applyFill="1"/>
    <xf numFmtId="177" fontId="10" fillId="7" borderId="0" xfId="21" applyNumberFormat="1" applyFill="1"/>
    <xf numFmtId="0" fontId="8" fillId="0" borderId="0" xfId="23"/>
    <xf numFmtId="0" fontId="8" fillId="0" borderId="0" xfId="23" applyAlignment="1">
      <alignment wrapText="1"/>
    </xf>
    <xf numFmtId="17" fontId="30" fillId="0" borderId="0" xfId="23" applyNumberFormat="1" applyFont="1"/>
    <xf numFmtId="0" fontId="30" fillId="0" borderId="0" xfId="23" applyFont="1"/>
    <xf numFmtId="4" fontId="8" fillId="0" borderId="0" xfId="23" applyNumberFormat="1"/>
    <xf numFmtId="0" fontId="8" fillId="7" borderId="0" xfId="23" applyFill="1"/>
    <xf numFmtId="0" fontId="54" fillId="7" borderId="0" xfId="23" applyFont="1" applyFill="1" applyAlignment="1">
      <alignment horizontal="center"/>
    </xf>
    <xf numFmtId="17" fontId="30" fillId="7" borderId="0" xfId="23" applyNumberFormat="1" applyFont="1" applyFill="1" applyAlignment="1">
      <alignment horizontal="right"/>
    </xf>
    <xf numFmtId="0" fontId="7" fillId="7" borderId="0" xfId="23" applyFont="1" applyFill="1"/>
    <xf numFmtId="0" fontId="29" fillId="7" borderId="0" xfId="23" applyFont="1" applyFill="1" applyAlignment="1">
      <alignment horizontal="center"/>
    </xf>
    <xf numFmtId="0" fontId="59" fillId="0" borderId="0" xfId="23" applyFont="1" applyAlignment="1">
      <alignment horizontal="center"/>
    </xf>
    <xf numFmtId="0" fontId="58" fillId="0" borderId="0" xfId="23" applyFont="1" applyAlignment="1">
      <alignment horizontal="center"/>
    </xf>
    <xf numFmtId="0" fontId="30" fillId="14" borderId="0" xfId="23" applyFont="1" applyFill="1"/>
    <xf numFmtId="2" fontId="30" fillId="14" borderId="0" xfId="23" applyNumberFormat="1" applyFont="1" applyFill="1"/>
    <xf numFmtId="10" fontId="30" fillId="14" borderId="0" xfId="24" applyNumberFormat="1" applyFont="1" applyFill="1"/>
    <xf numFmtId="0" fontId="61" fillId="0" borderId="0" xfId="21" applyFont="1" applyAlignment="1">
      <alignment horizontal="left"/>
    </xf>
    <xf numFmtId="0" fontId="29" fillId="7" borderId="0" xfId="21" applyFont="1" applyFill="1" applyAlignment="1">
      <alignment horizontal="center"/>
    </xf>
    <xf numFmtId="0" fontId="10" fillId="0" borderId="24" xfId="21" applyBorder="1"/>
    <xf numFmtId="0" fontId="63" fillId="0" borderId="0" xfId="21" applyFont="1"/>
    <xf numFmtId="10" fontId="0" fillId="0" borderId="0" xfId="1" applyNumberFormat="1" applyFont="1" applyBorder="1"/>
    <xf numFmtId="0" fontId="6" fillId="0" borderId="0" xfId="25"/>
    <xf numFmtId="14" fontId="6" fillId="0" borderId="0" xfId="25" applyNumberFormat="1"/>
    <xf numFmtId="10" fontId="6" fillId="0" borderId="0" xfId="25" applyNumberFormat="1"/>
    <xf numFmtId="4" fontId="6" fillId="0" borderId="0" xfId="25" applyNumberFormat="1"/>
    <xf numFmtId="3" fontId="6" fillId="0" borderId="0" xfId="25" applyNumberFormat="1"/>
    <xf numFmtId="0" fontId="64" fillId="15" borderId="25" xfId="25" applyFont="1" applyFill="1" applyBorder="1" applyAlignment="1">
      <alignment horizontal="left" vertical="center" wrapText="1"/>
    </xf>
    <xf numFmtId="0" fontId="64" fillId="15" borderId="25" xfId="25" applyFont="1" applyFill="1" applyBorder="1" applyAlignment="1">
      <alignment horizontal="right" vertical="center" wrapText="1"/>
    </xf>
    <xf numFmtId="0" fontId="64" fillId="15" borderId="26" xfId="25" applyFont="1" applyFill="1" applyBorder="1" applyAlignment="1">
      <alignment horizontal="right" vertical="center" wrapText="1"/>
    </xf>
    <xf numFmtId="0" fontId="65" fillId="16" borderId="27" xfId="25" applyFont="1" applyFill="1" applyBorder="1" applyAlignment="1">
      <alignment horizontal="left" vertical="center" wrapText="1"/>
    </xf>
    <xf numFmtId="2" fontId="65" fillId="16" borderId="28" xfId="25" applyNumberFormat="1" applyFont="1" applyFill="1" applyBorder="1" applyAlignment="1">
      <alignment horizontal="right" vertical="center" wrapText="1"/>
    </xf>
    <xf numFmtId="0" fontId="5" fillId="0" borderId="0" xfId="25" applyFont="1"/>
    <xf numFmtId="3" fontId="66" fillId="0" borderId="0" xfId="0" applyNumberFormat="1" applyFont="1" applyAlignment="1">
      <alignment horizontal="left" vertical="center" wrapText="1"/>
    </xf>
    <xf numFmtId="0" fontId="67" fillId="0" borderId="0" xfId="0" applyFont="1"/>
    <xf numFmtId="0" fontId="68" fillId="0" borderId="0" xfId="0" applyFont="1"/>
    <xf numFmtId="0" fontId="67" fillId="0" borderId="0" xfId="0" applyFont="1" applyAlignment="1">
      <alignment horizontal="left" indent="1"/>
    </xf>
    <xf numFmtId="2" fontId="67" fillId="0" borderId="0" xfId="0" applyNumberFormat="1" applyFont="1"/>
    <xf numFmtId="172" fontId="67" fillId="0" borderId="0" xfId="0" applyNumberFormat="1" applyFont="1"/>
    <xf numFmtId="2" fontId="68" fillId="0" borderId="0" xfId="0" applyNumberFormat="1" applyFont="1"/>
    <xf numFmtId="0" fontId="4" fillId="0" borderId="0" xfId="25" applyFont="1"/>
    <xf numFmtId="0" fontId="67" fillId="0" borderId="0" xfId="0" applyFont="1" applyAlignment="1">
      <alignment wrapText="1"/>
    </xf>
    <xf numFmtId="0" fontId="69" fillId="0" borderId="0" xfId="25" applyFont="1" applyAlignment="1">
      <alignment wrapText="1"/>
    </xf>
    <xf numFmtId="0" fontId="4" fillId="0" borderId="0" xfId="25" applyFont="1" applyAlignment="1">
      <alignment horizontal="right"/>
    </xf>
    <xf numFmtId="0" fontId="0" fillId="0" borderId="0" xfId="0" applyAlignment="1">
      <alignment vertical="center"/>
    </xf>
    <xf numFmtId="0" fontId="0" fillId="0" borderId="29" xfId="0" applyBorder="1" applyAlignment="1">
      <alignment horizontal="left"/>
    </xf>
    <xf numFmtId="167" fontId="0" fillId="0" borderId="29" xfId="0" applyNumberFormat="1" applyBorder="1"/>
    <xf numFmtId="43" fontId="0" fillId="0" borderId="29" xfId="0" applyNumberFormat="1" applyBorder="1" applyAlignment="1">
      <alignment horizontal="left"/>
    </xf>
    <xf numFmtId="0" fontId="0" fillId="0" borderId="29" xfId="0" applyBorder="1"/>
    <xf numFmtId="0" fontId="28" fillId="0" borderId="29" xfId="0" applyFont="1" applyBorder="1"/>
    <xf numFmtId="10" fontId="28" fillId="0" borderId="29" xfId="0" applyNumberFormat="1" applyFont="1" applyBorder="1"/>
    <xf numFmtId="10" fontId="0" fillId="0" borderId="29" xfId="0" applyNumberFormat="1" applyBorder="1"/>
    <xf numFmtId="2" fontId="0" fillId="0" borderId="29" xfId="0" applyNumberFormat="1" applyBorder="1"/>
    <xf numFmtId="0" fontId="0" fillId="0" borderId="29" xfId="0" applyBorder="1" applyAlignment="1">
      <alignment horizontal="right"/>
    </xf>
    <xf numFmtId="0" fontId="0" fillId="0" borderId="0" xfId="0" applyAlignment="1">
      <alignment horizontal="left" vertical="center"/>
    </xf>
    <xf numFmtId="0" fontId="73" fillId="0" borderId="0" xfId="0" applyFont="1" applyAlignment="1">
      <alignment horizontal="left" vertical="center" indent="1"/>
    </xf>
    <xf numFmtId="0" fontId="74" fillId="0" borderId="0" xfId="0" applyFont="1"/>
    <xf numFmtId="0" fontId="73" fillId="0" borderId="0" xfId="0" applyFont="1" applyAlignment="1">
      <alignment horizontal="left" vertical="center"/>
    </xf>
    <xf numFmtId="0" fontId="70" fillId="0" borderId="0" xfId="0" applyFont="1" applyAlignment="1">
      <alignment horizontal="left" vertical="center"/>
    </xf>
    <xf numFmtId="0" fontId="46" fillId="7" borderId="0" xfId="21" applyFont="1" applyFill="1"/>
    <xf numFmtId="166" fontId="0" fillId="7" borderId="0" xfId="0" applyNumberFormat="1" applyFill="1"/>
    <xf numFmtId="0" fontId="10" fillId="9" borderId="0" xfId="21" applyFill="1"/>
    <xf numFmtId="0" fontId="62" fillId="9" borderId="0" xfId="21" applyFont="1" applyFill="1" applyAlignment="1">
      <alignment horizontal="left"/>
    </xf>
    <xf numFmtId="17" fontId="29" fillId="9" borderId="0" xfId="0" applyNumberFormat="1" applyFont="1" applyFill="1"/>
    <xf numFmtId="17" fontId="17" fillId="9" borderId="0" xfId="0" applyNumberFormat="1" applyFont="1" applyFill="1" applyAlignment="1">
      <alignment horizontal="center" vertical="center"/>
    </xf>
    <xf numFmtId="17" fontId="17" fillId="9" borderId="0" xfId="0" applyNumberFormat="1" applyFont="1" applyFill="1" applyAlignment="1">
      <alignment horizontal="center"/>
    </xf>
    <xf numFmtId="0" fontId="17" fillId="9" borderId="0" xfId="0" applyFont="1" applyFill="1" applyAlignment="1">
      <alignment horizontal="right"/>
    </xf>
    <xf numFmtId="0" fontId="75" fillId="17" borderId="0" xfId="15" applyFont="1" applyFill="1"/>
    <xf numFmtId="0" fontId="76" fillId="17" borderId="0" xfId="15" applyFont="1" applyFill="1"/>
    <xf numFmtId="0" fontId="46" fillId="17" borderId="0" xfId="15" applyFont="1" applyFill="1"/>
    <xf numFmtId="0" fontId="37" fillId="7" borderId="0" xfId="15" applyFont="1" applyFill="1"/>
    <xf numFmtId="0" fontId="30" fillId="6" borderId="0" xfId="15" applyFont="1" applyFill="1"/>
    <xf numFmtId="10" fontId="30" fillId="6" borderId="0" xfId="15" applyNumberFormat="1" applyFont="1" applyFill="1"/>
    <xf numFmtId="0" fontId="17" fillId="9" borderId="0" xfId="15" applyFont="1" applyFill="1" applyAlignment="1">
      <alignment horizontal="center" vertical="center"/>
    </xf>
    <xf numFmtId="0" fontId="17" fillId="9" borderId="0" xfId="15" applyFont="1" applyFill="1" applyAlignment="1">
      <alignment horizontal="center" vertical="center" wrapText="1"/>
    </xf>
    <xf numFmtId="0" fontId="77" fillId="7" borderId="0" xfId="16" applyFont="1" applyFill="1" applyAlignment="1">
      <alignment horizontal="left" vertical="center"/>
    </xf>
    <xf numFmtId="0" fontId="3" fillId="0" borderId="0" xfId="17" applyFont="1"/>
    <xf numFmtId="0" fontId="46" fillId="9" borderId="0" xfId="21" applyFont="1" applyFill="1"/>
    <xf numFmtId="43" fontId="78" fillId="0" borderId="0" xfId="21" applyNumberFormat="1" applyFont="1" applyAlignment="1">
      <alignment horizontal="left"/>
    </xf>
    <xf numFmtId="0" fontId="79" fillId="0" borderId="0" xfId="21" applyFont="1" applyAlignment="1">
      <alignment horizontal="left"/>
    </xf>
    <xf numFmtId="0" fontId="79" fillId="0" borderId="0" xfId="21" applyFont="1"/>
    <xf numFmtId="0" fontId="0" fillId="0" borderId="0" xfId="15" applyFont="1"/>
    <xf numFmtId="0" fontId="80" fillId="0" borderId="0" xfId="15" applyFont="1"/>
    <xf numFmtId="0" fontId="81" fillId="0" borderId="0" xfId="15" applyFont="1"/>
    <xf numFmtId="0" fontId="81" fillId="0" borderId="0" xfId="0" applyFont="1"/>
    <xf numFmtId="0" fontId="17" fillId="9" borderId="0" xfId="15" applyFont="1" applyFill="1"/>
    <xf numFmtId="0" fontId="36" fillId="6" borderId="0" xfId="15" applyFill="1"/>
    <xf numFmtId="10" fontId="36" fillId="6" borderId="0" xfId="15" applyNumberFormat="1" applyFill="1"/>
    <xf numFmtId="10" fontId="18" fillId="6" borderId="0" xfId="15" applyNumberFormat="1" applyFont="1" applyFill="1" applyAlignment="1">
      <alignment horizontal="right" vertical="top"/>
    </xf>
    <xf numFmtId="0" fontId="16" fillId="18" borderId="0" xfId="15" applyFont="1" applyFill="1"/>
    <xf numFmtId="10" fontId="16" fillId="18" borderId="0" xfId="15" applyNumberFormat="1" applyFont="1" applyFill="1"/>
    <xf numFmtId="0" fontId="29" fillId="9" borderId="0" xfId="25" applyFont="1" applyFill="1"/>
    <xf numFmtId="0" fontId="38" fillId="0" borderId="0" xfId="25" applyFont="1"/>
    <xf numFmtId="10" fontId="0" fillId="6" borderId="0" xfId="0" applyNumberFormat="1" applyFill="1"/>
    <xf numFmtId="0" fontId="17" fillId="9" borderId="0" xfId="0" applyFont="1" applyFill="1" applyAlignment="1">
      <alignment vertical="center"/>
    </xf>
    <xf numFmtId="0" fontId="72" fillId="9" borderId="0" xfId="0" applyFont="1" applyFill="1" applyAlignment="1">
      <alignment horizontal="center" vertical="center" wrapText="1"/>
    </xf>
    <xf numFmtId="0" fontId="73" fillId="9" borderId="0" xfId="0" applyFont="1" applyFill="1" applyAlignment="1">
      <alignment horizontal="left" vertical="center"/>
    </xf>
    <xf numFmtId="0" fontId="0" fillId="9" borderId="0" xfId="0" applyFill="1" applyAlignment="1">
      <alignment horizontal="left" vertical="center"/>
    </xf>
    <xf numFmtId="0" fontId="29" fillId="9" borderId="19" xfId="15" applyFont="1" applyFill="1" applyBorder="1"/>
    <xf numFmtId="0" fontId="29" fillId="9" borderId="19" xfId="15" applyFont="1" applyFill="1" applyBorder="1" applyAlignment="1">
      <alignment horizontal="right"/>
    </xf>
    <xf numFmtId="0" fontId="29" fillId="9" borderId="6" xfId="15" applyFont="1" applyFill="1" applyBorder="1" applyAlignment="1">
      <alignment vertical="top"/>
    </xf>
    <xf numFmtId="0" fontId="29" fillId="9" borderId="6" xfId="15" applyFont="1" applyFill="1" applyBorder="1" applyAlignment="1">
      <alignment horizontal="right" vertical="top"/>
    </xf>
    <xf numFmtId="0" fontId="39" fillId="18" borderId="0" xfId="15" applyFont="1" applyFill="1"/>
    <xf numFmtId="10" fontId="37" fillId="18" borderId="0" xfId="15" applyNumberFormat="1" applyFont="1" applyFill="1"/>
    <xf numFmtId="2" fontId="37" fillId="18" borderId="0" xfId="15" applyNumberFormat="1" applyFont="1" applyFill="1"/>
    <xf numFmtId="0" fontId="29" fillId="9" borderId="0" xfId="15" applyFont="1" applyFill="1"/>
    <xf numFmtId="0" fontId="46" fillId="9" borderId="0" xfId="15" applyFont="1" applyFill="1"/>
    <xf numFmtId="0" fontId="29" fillId="9" borderId="17" xfId="15" applyFont="1" applyFill="1" applyBorder="1"/>
    <xf numFmtId="0" fontId="46" fillId="9" borderId="17" xfId="15" applyFont="1" applyFill="1" applyBorder="1"/>
    <xf numFmtId="0" fontId="10" fillId="0" borderId="30" xfId="21" applyBorder="1"/>
    <xf numFmtId="0" fontId="79" fillId="0" borderId="0" xfId="23" applyFont="1"/>
    <xf numFmtId="0" fontId="46" fillId="9" borderId="0" xfId="23" applyFont="1" applyFill="1"/>
    <xf numFmtId="179" fontId="84" fillId="0" borderId="0" xfId="23" applyNumberFormat="1" applyFont="1" applyAlignment="1">
      <alignment horizontal="right"/>
    </xf>
    <xf numFmtId="0" fontId="0" fillId="0" borderId="30" xfId="0" applyBorder="1"/>
    <xf numFmtId="43" fontId="78" fillId="0" borderId="0" xfId="21" applyNumberFormat="1" applyFont="1"/>
    <xf numFmtId="0" fontId="12" fillId="0" borderId="30" xfId="17" applyBorder="1" applyAlignment="1">
      <alignment wrapText="1"/>
    </xf>
    <xf numFmtId="0" fontId="12" fillId="0" borderId="30" xfId="17" applyBorder="1"/>
    <xf numFmtId="0" fontId="17" fillId="7" borderId="0" xfId="0" applyFont="1" applyFill="1" applyAlignment="1">
      <alignment horizontal="right"/>
    </xf>
    <xf numFmtId="0" fontId="17" fillId="7" borderId="0" xfId="0" applyFont="1" applyFill="1" applyAlignment="1">
      <alignment horizontal="left"/>
    </xf>
    <xf numFmtId="0" fontId="0" fillId="7" borderId="0" xfId="0" applyFill="1" applyAlignment="1">
      <alignment horizontal="left"/>
    </xf>
    <xf numFmtId="168" fontId="0" fillId="7" borderId="0" xfId="0" applyNumberFormat="1" applyFill="1" applyAlignment="1">
      <alignment horizontal="right"/>
    </xf>
    <xf numFmtId="4" fontId="0" fillId="7" borderId="0" xfId="0" applyNumberFormat="1" applyFill="1"/>
    <xf numFmtId="10" fontId="0" fillId="7" borderId="0" xfId="0" applyNumberFormat="1" applyFill="1"/>
    <xf numFmtId="171" fontId="0" fillId="7" borderId="0" xfId="0" applyNumberFormat="1" applyFill="1" applyAlignment="1">
      <alignment horizontal="right"/>
    </xf>
    <xf numFmtId="0" fontId="12" fillId="7" borderId="0" xfId="17" applyFill="1"/>
    <xf numFmtId="0" fontId="2" fillId="0" borderId="0" xfId="21" applyFont="1" applyAlignment="1">
      <alignment horizontal="left"/>
    </xf>
    <xf numFmtId="0" fontId="85" fillId="7" borderId="0" xfId="0" applyFont="1" applyFill="1"/>
    <xf numFmtId="0" fontId="16" fillId="7" borderId="0" xfId="0" applyFont="1" applyFill="1"/>
    <xf numFmtId="0" fontId="16" fillId="0" borderId="31" xfId="0" applyFont="1" applyBorder="1" applyAlignment="1">
      <alignment vertical="center"/>
    </xf>
    <xf numFmtId="0" fontId="0" fillId="0" borderId="31" xfId="0" applyBorder="1" applyAlignment="1">
      <alignment vertical="center"/>
    </xf>
    <xf numFmtId="0" fontId="16" fillId="0" borderId="32" xfId="0" applyFont="1" applyBorder="1" applyAlignment="1">
      <alignment vertical="center"/>
    </xf>
    <xf numFmtId="0" fontId="0" fillId="0" borderId="32" xfId="0" applyBorder="1" applyAlignment="1">
      <alignment vertical="center"/>
    </xf>
    <xf numFmtId="0" fontId="16" fillId="0" borderId="33" xfId="0" applyFont="1" applyBorder="1" applyAlignment="1">
      <alignment vertical="center"/>
    </xf>
    <xf numFmtId="0" fontId="0" fillId="0" borderId="33" xfId="0" applyBorder="1" applyAlignment="1">
      <alignment vertical="center"/>
    </xf>
    <xf numFmtId="0" fontId="86" fillId="0" borderId="0" xfId="0" applyFont="1"/>
    <xf numFmtId="0" fontId="87" fillId="0" borderId="32" xfId="2" applyFont="1" applyBorder="1" applyAlignment="1" applyProtection="1">
      <alignment vertical="center"/>
    </xf>
    <xf numFmtId="0" fontId="87" fillId="0" borderId="33" xfId="2" applyFont="1" applyBorder="1" applyAlignment="1" applyProtection="1">
      <alignment vertical="center"/>
    </xf>
    <xf numFmtId="0" fontId="87" fillId="0" borderId="31" xfId="2" applyFont="1" applyBorder="1" applyAlignment="1" applyProtection="1">
      <alignment vertical="center"/>
    </xf>
    <xf numFmtId="0" fontId="0" fillId="0" borderId="32" xfId="0" applyBorder="1"/>
    <xf numFmtId="43" fontId="19" fillId="0" borderId="0" xfId="2" applyNumberFormat="1" applyBorder="1" applyAlignment="1" applyProtection="1">
      <alignment horizontal="center"/>
    </xf>
    <xf numFmtId="43" fontId="17" fillId="4" borderId="0" xfId="5" applyNumberFormat="1" applyFont="1" applyBorder="1" applyAlignment="1">
      <alignment horizontal="center"/>
    </xf>
    <xf numFmtId="0" fontId="17" fillId="9" borderId="0" xfId="0" applyFont="1" applyFill="1" applyAlignment="1">
      <alignment horizontal="center" vertical="center"/>
    </xf>
    <xf numFmtId="0" fontId="54" fillId="9" borderId="0" xfId="21" applyFont="1" applyFill="1" applyAlignment="1">
      <alignment horizontal="center"/>
    </xf>
    <xf numFmtId="0" fontId="60" fillId="0" borderId="0" xfId="21" applyFont="1" applyAlignment="1">
      <alignment horizontal="left" vertical="center" wrapText="1"/>
    </xf>
    <xf numFmtId="0" fontId="17" fillId="9" borderId="0" xfId="0" applyFont="1" applyFill="1" applyAlignment="1">
      <alignment horizontal="center"/>
    </xf>
    <xf numFmtId="0" fontId="0" fillId="9" borderId="0" xfId="0" applyFill="1" applyAlignment="1">
      <alignment horizontal="center"/>
    </xf>
    <xf numFmtId="2" fontId="0" fillId="0" borderId="29" xfId="0" applyNumberFormat="1" applyBorder="1" applyAlignment="1">
      <alignment horizontal="right"/>
    </xf>
    <xf numFmtId="0" fontId="0" fillId="0" borderId="29" xfId="0" applyBorder="1" applyAlignment="1">
      <alignment horizontal="right"/>
    </xf>
    <xf numFmtId="4" fontId="0" fillId="0" borderId="29" xfId="0" applyNumberFormat="1" applyBorder="1" applyAlignment="1">
      <alignment horizontal="right"/>
    </xf>
    <xf numFmtId="0" fontId="0" fillId="0" borderId="29" xfId="0" applyBorder="1" applyAlignment="1">
      <alignment horizontal="center"/>
    </xf>
    <xf numFmtId="0" fontId="71" fillId="9" borderId="0" xfId="0" applyFont="1" applyFill="1" applyAlignment="1">
      <alignment horizontal="center" wrapText="1"/>
    </xf>
    <xf numFmtId="0" fontId="17" fillId="9" borderId="0" xfId="0" applyFont="1" applyFill="1" applyAlignment="1">
      <alignment horizontal="center" vertical="center" wrapText="1"/>
    </xf>
    <xf numFmtId="0" fontId="29" fillId="9" borderId="0" xfId="0" applyFont="1" applyFill="1" applyAlignment="1">
      <alignment horizontal="center"/>
    </xf>
    <xf numFmtId="0" fontId="16" fillId="0" borderId="0" xfId="0" applyFont="1" applyAlignment="1">
      <alignment horizontal="center"/>
    </xf>
    <xf numFmtId="0" fontId="44" fillId="9" borderId="0" xfId="15" applyFont="1" applyFill="1" applyAlignment="1">
      <alignment horizontal="center"/>
    </xf>
    <xf numFmtId="0" fontId="17" fillId="9" borderId="0" xfId="15" applyFont="1" applyFill="1" applyAlignment="1">
      <alignment horizontal="center"/>
    </xf>
    <xf numFmtId="0" fontId="29" fillId="9" borderId="21" xfId="17" applyFont="1" applyFill="1" applyBorder="1" applyAlignment="1">
      <alignment horizontal="center"/>
    </xf>
    <xf numFmtId="0" fontId="51" fillId="0" borderId="0" xfId="17" applyFont="1" applyAlignment="1">
      <alignment horizontal="center"/>
    </xf>
    <xf numFmtId="0" fontId="57" fillId="0" borderId="0" xfId="21" applyFont="1" applyAlignment="1">
      <alignment horizontal="left" vertical="center" wrapText="1"/>
    </xf>
    <xf numFmtId="0" fontId="56" fillId="0" borderId="0" xfId="21" applyFont="1" applyAlignment="1">
      <alignment horizontal="left" vertical="center" wrapText="1"/>
    </xf>
    <xf numFmtId="0" fontId="83" fillId="0" borderId="0" xfId="23" applyFont="1" applyAlignment="1">
      <alignment horizontal="center"/>
    </xf>
    <xf numFmtId="0" fontId="79" fillId="0" borderId="0" xfId="23" applyFont="1" applyAlignment="1">
      <alignment horizontal="center"/>
    </xf>
    <xf numFmtId="0" fontId="54" fillId="9" borderId="0" xfId="23" applyFont="1" applyFill="1" applyAlignment="1">
      <alignment horizontal="center"/>
    </xf>
  </cellXfs>
  <cellStyles count="26">
    <cellStyle name="60% - Accent1" xfId="3" builtinId="32"/>
    <cellStyle name="60% - Accent3" xfId="4" builtinId="40"/>
    <cellStyle name="Accent6" xfId="5" builtinId="49"/>
    <cellStyle name="Accent6 2" xfId="11" xr:uid="{4DB17455-0E39-43C4-861E-EED153451545}"/>
    <cellStyle name="Comma" xfId="1" builtinId="3"/>
    <cellStyle name="Comma 2" xfId="9" xr:uid="{0F295B52-77E0-40DC-A74E-45C26F77BD4E}"/>
    <cellStyle name="Hyperlink" xfId="2" builtinId="8"/>
    <cellStyle name="Hyperlink 2" xfId="10" xr:uid="{5D46A000-1C85-4179-A88E-CBEC5F383B14}"/>
    <cellStyle name="Hyperlink 3" xfId="16" xr:uid="{279ECD37-4703-49CB-B29D-A805879B0BD5}"/>
    <cellStyle name="Normal" xfId="0" builtinId="0"/>
    <cellStyle name="Normal 10" xfId="25" xr:uid="{B693A5D3-2A24-483F-A89B-0F46285B7CBA}"/>
    <cellStyle name="Normal 2" xfId="14" xr:uid="{1F63C3BE-1802-40BC-840B-B70FE5C060F3}"/>
    <cellStyle name="Normal 3" xfId="12" xr:uid="{99D69B4B-85F6-4272-BE99-822ADECD2C33}"/>
    <cellStyle name="Normal 4" xfId="7" xr:uid="{47B08EBB-DC69-4AC9-8717-8CAA33DAC7DC}"/>
    <cellStyle name="Normal 5" xfId="15" xr:uid="{B499AFE5-23A2-428B-BC82-25D0C426F9D8}"/>
    <cellStyle name="Normal 6" xfId="17" xr:uid="{C290355D-BF57-475F-A33D-FAB38AC22331}"/>
    <cellStyle name="Normal 7" xfId="19" xr:uid="{F7F57ACA-8DCA-4986-96CD-FBEC68819BDD}"/>
    <cellStyle name="Normal 8" xfId="21" xr:uid="{FA5D3674-3577-4843-A061-E4A63FAC3887}"/>
    <cellStyle name="Normal 9" xfId="23" xr:uid="{6210E637-6CCC-40DB-B5AA-547142F53FA2}"/>
    <cellStyle name="Percent" xfId="6" builtinId="5"/>
    <cellStyle name="Percent 2" xfId="8" xr:uid="{BE26B4BC-13BB-4C47-AFEF-F0A4BF2BFB00}"/>
    <cellStyle name="Percent 3" xfId="13" xr:uid="{C5DF686A-4940-49F6-9598-1DFCBF0CB495}"/>
    <cellStyle name="Percent 4" xfId="18" xr:uid="{5148C2A4-FA10-4B32-AF04-7EEBDC58D793}"/>
    <cellStyle name="Percent 5" xfId="20" xr:uid="{A392C03D-5B2F-42A9-B6B4-98A0646FEEBA}"/>
    <cellStyle name="Percent 6" xfId="22" xr:uid="{9E32D54A-1E3E-4F6F-B7A7-AFF63911550B}"/>
    <cellStyle name="Percent 7" xfId="24" xr:uid="{B417F366-936A-447E-BC35-77C0949F87E7}"/>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1467B3"/>
      <color rgb="FF0275D8"/>
      <color rgb="FF2413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'[1]TAMO Historical Data (6)'!$B$1</c:f>
              <c:strCache>
                <c:ptCount val="1"/>
                <c:pt idx="0">
                  <c:v>#REF!</c:v>
                </c:pt>
              </c:strCache>
            </c:strRef>
          </c:tx>
          <c:spPr>
            <a:ln w="28575" cap="rnd">
              <a:solidFill>
                <a:schemeClr val="accent4">
                  <a:lumMod val="60000"/>
                  <a:lumOff val="40000"/>
                </a:schemeClr>
              </a:solidFill>
              <a:round/>
            </a:ln>
            <a:effectLst/>
          </c:spPr>
          <c:marker>
            <c:symbol val="none"/>
          </c:marker>
          <c:dPt>
            <c:idx val="180"/>
            <c:marker>
              <c:symbol val="none"/>
            </c:marker>
            <c:bubble3D val="0"/>
            <c:extLst>
              <c:ext xmlns:c16="http://schemas.microsoft.com/office/drawing/2014/chart" uri="{C3380CC4-5D6E-409C-BE32-E72D297353CC}">
                <c16:uniqueId val="{00000004-97CC-48AA-AFA7-53D83F0310B2}"/>
              </c:ext>
            </c:extLst>
          </c:dPt>
          <c:dPt>
            <c:idx val="652"/>
            <c:marker>
              <c:symbol val="none"/>
            </c:marker>
            <c:bubble3D val="0"/>
            <c:spPr>
              <a:ln w="28575" cap="rnd">
                <a:solidFill>
                  <a:schemeClr val="accent4">
                    <a:lumMod val="60000"/>
                    <a:lumOff val="40000"/>
                  </a:schemeClr>
                </a:solidFill>
                <a:round/>
              </a:ln>
              <a:effectLst/>
            </c:spPr>
            <c:extLst>
              <c:ext xmlns:c16="http://schemas.microsoft.com/office/drawing/2014/chart" uri="{C3380CC4-5D6E-409C-BE32-E72D297353CC}">
                <c16:uniqueId val="{00000003-C251-49FA-925C-33CEE7BF1F95}"/>
              </c:ext>
            </c:extLst>
          </c:dPt>
          <c:dPt>
            <c:idx val="1007"/>
            <c:marker>
              <c:symbol val="none"/>
            </c:marker>
            <c:bubble3D val="0"/>
            <c:spPr>
              <a:ln w="28575" cap="rnd">
                <a:solidFill>
                  <a:schemeClr val="accent4">
                    <a:lumMod val="60000"/>
                    <a:lumOff val="40000"/>
                  </a:schemeClr>
                </a:solidFill>
                <a:round/>
              </a:ln>
              <a:effectLst/>
            </c:spPr>
            <c:extLst>
              <c:ext xmlns:c16="http://schemas.microsoft.com/office/drawing/2014/chart" uri="{C3380CC4-5D6E-409C-BE32-E72D297353CC}">
                <c16:uniqueId val="{00000002-C251-49FA-925C-33CEE7BF1F95}"/>
              </c:ext>
            </c:extLst>
          </c:dPt>
          <c:cat>
            <c:numRef>
              <c:f>'[1]TAMO Historical Data (6)'!$A$2:$A$1243</c:f>
              <c:numCache>
                <c:formatCode>General</c:formatCode>
                <c:ptCount val="1242"/>
                <c:pt idx="0">
                  <c:v>44063</c:v>
                </c:pt>
                <c:pt idx="1">
                  <c:v>44064</c:v>
                </c:pt>
                <c:pt idx="2">
                  <c:v>44067</c:v>
                </c:pt>
                <c:pt idx="3">
                  <c:v>44068</c:v>
                </c:pt>
                <c:pt idx="4">
                  <c:v>44069</c:v>
                </c:pt>
                <c:pt idx="5">
                  <c:v>44070</c:v>
                </c:pt>
                <c:pt idx="6">
                  <c:v>44071</c:v>
                </c:pt>
                <c:pt idx="7">
                  <c:v>44074</c:v>
                </c:pt>
                <c:pt idx="8">
                  <c:v>44075</c:v>
                </c:pt>
                <c:pt idx="9">
                  <c:v>44076</c:v>
                </c:pt>
                <c:pt idx="10">
                  <c:v>44077</c:v>
                </c:pt>
                <c:pt idx="11">
                  <c:v>44078</c:v>
                </c:pt>
                <c:pt idx="12">
                  <c:v>44081</c:v>
                </c:pt>
                <c:pt idx="13">
                  <c:v>44082</c:v>
                </c:pt>
                <c:pt idx="14">
                  <c:v>44083</c:v>
                </c:pt>
                <c:pt idx="15">
                  <c:v>44084</c:v>
                </c:pt>
                <c:pt idx="16">
                  <c:v>44085</c:v>
                </c:pt>
                <c:pt idx="17">
                  <c:v>44088</c:v>
                </c:pt>
                <c:pt idx="18">
                  <c:v>44089</c:v>
                </c:pt>
                <c:pt idx="19">
                  <c:v>44090</c:v>
                </c:pt>
                <c:pt idx="20">
                  <c:v>44091</c:v>
                </c:pt>
                <c:pt idx="21">
                  <c:v>44092</c:v>
                </c:pt>
                <c:pt idx="22">
                  <c:v>44095</c:v>
                </c:pt>
                <c:pt idx="23">
                  <c:v>44096</c:v>
                </c:pt>
                <c:pt idx="24">
                  <c:v>44097</c:v>
                </c:pt>
                <c:pt idx="25">
                  <c:v>44098</c:v>
                </c:pt>
                <c:pt idx="26">
                  <c:v>44099</c:v>
                </c:pt>
                <c:pt idx="27">
                  <c:v>44102</c:v>
                </c:pt>
                <c:pt idx="28">
                  <c:v>44103</c:v>
                </c:pt>
                <c:pt idx="29">
                  <c:v>44104</c:v>
                </c:pt>
                <c:pt idx="30">
                  <c:v>44105</c:v>
                </c:pt>
                <c:pt idx="31">
                  <c:v>44109</c:v>
                </c:pt>
                <c:pt idx="32">
                  <c:v>44110</c:v>
                </c:pt>
                <c:pt idx="33">
                  <c:v>44111</c:v>
                </c:pt>
                <c:pt idx="34">
                  <c:v>44112</c:v>
                </c:pt>
                <c:pt idx="35">
                  <c:v>44113</c:v>
                </c:pt>
                <c:pt idx="36">
                  <c:v>44116</c:v>
                </c:pt>
                <c:pt idx="37">
                  <c:v>44117</c:v>
                </c:pt>
                <c:pt idx="38">
                  <c:v>44118</c:v>
                </c:pt>
                <c:pt idx="39">
                  <c:v>44119</c:v>
                </c:pt>
                <c:pt idx="40">
                  <c:v>44120</c:v>
                </c:pt>
                <c:pt idx="41">
                  <c:v>44123</c:v>
                </c:pt>
                <c:pt idx="42">
                  <c:v>44124</c:v>
                </c:pt>
                <c:pt idx="43">
                  <c:v>44125</c:v>
                </c:pt>
                <c:pt idx="44">
                  <c:v>44126</c:v>
                </c:pt>
                <c:pt idx="45">
                  <c:v>44127</c:v>
                </c:pt>
                <c:pt idx="46">
                  <c:v>44130</c:v>
                </c:pt>
                <c:pt idx="47">
                  <c:v>44131</c:v>
                </c:pt>
                <c:pt idx="48">
                  <c:v>44132</c:v>
                </c:pt>
                <c:pt idx="49">
                  <c:v>44133</c:v>
                </c:pt>
                <c:pt idx="50">
                  <c:v>44134</c:v>
                </c:pt>
                <c:pt idx="51">
                  <c:v>44137</c:v>
                </c:pt>
                <c:pt idx="52">
                  <c:v>44138</c:v>
                </c:pt>
                <c:pt idx="53">
                  <c:v>44139</c:v>
                </c:pt>
                <c:pt idx="54">
                  <c:v>44140</c:v>
                </c:pt>
                <c:pt idx="55">
                  <c:v>44141</c:v>
                </c:pt>
                <c:pt idx="56">
                  <c:v>44144</c:v>
                </c:pt>
                <c:pt idx="57">
                  <c:v>44145</c:v>
                </c:pt>
                <c:pt idx="58">
                  <c:v>44146</c:v>
                </c:pt>
                <c:pt idx="59">
                  <c:v>44147</c:v>
                </c:pt>
                <c:pt idx="60">
                  <c:v>44148</c:v>
                </c:pt>
                <c:pt idx="61">
                  <c:v>44152</c:v>
                </c:pt>
                <c:pt idx="62">
                  <c:v>44153</c:v>
                </c:pt>
                <c:pt idx="63">
                  <c:v>44154</c:v>
                </c:pt>
                <c:pt idx="64">
                  <c:v>44155</c:v>
                </c:pt>
                <c:pt idx="65">
                  <c:v>44158</c:v>
                </c:pt>
                <c:pt idx="66">
                  <c:v>44159</c:v>
                </c:pt>
                <c:pt idx="67">
                  <c:v>44160</c:v>
                </c:pt>
                <c:pt idx="68">
                  <c:v>44161</c:v>
                </c:pt>
                <c:pt idx="69">
                  <c:v>44162</c:v>
                </c:pt>
                <c:pt idx="70">
                  <c:v>44166</c:v>
                </c:pt>
                <c:pt idx="71">
                  <c:v>44167</c:v>
                </c:pt>
                <c:pt idx="72">
                  <c:v>44168</c:v>
                </c:pt>
                <c:pt idx="73">
                  <c:v>44169</c:v>
                </c:pt>
                <c:pt idx="74">
                  <c:v>44172</c:v>
                </c:pt>
                <c:pt idx="75">
                  <c:v>44173</c:v>
                </c:pt>
                <c:pt idx="76">
                  <c:v>44174</c:v>
                </c:pt>
                <c:pt idx="77">
                  <c:v>44175</c:v>
                </c:pt>
                <c:pt idx="78">
                  <c:v>44176</c:v>
                </c:pt>
                <c:pt idx="79">
                  <c:v>44179</c:v>
                </c:pt>
                <c:pt idx="80">
                  <c:v>44180</c:v>
                </c:pt>
                <c:pt idx="81">
                  <c:v>44181</c:v>
                </c:pt>
                <c:pt idx="82">
                  <c:v>44182</c:v>
                </c:pt>
                <c:pt idx="83">
                  <c:v>44183</c:v>
                </c:pt>
                <c:pt idx="84">
                  <c:v>44186</c:v>
                </c:pt>
                <c:pt idx="85">
                  <c:v>44187</c:v>
                </c:pt>
                <c:pt idx="86">
                  <c:v>44188</c:v>
                </c:pt>
                <c:pt idx="87">
                  <c:v>44189</c:v>
                </c:pt>
                <c:pt idx="88">
                  <c:v>44193</c:v>
                </c:pt>
                <c:pt idx="89">
                  <c:v>44194</c:v>
                </c:pt>
                <c:pt idx="90">
                  <c:v>44195</c:v>
                </c:pt>
                <c:pt idx="91">
                  <c:v>44196</c:v>
                </c:pt>
                <c:pt idx="92">
                  <c:v>44197</c:v>
                </c:pt>
                <c:pt idx="93">
                  <c:v>44200</c:v>
                </c:pt>
                <c:pt idx="94">
                  <c:v>44201</c:v>
                </c:pt>
                <c:pt idx="95">
                  <c:v>44202</c:v>
                </c:pt>
                <c:pt idx="96">
                  <c:v>44203</c:v>
                </c:pt>
                <c:pt idx="97">
                  <c:v>44204</c:v>
                </c:pt>
                <c:pt idx="98">
                  <c:v>44207</c:v>
                </c:pt>
                <c:pt idx="99">
                  <c:v>44208</c:v>
                </c:pt>
                <c:pt idx="100">
                  <c:v>44209</c:v>
                </c:pt>
                <c:pt idx="101">
                  <c:v>44210</c:v>
                </c:pt>
                <c:pt idx="102">
                  <c:v>44211</c:v>
                </c:pt>
                <c:pt idx="103">
                  <c:v>44214</c:v>
                </c:pt>
                <c:pt idx="104">
                  <c:v>44215</c:v>
                </c:pt>
                <c:pt idx="105">
                  <c:v>44216</c:v>
                </c:pt>
                <c:pt idx="106">
                  <c:v>44217</c:v>
                </c:pt>
                <c:pt idx="107">
                  <c:v>44218</c:v>
                </c:pt>
                <c:pt idx="108">
                  <c:v>44221</c:v>
                </c:pt>
                <c:pt idx="109">
                  <c:v>44223</c:v>
                </c:pt>
                <c:pt idx="110">
                  <c:v>44224</c:v>
                </c:pt>
                <c:pt idx="111">
                  <c:v>44225</c:v>
                </c:pt>
                <c:pt idx="112">
                  <c:v>44228</c:v>
                </c:pt>
                <c:pt idx="113">
                  <c:v>44229</c:v>
                </c:pt>
                <c:pt idx="114">
                  <c:v>44230</c:v>
                </c:pt>
                <c:pt idx="115">
                  <c:v>44231</c:v>
                </c:pt>
                <c:pt idx="116">
                  <c:v>44232</c:v>
                </c:pt>
                <c:pt idx="117">
                  <c:v>44235</c:v>
                </c:pt>
                <c:pt idx="118">
                  <c:v>44236</c:v>
                </c:pt>
                <c:pt idx="119">
                  <c:v>44237</c:v>
                </c:pt>
                <c:pt idx="120">
                  <c:v>44238</c:v>
                </c:pt>
                <c:pt idx="121">
                  <c:v>44239</c:v>
                </c:pt>
                <c:pt idx="122">
                  <c:v>44242</c:v>
                </c:pt>
                <c:pt idx="123">
                  <c:v>44243</c:v>
                </c:pt>
                <c:pt idx="124">
                  <c:v>44244</c:v>
                </c:pt>
                <c:pt idx="125">
                  <c:v>44245</c:v>
                </c:pt>
                <c:pt idx="126">
                  <c:v>44246</c:v>
                </c:pt>
                <c:pt idx="127">
                  <c:v>44249</c:v>
                </c:pt>
                <c:pt idx="128">
                  <c:v>44250</c:v>
                </c:pt>
                <c:pt idx="129">
                  <c:v>44251</c:v>
                </c:pt>
                <c:pt idx="130">
                  <c:v>44252</c:v>
                </c:pt>
                <c:pt idx="131">
                  <c:v>44253</c:v>
                </c:pt>
                <c:pt idx="132">
                  <c:v>44256</c:v>
                </c:pt>
                <c:pt idx="133">
                  <c:v>44257</c:v>
                </c:pt>
                <c:pt idx="134">
                  <c:v>44258</c:v>
                </c:pt>
                <c:pt idx="135">
                  <c:v>44259</c:v>
                </c:pt>
                <c:pt idx="136">
                  <c:v>44260</c:v>
                </c:pt>
                <c:pt idx="137">
                  <c:v>44263</c:v>
                </c:pt>
                <c:pt idx="138">
                  <c:v>44264</c:v>
                </c:pt>
                <c:pt idx="139">
                  <c:v>44265</c:v>
                </c:pt>
                <c:pt idx="140">
                  <c:v>44267</c:v>
                </c:pt>
                <c:pt idx="141">
                  <c:v>44270</c:v>
                </c:pt>
                <c:pt idx="142">
                  <c:v>44271</c:v>
                </c:pt>
                <c:pt idx="143">
                  <c:v>44272</c:v>
                </c:pt>
                <c:pt idx="144">
                  <c:v>44273</c:v>
                </c:pt>
                <c:pt idx="145">
                  <c:v>44274</c:v>
                </c:pt>
                <c:pt idx="146">
                  <c:v>44277</c:v>
                </c:pt>
                <c:pt idx="147">
                  <c:v>44278</c:v>
                </c:pt>
                <c:pt idx="148">
                  <c:v>44279</c:v>
                </c:pt>
                <c:pt idx="149">
                  <c:v>44280</c:v>
                </c:pt>
                <c:pt idx="150">
                  <c:v>44281</c:v>
                </c:pt>
                <c:pt idx="151">
                  <c:v>44285</c:v>
                </c:pt>
                <c:pt idx="152">
                  <c:v>44286</c:v>
                </c:pt>
                <c:pt idx="153">
                  <c:v>44287</c:v>
                </c:pt>
                <c:pt idx="154">
                  <c:v>44291</c:v>
                </c:pt>
                <c:pt idx="155">
                  <c:v>44292</c:v>
                </c:pt>
                <c:pt idx="156">
                  <c:v>44293</c:v>
                </c:pt>
                <c:pt idx="157">
                  <c:v>44294</c:v>
                </c:pt>
                <c:pt idx="158">
                  <c:v>44295</c:v>
                </c:pt>
                <c:pt idx="159">
                  <c:v>44298</c:v>
                </c:pt>
                <c:pt idx="160">
                  <c:v>44299</c:v>
                </c:pt>
                <c:pt idx="161">
                  <c:v>44301</c:v>
                </c:pt>
                <c:pt idx="162">
                  <c:v>44302</c:v>
                </c:pt>
                <c:pt idx="163">
                  <c:v>44305</c:v>
                </c:pt>
                <c:pt idx="164">
                  <c:v>44306</c:v>
                </c:pt>
                <c:pt idx="165">
                  <c:v>44308</c:v>
                </c:pt>
                <c:pt idx="166">
                  <c:v>44309</c:v>
                </c:pt>
                <c:pt idx="167">
                  <c:v>44312</c:v>
                </c:pt>
                <c:pt idx="168">
                  <c:v>44313</c:v>
                </c:pt>
                <c:pt idx="169">
                  <c:v>44314</c:v>
                </c:pt>
                <c:pt idx="170">
                  <c:v>44315</c:v>
                </c:pt>
                <c:pt idx="171">
                  <c:v>44316</c:v>
                </c:pt>
                <c:pt idx="172">
                  <c:v>44319</c:v>
                </c:pt>
                <c:pt idx="173">
                  <c:v>44320</c:v>
                </c:pt>
                <c:pt idx="174">
                  <c:v>44321</c:v>
                </c:pt>
                <c:pt idx="175">
                  <c:v>44322</c:v>
                </c:pt>
                <c:pt idx="176">
                  <c:v>44323</c:v>
                </c:pt>
                <c:pt idx="177">
                  <c:v>44326</c:v>
                </c:pt>
                <c:pt idx="178">
                  <c:v>44327</c:v>
                </c:pt>
                <c:pt idx="179">
                  <c:v>44328</c:v>
                </c:pt>
                <c:pt idx="180">
                  <c:v>44330</c:v>
                </c:pt>
                <c:pt idx="181">
                  <c:v>44333</c:v>
                </c:pt>
                <c:pt idx="182">
                  <c:v>44334</c:v>
                </c:pt>
                <c:pt idx="183">
                  <c:v>44335</c:v>
                </c:pt>
                <c:pt idx="184">
                  <c:v>44336</c:v>
                </c:pt>
                <c:pt idx="185">
                  <c:v>44337</c:v>
                </c:pt>
                <c:pt idx="186">
                  <c:v>44340</c:v>
                </c:pt>
                <c:pt idx="187">
                  <c:v>44341</c:v>
                </c:pt>
                <c:pt idx="188">
                  <c:v>44342</c:v>
                </c:pt>
                <c:pt idx="189">
                  <c:v>44343</c:v>
                </c:pt>
                <c:pt idx="190">
                  <c:v>44344</c:v>
                </c:pt>
                <c:pt idx="191">
                  <c:v>44347</c:v>
                </c:pt>
                <c:pt idx="192">
                  <c:v>44348</c:v>
                </c:pt>
                <c:pt idx="193">
                  <c:v>44349</c:v>
                </c:pt>
                <c:pt idx="194">
                  <c:v>44350</c:v>
                </c:pt>
                <c:pt idx="195">
                  <c:v>44351</c:v>
                </c:pt>
                <c:pt idx="196">
                  <c:v>44354</c:v>
                </c:pt>
                <c:pt idx="197">
                  <c:v>44355</c:v>
                </c:pt>
                <c:pt idx="198">
                  <c:v>44356</c:v>
                </c:pt>
                <c:pt idx="199">
                  <c:v>44357</c:v>
                </c:pt>
                <c:pt idx="200">
                  <c:v>44358</c:v>
                </c:pt>
                <c:pt idx="201">
                  <c:v>44361</c:v>
                </c:pt>
                <c:pt idx="202">
                  <c:v>44362</c:v>
                </c:pt>
                <c:pt idx="203">
                  <c:v>44363</c:v>
                </c:pt>
                <c:pt idx="204">
                  <c:v>44364</c:v>
                </c:pt>
                <c:pt idx="205">
                  <c:v>44365</c:v>
                </c:pt>
                <c:pt idx="206">
                  <c:v>44368</c:v>
                </c:pt>
                <c:pt idx="207">
                  <c:v>44369</c:v>
                </c:pt>
                <c:pt idx="208">
                  <c:v>44370</c:v>
                </c:pt>
                <c:pt idx="209">
                  <c:v>44371</c:v>
                </c:pt>
                <c:pt idx="210">
                  <c:v>44372</c:v>
                </c:pt>
                <c:pt idx="211">
                  <c:v>44375</c:v>
                </c:pt>
                <c:pt idx="212">
                  <c:v>44376</c:v>
                </c:pt>
                <c:pt idx="213">
                  <c:v>44377</c:v>
                </c:pt>
                <c:pt idx="214">
                  <c:v>44378</c:v>
                </c:pt>
                <c:pt idx="215">
                  <c:v>44379</c:v>
                </c:pt>
                <c:pt idx="216">
                  <c:v>44382</c:v>
                </c:pt>
                <c:pt idx="217">
                  <c:v>44383</c:v>
                </c:pt>
                <c:pt idx="218">
                  <c:v>44384</c:v>
                </c:pt>
                <c:pt idx="219">
                  <c:v>44385</c:v>
                </c:pt>
                <c:pt idx="220">
                  <c:v>44386</c:v>
                </c:pt>
                <c:pt idx="221">
                  <c:v>44389</c:v>
                </c:pt>
                <c:pt idx="222">
                  <c:v>44390</c:v>
                </c:pt>
                <c:pt idx="223">
                  <c:v>44391</c:v>
                </c:pt>
                <c:pt idx="224">
                  <c:v>44392</c:v>
                </c:pt>
                <c:pt idx="225">
                  <c:v>44393</c:v>
                </c:pt>
                <c:pt idx="226">
                  <c:v>44396</c:v>
                </c:pt>
                <c:pt idx="227">
                  <c:v>44397</c:v>
                </c:pt>
                <c:pt idx="228">
                  <c:v>44399</c:v>
                </c:pt>
                <c:pt idx="229">
                  <c:v>44400</c:v>
                </c:pt>
                <c:pt idx="230">
                  <c:v>44403</c:v>
                </c:pt>
                <c:pt idx="231">
                  <c:v>44404</c:v>
                </c:pt>
                <c:pt idx="232">
                  <c:v>44405</c:v>
                </c:pt>
                <c:pt idx="233">
                  <c:v>44406</c:v>
                </c:pt>
                <c:pt idx="234">
                  <c:v>44407</c:v>
                </c:pt>
                <c:pt idx="235">
                  <c:v>44410</c:v>
                </c:pt>
                <c:pt idx="236">
                  <c:v>44411</c:v>
                </c:pt>
                <c:pt idx="237">
                  <c:v>44412</c:v>
                </c:pt>
                <c:pt idx="238">
                  <c:v>44413</c:v>
                </c:pt>
                <c:pt idx="239">
                  <c:v>44414</c:v>
                </c:pt>
                <c:pt idx="240">
                  <c:v>44417</c:v>
                </c:pt>
                <c:pt idx="241">
                  <c:v>44418</c:v>
                </c:pt>
                <c:pt idx="242">
                  <c:v>44419</c:v>
                </c:pt>
                <c:pt idx="243">
                  <c:v>44420</c:v>
                </c:pt>
                <c:pt idx="244">
                  <c:v>44421</c:v>
                </c:pt>
                <c:pt idx="245">
                  <c:v>44424</c:v>
                </c:pt>
                <c:pt idx="246">
                  <c:v>44425</c:v>
                </c:pt>
                <c:pt idx="247">
                  <c:v>44426</c:v>
                </c:pt>
                <c:pt idx="248">
                  <c:v>44428</c:v>
                </c:pt>
                <c:pt idx="249">
                  <c:v>44431</c:v>
                </c:pt>
                <c:pt idx="250">
                  <c:v>44432</c:v>
                </c:pt>
                <c:pt idx="251">
                  <c:v>44433</c:v>
                </c:pt>
                <c:pt idx="252">
                  <c:v>44434</c:v>
                </c:pt>
                <c:pt idx="253">
                  <c:v>44435</c:v>
                </c:pt>
                <c:pt idx="254">
                  <c:v>44438</c:v>
                </c:pt>
                <c:pt idx="255">
                  <c:v>44439</c:v>
                </c:pt>
                <c:pt idx="256">
                  <c:v>44440</c:v>
                </c:pt>
                <c:pt idx="257">
                  <c:v>44441</c:v>
                </c:pt>
                <c:pt idx="258">
                  <c:v>44442</c:v>
                </c:pt>
                <c:pt idx="259">
                  <c:v>44445</c:v>
                </c:pt>
                <c:pt idx="260">
                  <c:v>44446</c:v>
                </c:pt>
                <c:pt idx="261">
                  <c:v>44447</c:v>
                </c:pt>
                <c:pt idx="262">
                  <c:v>44448</c:v>
                </c:pt>
                <c:pt idx="263">
                  <c:v>44452</c:v>
                </c:pt>
                <c:pt idx="264">
                  <c:v>44453</c:v>
                </c:pt>
                <c:pt idx="265">
                  <c:v>44454</c:v>
                </c:pt>
                <c:pt idx="266">
                  <c:v>44455</c:v>
                </c:pt>
                <c:pt idx="267">
                  <c:v>44456</c:v>
                </c:pt>
                <c:pt idx="268">
                  <c:v>44459</c:v>
                </c:pt>
                <c:pt idx="269">
                  <c:v>44460</c:v>
                </c:pt>
                <c:pt idx="270">
                  <c:v>44461</c:v>
                </c:pt>
                <c:pt idx="271">
                  <c:v>44462</c:v>
                </c:pt>
                <c:pt idx="272">
                  <c:v>44463</c:v>
                </c:pt>
                <c:pt idx="273">
                  <c:v>44466</c:v>
                </c:pt>
                <c:pt idx="274">
                  <c:v>44467</c:v>
                </c:pt>
                <c:pt idx="275">
                  <c:v>44468</c:v>
                </c:pt>
                <c:pt idx="276">
                  <c:v>44469</c:v>
                </c:pt>
                <c:pt idx="277">
                  <c:v>44470</c:v>
                </c:pt>
                <c:pt idx="278">
                  <c:v>44473</c:v>
                </c:pt>
                <c:pt idx="279">
                  <c:v>44474</c:v>
                </c:pt>
                <c:pt idx="280">
                  <c:v>44475</c:v>
                </c:pt>
                <c:pt idx="281">
                  <c:v>44476</c:v>
                </c:pt>
                <c:pt idx="282">
                  <c:v>44477</c:v>
                </c:pt>
                <c:pt idx="283">
                  <c:v>44480</c:v>
                </c:pt>
                <c:pt idx="284">
                  <c:v>44481</c:v>
                </c:pt>
                <c:pt idx="285">
                  <c:v>44482</c:v>
                </c:pt>
                <c:pt idx="286">
                  <c:v>44483</c:v>
                </c:pt>
                <c:pt idx="287">
                  <c:v>44487</c:v>
                </c:pt>
                <c:pt idx="288">
                  <c:v>44488</c:v>
                </c:pt>
                <c:pt idx="289">
                  <c:v>44489</c:v>
                </c:pt>
                <c:pt idx="290">
                  <c:v>44490</c:v>
                </c:pt>
                <c:pt idx="291">
                  <c:v>44491</c:v>
                </c:pt>
                <c:pt idx="292">
                  <c:v>44494</c:v>
                </c:pt>
                <c:pt idx="293">
                  <c:v>44495</c:v>
                </c:pt>
                <c:pt idx="294">
                  <c:v>44496</c:v>
                </c:pt>
                <c:pt idx="295">
                  <c:v>44497</c:v>
                </c:pt>
                <c:pt idx="296">
                  <c:v>44498</c:v>
                </c:pt>
                <c:pt idx="297">
                  <c:v>44501</c:v>
                </c:pt>
                <c:pt idx="298">
                  <c:v>44502</c:v>
                </c:pt>
                <c:pt idx="299">
                  <c:v>44503</c:v>
                </c:pt>
                <c:pt idx="300">
                  <c:v>44504</c:v>
                </c:pt>
                <c:pt idx="301">
                  <c:v>44508</c:v>
                </c:pt>
                <c:pt idx="302">
                  <c:v>44509</c:v>
                </c:pt>
                <c:pt idx="303">
                  <c:v>44510</c:v>
                </c:pt>
                <c:pt idx="304">
                  <c:v>44511</c:v>
                </c:pt>
                <c:pt idx="305">
                  <c:v>44512</c:v>
                </c:pt>
                <c:pt idx="306">
                  <c:v>44515</c:v>
                </c:pt>
                <c:pt idx="307">
                  <c:v>44516</c:v>
                </c:pt>
                <c:pt idx="308">
                  <c:v>44517</c:v>
                </c:pt>
                <c:pt idx="309">
                  <c:v>44518</c:v>
                </c:pt>
                <c:pt idx="310">
                  <c:v>44522</c:v>
                </c:pt>
                <c:pt idx="311">
                  <c:v>44523</c:v>
                </c:pt>
                <c:pt idx="312">
                  <c:v>44524</c:v>
                </c:pt>
                <c:pt idx="313">
                  <c:v>44525</c:v>
                </c:pt>
                <c:pt idx="314">
                  <c:v>44526</c:v>
                </c:pt>
                <c:pt idx="315">
                  <c:v>44529</c:v>
                </c:pt>
                <c:pt idx="316">
                  <c:v>44530</c:v>
                </c:pt>
                <c:pt idx="317">
                  <c:v>44531</c:v>
                </c:pt>
                <c:pt idx="318">
                  <c:v>44532</c:v>
                </c:pt>
                <c:pt idx="319">
                  <c:v>44533</c:v>
                </c:pt>
                <c:pt idx="320">
                  <c:v>44536</c:v>
                </c:pt>
                <c:pt idx="321">
                  <c:v>44537</c:v>
                </c:pt>
                <c:pt idx="322">
                  <c:v>44538</c:v>
                </c:pt>
                <c:pt idx="323">
                  <c:v>44539</c:v>
                </c:pt>
                <c:pt idx="324">
                  <c:v>44540</c:v>
                </c:pt>
                <c:pt idx="325">
                  <c:v>44543</c:v>
                </c:pt>
                <c:pt idx="326">
                  <c:v>44544</c:v>
                </c:pt>
                <c:pt idx="327">
                  <c:v>44545</c:v>
                </c:pt>
                <c:pt idx="328">
                  <c:v>44546</c:v>
                </c:pt>
                <c:pt idx="329">
                  <c:v>44547</c:v>
                </c:pt>
                <c:pt idx="330">
                  <c:v>44550</c:v>
                </c:pt>
                <c:pt idx="331">
                  <c:v>44551</c:v>
                </c:pt>
                <c:pt idx="332">
                  <c:v>44552</c:v>
                </c:pt>
                <c:pt idx="333">
                  <c:v>44553</c:v>
                </c:pt>
                <c:pt idx="334">
                  <c:v>44554</c:v>
                </c:pt>
                <c:pt idx="335">
                  <c:v>44557</c:v>
                </c:pt>
                <c:pt idx="336">
                  <c:v>44558</c:v>
                </c:pt>
                <c:pt idx="337">
                  <c:v>44559</c:v>
                </c:pt>
                <c:pt idx="338">
                  <c:v>44560</c:v>
                </c:pt>
                <c:pt idx="339">
                  <c:v>44561</c:v>
                </c:pt>
                <c:pt idx="340">
                  <c:v>44564</c:v>
                </c:pt>
                <c:pt idx="341">
                  <c:v>44565</c:v>
                </c:pt>
                <c:pt idx="342">
                  <c:v>44566</c:v>
                </c:pt>
                <c:pt idx="343">
                  <c:v>44567</c:v>
                </c:pt>
                <c:pt idx="344">
                  <c:v>44568</c:v>
                </c:pt>
                <c:pt idx="345">
                  <c:v>44571</c:v>
                </c:pt>
                <c:pt idx="346">
                  <c:v>44572</c:v>
                </c:pt>
                <c:pt idx="347">
                  <c:v>44573</c:v>
                </c:pt>
                <c:pt idx="348">
                  <c:v>44574</c:v>
                </c:pt>
                <c:pt idx="349">
                  <c:v>44575</c:v>
                </c:pt>
                <c:pt idx="350">
                  <c:v>44578</c:v>
                </c:pt>
                <c:pt idx="351">
                  <c:v>44579</c:v>
                </c:pt>
                <c:pt idx="352">
                  <c:v>44580</c:v>
                </c:pt>
                <c:pt idx="353">
                  <c:v>44581</c:v>
                </c:pt>
                <c:pt idx="354">
                  <c:v>44582</c:v>
                </c:pt>
                <c:pt idx="355">
                  <c:v>44585</c:v>
                </c:pt>
                <c:pt idx="356">
                  <c:v>44586</c:v>
                </c:pt>
                <c:pt idx="357">
                  <c:v>44588</c:v>
                </c:pt>
                <c:pt idx="358">
                  <c:v>44589</c:v>
                </c:pt>
                <c:pt idx="359">
                  <c:v>44592</c:v>
                </c:pt>
                <c:pt idx="360">
                  <c:v>44593</c:v>
                </c:pt>
                <c:pt idx="361">
                  <c:v>44594</c:v>
                </c:pt>
                <c:pt idx="362">
                  <c:v>44595</c:v>
                </c:pt>
                <c:pt idx="363">
                  <c:v>44596</c:v>
                </c:pt>
                <c:pt idx="364">
                  <c:v>44599</c:v>
                </c:pt>
                <c:pt idx="365">
                  <c:v>44600</c:v>
                </c:pt>
                <c:pt idx="366">
                  <c:v>44601</c:v>
                </c:pt>
                <c:pt idx="367">
                  <c:v>44602</c:v>
                </c:pt>
                <c:pt idx="368">
                  <c:v>44603</c:v>
                </c:pt>
                <c:pt idx="369">
                  <c:v>44606</c:v>
                </c:pt>
                <c:pt idx="370">
                  <c:v>44607</c:v>
                </c:pt>
                <c:pt idx="371">
                  <c:v>44608</c:v>
                </c:pt>
                <c:pt idx="372">
                  <c:v>44609</c:v>
                </c:pt>
                <c:pt idx="373">
                  <c:v>44610</c:v>
                </c:pt>
                <c:pt idx="374">
                  <c:v>44613</c:v>
                </c:pt>
                <c:pt idx="375">
                  <c:v>44614</c:v>
                </c:pt>
                <c:pt idx="376">
                  <c:v>44615</c:v>
                </c:pt>
                <c:pt idx="377">
                  <c:v>44616</c:v>
                </c:pt>
                <c:pt idx="378">
                  <c:v>44617</c:v>
                </c:pt>
                <c:pt idx="379">
                  <c:v>44620</c:v>
                </c:pt>
                <c:pt idx="380">
                  <c:v>44622</c:v>
                </c:pt>
                <c:pt idx="381">
                  <c:v>44623</c:v>
                </c:pt>
                <c:pt idx="382">
                  <c:v>44624</c:v>
                </c:pt>
                <c:pt idx="383">
                  <c:v>44627</c:v>
                </c:pt>
                <c:pt idx="384">
                  <c:v>44628</c:v>
                </c:pt>
                <c:pt idx="385">
                  <c:v>44629</c:v>
                </c:pt>
                <c:pt idx="386">
                  <c:v>44630</c:v>
                </c:pt>
                <c:pt idx="387">
                  <c:v>44631</c:v>
                </c:pt>
                <c:pt idx="388">
                  <c:v>44634</c:v>
                </c:pt>
                <c:pt idx="389">
                  <c:v>44635</c:v>
                </c:pt>
                <c:pt idx="390">
                  <c:v>44636</c:v>
                </c:pt>
                <c:pt idx="391">
                  <c:v>44637</c:v>
                </c:pt>
                <c:pt idx="392">
                  <c:v>44641</c:v>
                </c:pt>
                <c:pt idx="393">
                  <c:v>44642</c:v>
                </c:pt>
                <c:pt idx="394">
                  <c:v>44643</c:v>
                </c:pt>
                <c:pt idx="395">
                  <c:v>44644</c:v>
                </c:pt>
                <c:pt idx="396">
                  <c:v>44645</c:v>
                </c:pt>
                <c:pt idx="397">
                  <c:v>44648</c:v>
                </c:pt>
                <c:pt idx="398">
                  <c:v>44649</c:v>
                </c:pt>
                <c:pt idx="399">
                  <c:v>44650</c:v>
                </c:pt>
                <c:pt idx="400">
                  <c:v>44651</c:v>
                </c:pt>
                <c:pt idx="401">
                  <c:v>44652</c:v>
                </c:pt>
                <c:pt idx="402">
                  <c:v>44655</c:v>
                </c:pt>
                <c:pt idx="403">
                  <c:v>44656</c:v>
                </c:pt>
                <c:pt idx="404">
                  <c:v>44657</c:v>
                </c:pt>
                <c:pt idx="405">
                  <c:v>44658</c:v>
                </c:pt>
                <c:pt idx="406">
                  <c:v>44659</c:v>
                </c:pt>
                <c:pt idx="407">
                  <c:v>44662</c:v>
                </c:pt>
                <c:pt idx="408">
                  <c:v>44663</c:v>
                </c:pt>
                <c:pt idx="409">
                  <c:v>44664</c:v>
                </c:pt>
                <c:pt idx="410">
                  <c:v>44669</c:v>
                </c:pt>
                <c:pt idx="411">
                  <c:v>44670</c:v>
                </c:pt>
                <c:pt idx="412">
                  <c:v>44671</c:v>
                </c:pt>
                <c:pt idx="413">
                  <c:v>44672</c:v>
                </c:pt>
                <c:pt idx="414">
                  <c:v>44673</c:v>
                </c:pt>
                <c:pt idx="415">
                  <c:v>44676</c:v>
                </c:pt>
                <c:pt idx="416">
                  <c:v>44677</c:v>
                </c:pt>
                <c:pt idx="417">
                  <c:v>44678</c:v>
                </c:pt>
                <c:pt idx="418">
                  <c:v>44679</c:v>
                </c:pt>
                <c:pt idx="419">
                  <c:v>44680</c:v>
                </c:pt>
                <c:pt idx="420">
                  <c:v>44683</c:v>
                </c:pt>
                <c:pt idx="421">
                  <c:v>44685</c:v>
                </c:pt>
                <c:pt idx="422">
                  <c:v>44686</c:v>
                </c:pt>
                <c:pt idx="423">
                  <c:v>44687</c:v>
                </c:pt>
                <c:pt idx="424">
                  <c:v>44690</c:v>
                </c:pt>
                <c:pt idx="425">
                  <c:v>44691</c:v>
                </c:pt>
                <c:pt idx="426">
                  <c:v>44692</c:v>
                </c:pt>
                <c:pt idx="427">
                  <c:v>44693</c:v>
                </c:pt>
                <c:pt idx="428">
                  <c:v>44694</c:v>
                </c:pt>
                <c:pt idx="429">
                  <c:v>44697</c:v>
                </c:pt>
                <c:pt idx="430">
                  <c:v>44698</c:v>
                </c:pt>
                <c:pt idx="431">
                  <c:v>44699</c:v>
                </c:pt>
                <c:pt idx="432">
                  <c:v>44700</c:v>
                </c:pt>
                <c:pt idx="433">
                  <c:v>44701</c:v>
                </c:pt>
                <c:pt idx="434">
                  <c:v>44704</c:v>
                </c:pt>
                <c:pt idx="435">
                  <c:v>44705</c:v>
                </c:pt>
                <c:pt idx="436">
                  <c:v>44706</c:v>
                </c:pt>
                <c:pt idx="437">
                  <c:v>44707</c:v>
                </c:pt>
                <c:pt idx="438">
                  <c:v>44708</c:v>
                </c:pt>
                <c:pt idx="439">
                  <c:v>44711</c:v>
                </c:pt>
                <c:pt idx="440">
                  <c:v>44712</c:v>
                </c:pt>
                <c:pt idx="441">
                  <c:v>44713</c:v>
                </c:pt>
                <c:pt idx="442">
                  <c:v>44714</c:v>
                </c:pt>
                <c:pt idx="443">
                  <c:v>44715</c:v>
                </c:pt>
                <c:pt idx="444">
                  <c:v>44718</c:v>
                </c:pt>
                <c:pt idx="445">
                  <c:v>44719</c:v>
                </c:pt>
                <c:pt idx="446">
                  <c:v>44720</c:v>
                </c:pt>
                <c:pt idx="447">
                  <c:v>44721</c:v>
                </c:pt>
                <c:pt idx="448">
                  <c:v>44722</c:v>
                </c:pt>
                <c:pt idx="449">
                  <c:v>44725</c:v>
                </c:pt>
                <c:pt idx="450">
                  <c:v>44726</c:v>
                </c:pt>
                <c:pt idx="451">
                  <c:v>44727</c:v>
                </c:pt>
                <c:pt idx="452">
                  <c:v>44728</c:v>
                </c:pt>
                <c:pt idx="453">
                  <c:v>44729</c:v>
                </c:pt>
                <c:pt idx="454">
                  <c:v>44732</c:v>
                </c:pt>
                <c:pt idx="455">
                  <c:v>44733</c:v>
                </c:pt>
                <c:pt idx="456">
                  <c:v>44734</c:v>
                </c:pt>
                <c:pt idx="457">
                  <c:v>44735</c:v>
                </c:pt>
                <c:pt idx="458">
                  <c:v>44736</c:v>
                </c:pt>
                <c:pt idx="459">
                  <c:v>44739</c:v>
                </c:pt>
                <c:pt idx="460">
                  <c:v>44740</c:v>
                </c:pt>
                <c:pt idx="461">
                  <c:v>44741</c:v>
                </c:pt>
                <c:pt idx="462">
                  <c:v>44742</c:v>
                </c:pt>
                <c:pt idx="463">
                  <c:v>44743</c:v>
                </c:pt>
                <c:pt idx="464">
                  <c:v>44746</c:v>
                </c:pt>
                <c:pt idx="465">
                  <c:v>44747</c:v>
                </c:pt>
                <c:pt idx="466">
                  <c:v>44748</c:v>
                </c:pt>
                <c:pt idx="467">
                  <c:v>44749</c:v>
                </c:pt>
                <c:pt idx="468">
                  <c:v>44750</c:v>
                </c:pt>
                <c:pt idx="469">
                  <c:v>44753</c:v>
                </c:pt>
                <c:pt idx="470">
                  <c:v>44754</c:v>
                </c:pt>
                <c:pt idx="471">
                  <c:v>44755</c:v>
                </c:pt>
                <c:pt idx="472">
                  <c:v>44756</c:v>
                </c:pt>
                <c:pt idx="473">
                  <c:v>44757</c:v>
                </c:pt>
                <c:pt idx="474">
                  <c:v>44760</c:v>
                </c:pt>
                <c:pt idx="475">
                  <c:v>44761</c:v>
                </c:pt>
                <c:pt idx="476">
                  <c:v>44762</c:v>
                </c:pt>
                <c:pt idx="477">
                  <c:v>44763</c:v>
                </c:pt>
                <c:pt idx="478">
                  <c:v>44764</c:v>
                </c:pt>
                <c:pt idx="479">
                  <c:v>44767</c:v>
                </c:pt>
                <c:pt idx="480">
                  <c:v>44768</c:v>
                </c:pt>
                <c:pt idx="481">
                  <c:v>44769</c:v>
                </c:pt>
                <c:pt idx="482">
                  <c:v>44770</c:v>
                </c:pt>
                <c:pt idx="483">
                  <c:v>44771</c:v>
                </c:pt>
                <c:pt idx="484">
                  <c:v>44774</c:v>
                </c:pt>
                <c:pt idx="485">
                  <c:v>44775</c:v>
                </c:pt>
                <c:pt idx="486">
                  <c:v>44776</c:v>
                </c:pt>
                <c:pt idx="487">
                  <c:v>44777</c:v>
                </c:pt>
                <c:pt idx="488">
                  <c:v>44778</c:v>
                </c:pt>
                <c:pt idx="489">
                  <c:v>44781</c:v>
                </c:pt>
                <c:pt idx="490">
                  <c:v>44783</c:v>
                </c:pt>
                <c:pt idx="491">
                  <c:v>44784</c:v>
                </c:pt>
                <c:pt idx="492">
                  <c:v>44785</c:v>
                </c:pt>
                <c:pt idx="493">
                  <c:v>44789</c:v>
                </c:pt>
                <c:pt idx="494">
                  <c:v>44790</c:v>
                </c:pt>
                <c:pt idx="495">
                  <c:v>44791</c:v>
                </c:pt>
                <c:pt idx="496">
                  <c:v>44792</c:v>
                </c:pt>
                <c:pt idx="497">
                  <c:v>44795</c:v>
                </c:pt>
                <c:pt idx="498">
                  <c:v>44796</c:v>
                </c:pt>
                <c:pt idx="499">
                  <c:v>44797</c:v>
                </c:pt>
                <c:pt idx="500">
                  <c:v>44798</c:v>
                </c:pt>
                <c:pt idx="501">
                  <c:v>44799</c:v>
                </c:pt>
                <c:pt idx="502">
                  <c:v>44802</c:v>
                </c:pt>
                <c:pt idx="503">
                  <c:v>44803</c:v>
                </c:pt>
                <c:pt idx="504">
                  <c:v>44805</c:v>
                </c:pt>
                <c:pt idx="505">
                  <c:v>44806</c:v>
                </c:pt>
                <c:pt idx="506">
                  <c:v>44809</c:v>
                </c:pt>
                <c:pt idx="507">
                  <c:v>44810</c:v>
                </c:pt>
                <c:pt idx="508">
                  <c:v>44811</c:v>
                </c:pt>
                <c:pt idx="509">
                  <c:v>44812</c:v>
                </c:pt>
                <c:pt idx="510">
                  <c:v>44813</c:v>
                </c:pt>
                <c:pt idx="511">
                  <c:v>44816</c:v>
                </c:pt>
                <c:pt idx="512">
                  <c:v>44817</c:v>
                </c:pt>
                <c:pt idx="513">
                  <c:v>44818</c:v>
                </c:pt>
                <c:pt idx="514">
                  <c:v>44819</c:v>
                </c:pt>
                <c:pt idx="515">
                  <c:v>44820</c:v>
                </c:pt>
                <c:pt idx="516">
                  <c:v>44823</c:v>
                </c:pt>
                <c:pt idx="517">
                  <c:v>44824</c:v>
                </c:pt>
                <c:pt idx="518">
                  <c:v>44825</c:v>
                </c:pt>
                <c:pt idx="519">
                  <c:v>44826</c:v>
                </c:pt>
                <c:pt idx="520">
                  <c:v>44827</c:v>
                </c:pt>
                <c:pt idx="521">
                  <c:v>44830</c:v>
                </c:pt>
                <c:pt idx="522">
                  <c:v>44831</c:v>
                </c:pt>
                <c:pt idx="523">
                  <c:v>44832</c:v>
                </c:pt>
                <c:pt idx="524">
                  <c:v>44833</c:v>
                </c:pt>
                <c:pt idx="525">
                  <c:v>44834</c:v>
                </c:pt>
                <c:pt idx="526">
                  <c:v>44837</c:v>
                </c:pt>
                <c:pt idx="527">
                  <c:v>44838</c:v>
                </c:pt>
                <c:pt idx="528">
                  <c:v>44840</c:v>
                </c:pt>
                <c:pt idx="529">
                  <c:v>44841</c:v>
                </c:pt>
                <c:pt idx="530">
                  <c:v>44844</c:v>
                </c:pt>
                <c:pt idx="531">
                  <c:v>44845</c:v>
                </c:pt>
                <c:pt idx="532">
                  <c:v>44846</c:v>
                </c:pt>
                <c:pt idx="533">
                  <c:v>44847</c:v>
                </c:pt>
                <c:pt idx="534">
                  <c:v>44848</c:v>
                </c:pt>
                <c:pt idx="535">
                  <c:v>44851</c:v>
                </c:pt>
                <c:pt idx="536">
                  <c:v>44852</c:v>
                </c:pt>
                <c:pt idx="537">
                  <c:v>44853</c:v>
                </c:pt>
                <c:pt idx="538">
                  <c:v>44854</c:v>
                </c:pt>
                <c:pt idx="539">
                  <c:v>44855</c:v>
                </c:pt>
                <c:pt idx="540">
                  <c:v>44858</c:v>
                </c:pt>
                <c:pt idx="541">
                  <c:v>44859</c:v>
                </c:pt>
                <c:pt idx="542">
                  <c:v>44861</c:v>
                </c:pt>
                <c:pt idx="543">
                  <c:v>44862</c:v>
                </c:pt>
                <c:pt idx="544">
                  <c:v>44865</c:v>
                </c:pt>
                <c:pt idx="545">
                  <c:v>44866</c:v>
                </c:pt>
                <c:pt idx="546">
                  <c:v>44867</c:v>
                </c:pt>
                <c:pt idx="547">
                  <c:v>44868</c:v>
                </c:pt>
                <c:pt idx="548">
                  <c:v>44869</c:v>
                </c:pt>
                <c:pt idx="549">
                  <c:v>44872</c:v>
                </c:pt>
                <c:pt idx="550">
                  <c:v>44874</c:v>
                </c:pt>
                <c:pt idx="551">
                  <c:v>44875</c:v>
                </c:pt>
                <c:pt idx="552">
                  <c:v>44876</c:v>
                </c:pt>
                <c:pt idx="553">
                  <c:v>44879</c:v>
                </c:pt>
                <c:pt idx="554">
                  <c:v>44880</c:v>
                </c:pt>
                <c:pt idx="555">
                  <c:v>44881</c:v>
                </c:pt>
                <c:pt idx="556">
                  <c:v>44882</c:v>
                </c:pt>
                <c:pt idx="557">
                  <c:v>44883</c:v>
                </c:pt>
                <c:pt idx="558">
                  <c:v>44886</c:v>
                </c:pt>
                <c:pt idx="559">
                  <c:v>44887</c:v>
                </c:pt>
                <c:pt idx="560">
                  <c:v>44888</c:v>
                </c:pt>
                <c:pt idx="561">
                  <c:v>44889</c:v>
                </c:pt>
                <c:pt idx="562">
                  <c:v>44890</c:v>
                </c:pt>
                <c:pt idx="563">
                  <c:v>44893</c:v>
                </c:pt>
                <c:pt idx="564">
                  <c:v>44894</c:v>
                </c:pt>
                <c:pt idx="565">
                  <c:v>44895</c:v>
                </c:pt>
                <c:pt idx="566">
                  <c:v>44896</c:v>
                </c:pt>
                <c:pt idx="567">
                  <c:v>44897</c:v>
                </c:pt>
                <c:pt idx="568">
                  <c:v>44900</c:v>
                </c:pt>
                <c:pt idx="569">
                  <c:v>44901</c:v>
                </c:pt>
                <c:pt idx="570">
                  <c:v>44902</c:v>
                </c:pt>
                <c:pt idx="571">
                  <c:v>44903</c:v>
                </c:pt>
                <c:pt idx="572">
                  <c:v>44904</c:v>
                </c:pt>
                <c:pt idx="573">
                  <c:v>44907</c:v>
                </c:pt>
                <c:pt idx="574">
                  <c:v>44908</c:v>
                </c:pt>
                <c:pt idx="575">
                  <c:v>44909</c:v>
                </c:pt>
                <c:pt idx="576">
                  <c:v>44910</c:v>
                </c:pt>
                <c:pt idx="577">
                  <c:v>44911</c:v>
                </c:pt>
                <c:pt idx="578">
                  <c:v>44914</c:v>
                </c:pt>
                <c:pt idx="579">
                  <c:v>44915</c:v>
                </c:pt>
                <c:pt idx="580">
                  <c:v>44916</c:v>
                </c:pt>
                <c:pt idx="581">
                  <c:v>44917</c:v>
                </c:pt>
                <c:pt idx="582">
                  <c:v>44918</c:v>
                </c:pt>
                <c:pt idx="583">
                  <c:v>44921</c:v>
                </c:pt>
                <c:pt idx="584">
                  <c:v>44922</c:v>
                </c:pt>
                <c:pt idx="585">
                  <c:v>44923</c:v>
                </c:pt>
                <c:pt idx="586">
                  <c:v>44924</c:v>
                </c:pt>
                <c:pt idx="587">
                  <c:v>44925</c:v>
                </c:pt>
                <c:pt idx="588">
                  <c:v>44928</c:v>
                </c:pt>
                <c:pt idx="589">
                  <c:v>44929</c:v>
                </c:pt>
                <c:pt idx="590">
                  <c:v>44930</c:v>
                </c:pt>
                <c:pt idx="591">
                  <c:v>44931</c:v>
                </c:pt>
                <c:pt idx="592">
                  <c:v>44932</c:v>
                </c:pt>
                <c:pt idx="593">
                  <c:v>44935</c:v>
                </c:pt>
                <c:pt idx="594">
                  <c:v>44936</c:v>
                </c:pt>
                <c:pt idx="595">
                  <c:v>44937</c:v>
                </c:pt>
                <c:pt idx="596">
                  <c:v>44938</c:v>
                </c:pt>
                <c:pt idx="597">
                  <c:v>44939</c:v>
                </c:pt>
                <c:pt idx="598">
                  <c:v>44942</c:v>
                </c:pt>
                <c:pt idx="599">
                  <c:v>44943</c:v>
                </c:pt>
                <c:pt idx="600">
                  <c:v>44944</c:v>
                </c:pt>
                <c:pt idx="601">
                  <c:v>44945</c:v>
                </c:pt>
                <c:pt idx="602">
                  <c:v>44946</c:v>
                </c:pt>
                <c:pt idx="603">
                  <c:v>44949</c:v>
                </c:pt>
                <c:pt idx="604">
                  <c:v>44950</c:v>
                </c:pt>
                <c:pt idx="605">
                  <c:v>44951</c:v>
                </c:pt>
                <c:pt idx="606">
                  <c:v>44953</c:v>
                </c:pt>
                <c:pt idx="607">
                  <c:v>44956</c:v>
                </c:pt>
                <c:pt idx="608">
                  <c:v>44957</c:v>
                </c:pt>
                <c:pt idx="609">
                  <c:v>44958</c:v>
                </c:pt>
                <c:pt idx="610">
                  <c:v>44959</c:v>
                </c:pt>
                <c:pt idx="611">
                  <c:v>44960</c:v>
                </c:pt>
                <c:pt idx="612">
                  <c:v>44963</c:v>
                </c:pt>
                <c:pt idx="613">
                  <c:v>44964</c:v>
                </c:pt>
                <c:pt idx="614">
                  <c:v>44965</c:v>
                </c:pt>
                <c:pt idx="615">
                  <c:v>44966</c:v>
                </c:pt>
                <c:pt idx="616">
                  <c:v>44967</c:v>
                </c:pt>
                <c:pt idx="617">
                  <c:v>44970</c:v>
                </c:pt>
                <c:pt idx="618">
                  <c:v>44971</c:v>
                </c:pt>
                <c:pt idx="619">
                  <c:v>44972</c:v>
                </c:pt>
                <c:pt idx="620">
                  <c:v>44973</c:v>
                </c:pt>
                <c:pt idx="621">
                  <c:v>44974</c:v>
                </c:pt>
                <c:pt idx="622">
                  <c:v>44977</c:v>
                </c:pt>
                <c:pt idx="623">
                  <c:v>44978</c:v>
                </c:pt>
                <c:pt idx="624">
                  <c:v>44979</c:v>
                </c:pt>
                <c:pt idx="625">
                  <c:v>44980</c:v>
                </c:pt>
                <c:pt idx="626">
                  <c:v>44981</c:v>
                </c:pt>
                <c:pt idx="627">
                  <c:v>44984</c:v>
                </c:pt>
                <c:pt idx="628">
                  <c:v>44985</c:v>
                </c:pt>
                <c:pt idx="629">
                  <c:v>44986</c:v>
                </c:pt>
                <c:pt idx="630">
                  <c:v>44987</c:v>
                </c:pt>
                <c:pt idx="631">
                  <c:v>44988</c:v>
                </c:pt>
                <c:pt idx="632">
                  <c:v>44991</c:v>
                </c:pt>
                <c:pt idx="633">
                  <c:v>44993</c:v>
                </c:pt>
                <c:pt idx="634">
                  <c:v>44994</c:v>
                </c:pt>
                <c:pt idx="635">
                  <c:v>44995</c:v>
                </c:pt>
                <c:pt idx="636">
                  <c:v>44998</c:v>
                </c:pt>
                <c:pt idx="637">
                  <c:v>44999</c:v>
                </c:pt>
                <c:pt idx="638">
                  <c:v>45000</c:v>
                </c:pt>
                <c:pt idx="639">
                  <c:v>45001</c:v>
                </c:pt>
                <c:pt idx="640">
                  <c:v>45002</c:v>
                </c:pt>
                <c:pt idx="641">
                  <c:v>45005</c:v>
                </c:pt>
                <c:pt idx="642">
                  <c:v>45006</c:v>
                </c:pt>
                <c:pt idx="643">
                  <c:v>45007</c:v>
                </c:pt>
                <c:pt idx="644">
                  <c:v>45008</c:v>
                </c:pt>
                <c:pt idx="645">
                  <c:v>45009</c:v>
                </c:pt>
                <c:pt idx="646">
                  <c:v>45012</c:v>
                </c:pt>
                <c:pt idx="647">
                  <c:v>45013</c:v>
                </c:pt>
                <c:pt idx="648">
                  <c:v>45014</c:v>
                </c:pt>
                <c:pt idx="649">
                  <c:v>45016</c:v>
                </c:pt>
                <c:pt idx="650">
                  <c:v>45019</c:v>
                </c:pt>
                <c:pt idx="651">
                  <c:v>45021</c:v>
                </c:pt>
                <c:pt idx="652">
                  <c:v>45022</c:v>
                </c:pt>
                <c:pt idx="653">
                  <c:v>45026</c:v>
                </c:pt>
                <c:pt idx="654">
                  <c:v>45027</c:v>
                </c:pt>
                <c:pt idx="655">
                  <c:v>45028</c:v>
                </c:pt>
                <c:pt idx="656">
                  <c:v>45029</c:v>
                </c:pt>
                <c:pt idx="657">
                  <c:v>45033</c:v>
                </c:pt>
                <c:pt idx="658">
                  <c:v>45034</c:v>
                </c:pt>
                <c:pt idx="659">
                  <c:v>45035</c:v>
                </c:pt>
                <c:pt idx="660">
                  <c:v>45036</c:v>
                </c:pt>
                <c:pt idx="661">
                  <c:v>45037</c:v>
                </c:pt>
                <c:pt idx="662">
                  <c:v>45040</c:v>
                </c:pt>
                <c:pt idx="663">
                  <c:v>45041</c:v>
                </c:pt>
                <c:pt idx="664">
                  <c:v>45042</c:v>
                </c:pt>
                <c:pt idx="665">
                  <c:v>45043</c:v>
                </c:pt>
                <c:pt idx="666">
                  <c:v>45044</c:v>
                </c:pt>
                <c:pt idx="667">
                  <c:v>45048</c:v>
                </c:pt>
                <c:pt idx="668">
                  <c:v>45049</c:v>
                </c:pt>
                <c:pt idx="669">
                  <c:v>45050</c:v>
                </c:pt>
                <c:pt idx="670">
                  <c:v>45051</c:v>
                </c:pt>
                <c:pt idx="671">
                  <c:v>45054</c:v>
                </c:pt>
                <c:pt idx="672">
                  <c:v>45055</c:v>
                </c:pt>
                <c:pt idx="673">
                  <c:v>45056</c:v>
                </c:pt>
                <c:pt idx="674">
                  <c:v>45057</c:v>
                </c:pt>
                <c:pt idx="675">
                  <c:v>45058</c:v>
                </c:pt>
                <c:pt idx="676">
                  <c:v>45061</c:v>
                </c:pt>
                <c:pt idx="677">
                  <c:v>45062</c:v>
                </c:pt>
                <c:pt idx="678">
                  <c:v>45063</c:v>
                </c:pt>
                <c:pt idx="679">
                  <c:v>45064</c:v>
                </c:pt>
                <c:pt idx="680">
                  <c:v>45065</c:v>
                </c:pt>
                <c:pt idx="681">
                  <c:v>45068</c:v>
                </c:pt>
                <c:pt idx="682">
                  <c:v>45069</c:v>
                </c:pt>
                <c:pt idx="683">
                  <c:v>45070</c:v>
                </c:pt>
                <c:pt idx="684">
                  <c:v>45071</c:v>
                </c:pt>
                <c:pt idx="685">
                  <c:v>45072</c:v>
                </c:pt>
                <c:pt idx="686">
                  <c:v>45075</c:v>
                </c:pt>
                <c:pt idx="687">
                  <c:v>45076</c:v>
                </c:pt>
                <c:pt idx="688">
                  <c:v>45077</c:v>
                </c:pt>
                <c:pt idx="689">
                  <c:v>45078</c:v>
                </c:pt>
                <c:pt idx="690">
                  <c:v>45079</c:v>
                </c:pt>
                <c:pt idx="691">
                  <c:v>45082</c:v>
                </c:pt>
                <c:pt idx="692">
                  <c:v>45083</c:v>
                </c:pt>
                <c:pt idx="693">
                  <c:v>45084</c:v>
                </c:pt>
                <c:pt idx="694">
                  <c:v>45085</c:v>
                </c:pt>
                <c:pt idx="695">
                  <c:v>45086</c:v>
                </c:pt>
                <c:pt idx="696">
                  <c:v>45089</c:v>
                </c:pt>
                <c:pt idx="697">
                  <c:v>45090</c:v>
                </c:pt>
                <c:pt idx="698">
                  <c:v>45091</c:v>
                </c:pt>
                <c:pt idx="699">
                  <c:v>45092</c:v>
                </c:pt>
                <c:pt idx="700">
                  <c:v>45093</c:v>
                </c:pt>
                <c:pt idx="701">
                  <c:v>45096</c:v>
                </c:pt>
                <c:pt idx="702">
                  <c:v>45097</c:v>
                </c:pt>
                <c:pt idx="703">
                  <c:v>45098</c:v>
                </c:pt>
                <c:pt idx="704">
                  <c:v>45099</c:v>
                </c:pt>
                <c:pt idx="705">
                  <c:v>45100</c:v>
                </c:pt>
                <c:pt idx="706">
                  <c:v>45103</c:v>
                </c:pt>
                <c:pt idx="707">
                  <c:v>45104</c:v>
                </c:pt>
                <c:pt idx="708">
                  <c:v>45105</c:v>
                </c:pt>
                <c:pt idx="709">
                  <c:v>45107</c:v>
                </c:pt>
                <c:pt idx="710">
                  <c:v>45110</c:v>
                </c:pt>
                <c:pt idx="711">
                  <c:v>45111</c:v>
                </c:pt>
                <c:pt idx="712">
                  <c:v>45112</c:v>
                </c:pt>
                <c:pt idx="713">
                  <c:v>45113</c:v>
                </c:pt>
                <c:pt idx="714">
                  <c:v>45114</c:v>
                </c:pt>
                <c:pt idx="715">
                  <c:v>45117</c:v>
                </c:pt>
                <c:pt idx="716">
                  <c:v>45118</c:v>
                </c:pt>
                <c:pt idx="717">
                  <c:v>45119</c:v>
                </c:pt>
                <c:pt idx="718">
                  <c:v>45120</c:v>
                </c:pt>
                <c:pt idx="719">
                  <c:v>45121</c:v>
                </c:pt>
                <c:pt idx="720">
                  <c:v>45124</c:v>
                </c:pt>
                <c:pt idx="721">
                  <c:v>45125</c:v>
                </c:pt>
                <c:pt idx="722">
                  <c:v>45126</c:v>
                </c:pt>
                <c:pt idx="723">
                  <c:v>45127</c:v>
                </c:pt>
                <c:pt idx="724">
                  <c:v>45128</c:v>
                </c:pt>
                <c:pt idx="725">
                  <c:v>45131</c:v>
                </c:pt>
                <c:pt idx="726">
                  <c:v>45132</c:v>
                </c:pt>
                <c:pt idx="727">
                  <c:v>45133</c:v>
                </c:pt>
                <c:pt idx="728">
                  <c:v>45134</c:v>
                </c:pt>
                <c:pt idx="729">
                  <c:v>45135</c:v>
                </c:pt>
                <c:pt idx="730">
                  <c:v>45138</c:v>
                </c:pt>
                <c:pt idx="731">
                  <c:v>45139</c:v>
                </c:pt>
                <c:pt idx="732">
                  <c:v>45140</c:v>
                </c:pt>
                <c:pt idx="733">
                  <c:v>45141</c:v>
                </c:pt>
                <c:pt idx="734">
                  <c:v>45142</c:v>
                </c:pt>
                <c:pt idx="735">
                  <c:v>45145</c:v>
                </c:pt>
                <c:pt idx="736">
                  <c:v>45146</c:v>
                </c:pt>
                <c:pt idx="737">
                  <c:v>45147</c:v>
                </c:pt>
                <c:pt idx="738">
                  <c:v>45148</c:v>
                </c:pt>
                <c:pt idx="739">
                  <c:v>45149</c:v>
                </c:pt>
                <c:pt idx="740">
                  <c:v>45152</c:v>
                </c:pt>
                <c:pt idx="741">
                  <c:v>45154</c:v>
                </c:pt>
                <c:pt idx="742">
                  <c:v>45155</c:v>
                </c:pt>
                <c:pt idx="743">
                  <c:v>45156</c:v>
                </c:pt>
                <c:pt idx="744">
                  <c:v>45159</c:v>
                </c:pt>
                <c:pt idx="745">
                  <c:v>45160</c:v>
                </c:pt>
                <c:pt idx="746">
                  <c:v>45161</c:v>
                </c:pt>
                <c:pt idx="747">
                  <c:v>45162</c:v>
                </c:pt>
                <c:pt idx="748">
                  <c:v>45163</c:v>
                </c:pt>
                <c:pt idx="749">
                  <c:v>45166</c:v>
                </c:pt>
                <c:pt idx="750">
                  <c:v>45167</c:v>
                </c:pt>
                <c:pt idx="751">
                  <c:v>45168</c:v>
                </c:pt>
                <c:pt idx="752">
                  <c:v>45169</c:v>
                </c:pt>
                <c:pt idx="753">
                  <c:v>45170</c:v>
                </c:pt>
                <c:pt idx="754">
                  <c:v>45173</c:v>
                </c:pt>
                <c:pt idx="755">
                  <c:v>45174</c:v>
                </c:pt>
                <c:pt idx="756">
                  <c:v>45175</c:v>
                </c:pt>
                <c:pt idx="757">
                  <c:v>45176</c:v>
                </c:pt>
                <c:pt idx="758">
                  <c:v>45177</c:v>
                </c:pt>
                <c:pt idx="759">
                  <c:v>45180</c:v>
                </c:pt>
                <c:pt idx="760">
                  <c:v>45181</c:v>
                </c:pt>
                <c:pt idx="761">
                  <c:v>45182</c:v>
                </c:pt>
                <c:pt idx="762">
                  <c:v>45183</c:v>
                </c:pt>
                <c:pt idx="763">
                  <c:v>45184</c:v>
                </c:pt>
                <c:pt idx="764">
                  <c:v>45187</c:v>
                </c:pt>
                <c:pt idx="765">
                  <c:v>45189</c:v>
                </c:pt>
                <c:pt idx="766">
                  <c:v>45190</c:v>
                </c:pt>
                <c:pt idx="767">
                  <c:v>45191</c:v>
                </c:pt>
                <c:pt idx="768">
                  <c:v>45194</c:v>
                </c:pt>
                <c:pt idx="769">
                  <c:v>45195</c:v>
                </c:pt>
                <c:pt idx="770">
                  <c:v>45196</c:v>
                </c:pt>
                <c:pt idx="771">
                  <c:v>45197</c:v>
                </c:pt>
                <c:pt idx="772">
                  <c:v>45198</c:v>
                </c:pt>
                <c:pt idx="773">
                  <c:v>45202</c:v>
                </c:pt>
                <c:pt idx="774">
                  <c:v>45203</c:v>
                </c:pt>
                <c:pt idx="775">
                  <c:v>45204</c:v>
                </c:pt>
                <c:pt idx="776">
                  <c:v>45205</c:v>
                </c:pt>
                <c:pt idx="777">
                  <c:v>45208</c:v>
                </c:pt>
                <c:pt idx="778">
                  <c:v>45209</c:v>
                </c:pt>
                <c:pt idx="779">
                  <c:v>45210</c:v>
                </c:pt>
                <c:pt idx="780">
                  <c:v>45211</c:v>
                </c:pt>
                <c:pt idx="781">
                  <c:v>45212</c:v>
                </c:pt>
                <c:pt idx="782">
                  <c:v>45215</c:v>
                </c:pt>
                <c:pt idx="783">
                  <c:v>45216</c:v>
                </c:pt>
                <c:pt idx="784">
                  <c:v>45217</c:v>
                </c:pt>
                <c:pt idx="785">
                  <c:v>45218</c:v>
                </c:pt>
                <c:pt idx="786">
                  <c:v>45219</c:v>
                </c:pt>
                <c:pt idx="787">
                  <c:v>45222</c:v>
                </c:pt>
                <c:pt idx="788">
                  <c:v>45224</c:v>
                </c:pt>
                <c:pt idx="789">
                  <c:v>45225</c:v>
                </c:pt>
                <c:pt idx="790">
                  <c:v>45226</c:v>
                </c:pt>
                <c:pt idx="791">
                  <c:v>45229</c:v>
                </c:pt>
                <c:pt idx="792">
                  <c:v>45230</c:v>
                </c:pt>
                <c:pt idx="793">
                  <c:v>45231</c:v>
                </c:pt>
                <c:pt idx="794">
                  <c:v>45232</c:v>
                </c:pt>
                <c:pt idx="795">
                  <c:v>45233</c:v>
                </c:pt>
                <c:pt idx="796">
                  <c:v>45236</c:v>
                </c:pt>
                <c:pt idx="797">
                  <c:v>45237</c:v>
                </c:pt>
                <c:pt idx="798">
                  <c:v>45238</c:v>
                </c:pt>
                <c:pt idx="799">
                  <c:v>45239</c:v>
                </c:pt>
                <c:pt idx="800">
                  <c:v>45240</c:v>
                </c:pt>
                <c:pt idx="801">
                  <c:v>45242</c:v>
                </c:pt>
                <c:pt idx="802">
                  <c:v>45243</c:v>
                </c:pt>
                <c:pt idx="803">
                  <c:v>45245</c:v>
                </c:pt>
                <c:pt idx="804">
                  <c:v>45246</c:v>
                </c:pt>
                <c:pt idx="805">
                  <c:v>45247</c:v>
                </c:pt>
                <c:pt idx="806">
                  <c:v>45250</c:v>
                </c:pt>
                <c:pt idx="807">
                  <c:v>45251</c:v>
                </c:pt>
                <c:pt idx="808">
                  <c:v>45252</c:v>
                </c:pt>
                <c:pt idx="809">
                  <c:v>45253</c:v>
                </c:pt>
                <c:pt idx="810">
                  <c:v>45254</c:v>
                </c:pt>
                <c:pt idx="811">
                  <c:v>45258</c:v>
                </c:pt>
                <c:pt idx="812">
                  <c:v>45259</c:v>
                </c:pt>
                <c:pt idx="813">
                  <c:v>45260</c:v>
                </c:pt>
                <c:pt idx="814">
                  <c:v>45261</c:v>
                </c:pt>
                <c:pt idx="815">
                  <c:v>45264</c:v>
                </c:pt>
                <c:pt idx="816">
                  <c:v>45265</c:v>
                </c:pt>
                <c:pt idx="817">
                  <c:v>45266</c:v>
                </c:pt>
                <c:pt idx="818">
                  <c:v>45267</c:v>
                </c:pt>
                <c:pt idx="819">
                  <c:v>45268</c:v>
                </c:pt>
                <c:pt idx="820">
                  <c:v>45271</c:v>
                </c:pt>
                <c:pt idx="821">
                  <c:v>45272</c:v>
                </c:pt>
                <c:pt idx="822">
                  <c:v>45273</c:v>
                </c:pt>
                <c:pt idx="823">
                  <c:v>45274</c:v>
                </c:pt>
                <c:pt idx="824">
                  <c:v>45275</c:v>
                </c:pt>
                <c:pt idx="825">
                  <c:v>45278</c:v>
                </c:pt>
                <c:pt idx="826">
                  <c:v>45279</c:v>
                </c:pt>
                <c:pt idx="827">
                  <c:v>45280</c:v>
                </c:pt>
                <c:pt idx="828">
                  <c:v>45281</c:v>
                </c:pt>
                <c:pt idx="829">
                  <c:v>45282</c:v>
                </c:pt>
                <c:pt idx="830">
                  <c:v>45286</c:v>
                </c:pt>
                <c:pt idx="831">
                  <c:v>45287</c:v>
                </c:pt>
                <c:pt idx="832">
                  <c:v>45288</c:v>
                </c:pt>
                <c:pt idx="833">
                  <c:v>45289</c:v>
                </c:pt>
                <c:pt idx="834">
                  <c:v>45292</c:v>
                </c:pt>
                <c:pt idx="835">
                  <c:v>45293</c:v>
                </c:pt>
                <c:pt idx="836">
                  <c:v>45294</c:v>
                </c:pt>
                <c:pt idx="837">
                  <c:v>45295</c:v>
                </c:pt>
                <c:pt idx="838">
                  <c:v>45296</c:v>
                </c:pt>
                <c:pt idx="839">
                  <c:v>45299</c:v>
                </c:pt>
                <c:pt idx="840">
                  <c:v>45300</c:v>
                </c:pt>
                <c:pt idx="841">
                  <c:v>45301</c:v>
                </c:pt>
                <c:pt idx="842">
                  <c:v>45302</c:v>
                </c:pt>
                <c:pt idx="843">
                  <c:v>45303</c:v>
                </c:pt>
                <c:pt idx="844">
                  <c:v>45306</c:v>
                </c:pt>
                <c:pt idx="845">
                  <c:v>45307</c:v>
                </c:pt>
                <c:pt idx="846">
                  <c:v>45308</c:v>
                </c:pt>
                <c:pt idx="847">
                  <c:v>45309</c:v>
                </c:pt>
                <c:pt idx="848">
                  <c:v>45310</c:v>
                </c:pt>
                <c:pt idx="849">
                  <c:v>45311</c:v>
                </c:pt>
                <c:pt idx="850">
                  <c:v>45314</c:v>
                </c:pt>
                <c:pt idx="851">
                  <c:v>45315</c:v>
                </c:pt>
                <c:pt idx="852">
                  <c:v>45316</c:v>
                </c:pt>
                <c:pt idx="853">
                  <c:v>45320</c:v>
                </c:pt>
                <c:pt idx="854">
                  <c:v>45321</c:v>
                </c:pt>
                <c:pt idx="855">
                  <c:v>45322</c:v>
                </c:pt>
                <c:pt idx="856">
                  <c:v>45323</c:v>
                </c:pt>
                <c:pt idx="857">
                  <c:v>45324</c:v>
                </c:pt>
                <c:pt idx="858">
                  <c:v>45327</c:v>
                </c:pt>
                <c:pt idx="859">
                  <c:v>45328</c:v>
                </c:pt>
                <c:pt idx="860">
                  <c:v>45329</c:v>
                </c:pt>
                <c:pt idx="861">
                  <c:v>45330</c:v>
                </c:pt>
                <c:pt idx="862">
                  <c:v>45331</c:v>
                </c:pt>
                <c:pt idx="863">
                  <c:v>45334</c:v>
                </c:pt>
                <c:pt idx="864">
                  <c:v>45335</c:v>
                </c:pt>
                <c:pt idx="865">
                  <c:v>45336</c:v>
                </c:pt>
                <c:pt idx="866">
                  <c:v>45337</c:v>
                </c:pt>
                <c:pt idx="867">
                  <c:v>45338</c:v>
                </c:pt>
                <c:pt idx="868">
                  <c:v>45341</c:v>
                </c:pt>
                <c:pt idx="869">
                  <c:v>45342</c:v>
                </c:pt>
                <c:pt idx="870">
                  <c:v>45343</c:v>
                </c:pt>
                <c:pt idx="871">
                  <c:v>45344</c:v>
                </c:pt>
                <c:pt idx="872">
                  <c:v>45345</c:v>
                </c:pt>
                <c:pt idx="873">
                  <c:v>45348</c:v>
                </c:pt>
                <c:pt idx="874">
                  <c:v>45349</c:v>
                </c:pt>
                <c:pt idx="875">
                  <c:v>45350</c:v>
                </c:pt>
                <c:pt idx="876">
                  <c:v>45351</c:v>
                </c:pt>
                <c:pt idx="877">
                  <c:v>45352</c:v>
                </c:pt>
                <c:pt idx="878">
                  <c:v>45353</c:v>
                </c:pt>
                <c:pt idx="879">
                  <c:v>45355</c:v>
                </c:pt>
                <c:pt idx="880">
                  <c:v>45356</c:v>
                </c:pt>
                <c:pt idx="881">
                  <c:v>45357</c:v>
                </c:pt>
                <c:pt idx="882">
                  <c:v>45358</c:v>
                </c:pt>
                <c:pt idx="883">
                  <c:v>45362</c:v>
                </c:pt>
                <c:pt idx="884">
                  <c:v>45363</c:v>
                </c:pt>
                <c:pt idx="885">
                  <c:v>45364</c:v>
                </c:pt>
                <c:pt idx="886">
                  <c:v>45365</c:v>
                </c:pt>
                <c:pt idx="887">
                  <c:v>45366</c:v>
                </c:pt>
                <c:pt idx="888">
                  <c:v>45369</c:v>
                </c:pt>
                <c:pt idx="889">
                  <c:v>45370</c:v>
                </c:pt>
                <c:pt idx="890">
                  <c:v>45371</c:v>
                </c:pt>
                <c:pt idx="891">
                  <c:v>45372</c:v>
                </c:pt>
                <c:pt idx="892">
                  <c:v>45373</c:v>
                </c:pt>
                <c:pt idx="893">
                  <c:v>45377</c:v>
                </c:pt>
                <c:pt idx="894">
                  <c:v>45378</c:v>
                </c:pt>
                <c:pt idx="895">
                  <c:v>45379</c:v>
                </c:pt>
                <c:pt idx="896">
                  <c:v>45383</c:v>
                </c:pt>
                <c:pt idx="897">
                  <c:v>45384</c:v>
                </c:pt>
                <c:pt idx="898">
                  <c:v>45385</c:v>
                </c:pt>
                <c:pt idx="899">
                  <c:v>45386</c:v>
                </c:pt>
                <c:pt idx="900">
                  <c:v>45387</c:v>
                </c:pt>
                <c:pt idx="901">
                  <c:v>45390</c:v>
                </c:pt>
                <c:pt idx="902">
                  <c:v>45391</c:v>
                </c:pt>
                <c:pt idx="903">
                  <c:v>45392</c:v>
                </c:pt>
                <c:pt idx="904">
                  <c:v>45394</c:v>
                </c:pt>
                <c:pt idx="905">
                  <c:v>45397</c:v>
                </c:pt>
                <c:pt idx="906">
                  <c:v>45398</c:v>
                </c:pt>
                <c:pt idx="907">
                  <c:v>45400</c:v>
                </c:pt>
                <c:pt idx="908">
                  <c:v>45401</c:v>
                </c:pt>
                <c:pt idx="909">
                  <c:v>45404</c:v>
                </c:pt>
                <c:pt idx="910">
                  <c:v>45405</c:v>
                </c:pt>
                <c:pt idx="911">
                  <c:v>45406</c:v>
                </c:pt>
                <c:pt idx="912">
                  <c:v>45407</c:v>
                </c:pt>
                <c:pt idx="913">
                  <c:v>45408</c:v>
                </c:pt>
                <c:pt idx="914">
                  <c:v>45411</c:v>
                </c:pt>
                <c:pt idx="915">
                  <c:v>45412</c:v>
                </c:pt>
                <c:pt idx="916">
                  <c:v>45414</c:v>
                </c:pt>
                <c:pt idx="917">
                  <c:v>45415</c:v>
                </c:pt>
                <c:pt idx="918">
                  <c:v>45418</c:v>
                </c:pt>
                <c:pt idx="919">
                  <c:v>45419</c:v>
                </c:pt>
                <c:pt idx="920">
                  <c:v>45420</c:v>
                </c:pt>
                <c:pt idx="921">
                  <c:v>45421</c:v>
                </c:pt>
                <c:pt idx="922">
                  <c:v>45422</c:v>
                </c:pt>
                <c:pt idx="923">
                  <c:v>45425</c:v>
                </c:pt>
                <c:pt idx="924">
                  <c:v>45426</c:v>
                </c:pt>
                <c:pt idx="925">
                  <c:v>45427</c:v>
                </c:pt>
                <c:pt idx="926">
                  <c:v>45428</c:v>
                </c:pt>
                <c:pt idx="927">
                  <c:v>45429</c:v>
                </c:pt>
                <c:pt idx="928">
                  <c:v>45430</c:v>
                </c:pt>
                <c:pt idx="929">
                  <c:v>45433</c:v>
                </c:pt>
                <c:pt idx="930">
                  <c:v>45434</c:v>
                </c:pt>
                <c:pt idx="931">
                  <c:v>45435</c:v>
                </c:pt>
                <c:pt idx="932">
                  <c:v>45436</c:v>
                </c:pt>
                <c:pt idx="933">
                  <c:v>45439</c:v>
                </c:pt>
                <c:pt idx="934">
                  <c:v>45440</c:v>
                </c:pt>
                <c:pt idx="935">
                  <c:v>45441</c:v>
                </c:pt>
                <c:pt idx="936">
                  <c:v>45442</c:v>
                </c:pt>
                <c:pt idx="937">
                  <c:v>45443</c:v>
                </c:pt>
                <c:pt idx="938">
                  <c:v>45446</c:v>
                </c:pt>
                <c:pt idx="939">
                  <c:v>45447</c:v>
                </c:pt>
                <c:pt idx="940">
                  <c:v>45448</c:v>
                </c:pt>
                <c:pt idx="941">
                  <c:v>45449</c:v>
                </c:pt>
                <c:pt idx="942">
                  <c:v>45450</c:v>
                </c:pt>
                <c:pt idx="943">
                  <c:v>45453</c:v>
                </c:pt>
                <c:pt idx="944">
                  <c:v>45454</c:v>
                </c:pt>
                <c:pt idx="945">
                  <c:v>45455</c:v>
                </c:pt>
                <c:pt idx="946">
                  <c:v>45456</c:v>
                </c:pt>
                <c:pt idx="947">
                  <c:v>45457</c:v>
                </c:pt>
                <c:pt idx="948">
                  <c:v>45461</c:v>
                </c:pt>
                <c:pt idx="949">
                  <c:v>45462</c:v>
                </c:pt>
                <c:pt idx="950">
                  <c:v>45463</c:v>
                </c:pt>
                <c:pt idx="951">
                  <c:v>45464</c:v>
                </c:pt>
                <c:pt idx="952">
                  <c:v>45467</c:v>
                </c:pt>
                <c:pt idx="953">
                  <c:v>45468</c:v>
                </c:pt>
                <c:pt idx="954">
                  <c:v>45469</c:v>
                </c:pt>
                <c:pt idx="955">
                  <c:v>45470</c:v>
                </c:pt>
                <c:pt idx="956">
                  <c:v>45471</c:v>
                </c:pt>
                <c:pt idx="957">
                  <c:v>45474</c:v>
                </c:pt>
                <c:pt idx="958">
                  <c:v>45475</c:v>
                </c:pt>
                <c:pt idx="959">
                  <c:v>45476</c:v>
                </c:pt>
                <c:pt idx="960">
                  <c:v>45477</c:v>
                </c:pt>
                <c:pt idx="961">
                  <c:v>45478</c:v>
                </c:pt>
                <c:pt idx="962">
                  <c:v>45481</c:v>
                </c:pt>
                <c:pt idx="963">
                  <c:v>45482</c:v>
                </c:pt>
                <c:pt idx="964">
                  <c:v>45483</c:v>
                </c:pt>
                <c:pt idx="965">
                  <c:v>45484</c:v>
                </c:pt>
                <c:pt idx="966">
                  <c:v>45485</c:v>
                </c:pt>
                <c:pt idx="967">
                  <c:v>45488</c:v>
                </c:pt>
                <c:pt idx="968">
                  <c:v>45489</c:v>
                </c:pt>
                <c:pt idx="969">
                  <c:v>45491</c:v>
                </c:pt>
                <c:pt idx="970">
                  <c:v>45492</c:v>
                </c:pt>
                <c:pt idx="971">
                  <c:v>45495</c:v>
                </c:pt>
                <c:pt idx="972">
                  <c:v>45496</c:v>
                </c:pt>
                <c:pt idx="973">
                  <c:v>45497</c:v>
                </c:pt>
                <c:pt idx="974">
                  <c:v>45498</c:v>
                </c:pt>
                <c:pt idx="975">
                  <c:v>45499</c:v>
                </c:pt>
                <c:pt idx="976">
                  <c:v>45502</c:v>
                </c:pt>
                <c:pt idx="977">
                  <c:v>45503</c:v>
                </c:pt>
                <c:pt idx="978">
                  <c:v>45504</c:v>
                </c:pt>
                <c:pt idx="979">
                  <c:v>45505</c:v>
                </c:pt>
                <c:pt idx="980">
                  <c:v>45506</c:v>
                </c:pt>
                <c:pt idx="981">
                  <c:v>45509</c:v>
                </c:pt>
                <c:pt idx="982">
                  <c:v>45510</c:v>
                </c:pt>
                <c:pt idx="983">
                  <c:v>45511</c:v>
                </c:pt>
                <c:pt idx="984">
                  <c:v>45512</c:v>
                </c:pt>
                <c:pt idx="985">
                  <c:v>45513</c:v>
                </c:pt>
                <c:pt idx="986">
                  <c:v>45516</c:v>
                </c:pt>
                <c:pt idx="987">
                  <c:v>45517</c:v>
                </c:pt>
                <c:pt idx="988">
                  <c:v>45518</c:v>
                </c:pt>
                <c:pt idx="989">
                  <c:v>45520</c:v>
                </c:pt>
                <c:pt idx="990">
                  <c:v>45523</c:v>
                </c:pt>
                <c:pt idx="991">
                  <c:v>45524</c:v>
                </c:pt>
                <c:pt idx="992">
                  <c:v>45525</c:v>
                </c:pt>
                <c:pt idx="993">
                  <c:v>45526</c:v>
                </c:pt>
                <c:pt idx="994">
                  <c:v>45527</c:v>
                </c:pt>
                <c:pt idx="995">
                  <c:v>45530</c:v>
                </c:pt>
                <c:pt idx="996">
                  <c:v>45531</c:v>
                </c:pt>
                <c:pt idx="997">
                  <c:v>45532</c:v>
                </c:pt>
                <c:pt idx="998">
                  <c:v>45533</c:v>
                </c:pt>
                <c:pt idx="999">
                  <c:v>45534</c:v>
                </c:pt>
                <c:pt idx="1000">
                  <c:v>45537</c:v>
                </c:pt>
                <c:pt idx="1001">
                  <c:v>45538</c:v>
                </c:pt>
                <c:pt idx="1002">
                  <c:v>45539</c:v>
                </c:pt>
                <c:pt idx="1003">
                  <c:v>45540</c:v>
                </c:pt>
                <c:pt idx="1004">
                  <c:v>45541</c:v>
                </c:pt>
                <c:pt idx="1005">
                  <c:v>45544</c:v>
                </c:pt>
                <c:pt idx="1006">
                  <c:v>45545</c:v>
                </c:pt>
                <c:pt idx="1007">
                  <c:v>45546</c:v>
                </c:pt>
                <c:pt idx="1008">
                  <c:v>45547</c:v>
                </c:pt>
                <c:pt idx="1009">
                  <c:v>45548</c:v>
                </c:pt>
                <c:pt idx="1010">
                  <c:v>45551</c:v>
                </c:pt>
                <c:pt idx="1011">
                  <c:v>45552</c:v>
                </c:pt>
                <c:pt idx="1012">
                  <c:v>45553</c:v>
                </c:pt>
                <c:pt idx="1013">
                  <c:v>45554</c:v>
                </c:pt>
                <c:pt idx="1014">
                  <c:v>45555</c:v>
                </c:pt>
                <c:pt idx="1015">
                  <c:v>45558</c:v>
                </c:pt>
                <c:pt idx="1016">
                  <c:v>45559</c:v>
                </c:pt>
                <c:pt idx="1017">
                  <c:v>45560</c:v>
                </c:pt>
                <c:pt idx="1018">
                  <c:v>45561</c:v>
                </c:pt>
                <c:pt idx="1019">
                  <c:v>45562</c:v>
                </c:pt>
                <c:pt idx="1020">
                  <c:v>45565</c:v>
                </c:pt>
                <c:pt idx="1021">
                  <c:v>45566</c:v>
                </c:pt>
                <c:pt idx="1022">
                  <c:v>45568</c:v>
                </c:pt>
                <c:pt idx="1023">
                  <c:v>45569</c:v>
                </c:pt>
                <c:pt idx="1024">
                  <c:v>45572</c:v>
                </c:pt>
                <c:pt idx="1025">
                  <c:v>45573</c:v>
                </c:pt>
                <c:pt idx="1026">
                  <c:v>45574</c:v>
                </c:pt>
                <c:pt idx="1027">
                  <c:v>45575</c:v>
                </c:pt>
                <c:pt idx="1028">
                  <c:v>45576</c:v>
                </c:pt>
                <c:pt idx="1029">
                  <c:v>45579</c:v>
                </c:pt>
                <c:pt idx="1030">
                  <c:v>45580</c:v>
                </c:pt>
                <c:pt idx="1031">
                  <c:v>45581</c:v>
                </c:pt>
                <c:pt idx="1032">
                  <c:v>45582</c:v>
                </c:pt>
                <c:pt idx="1033">
                  <c:v>45583</c:v>
                </c:pt>
                <c:pt idx="1034">
                  <c:v>45586</c:v>
                </c:pt>
                <c:pt idx="1035">
                  <c:v>45587</c:v>
                </c:pt>
                <c:pt idx="1036">
                  <c:v>45588</c:v>
                </c:pt>
                <c:pt idx="1037">
                  <c:v>45589</c:v>
                </c:pt>
                <c:pt idx="1038">
                  <c:v>45590</c:v>
                </c:pt>
                <c:pt idx="1039">
                  <c:v>45593</c:v>
                </c:pt>
                <c:pt idx="1040">
                  <c:v>45594</c:v>
                </c:pt>
                <c:pt idx="1041">
                  <c:v>45595</c:v>
                </c:pt>
                <c:pt idx="1042">
                  <c:v>45596</c:v>
                </c:pt>
                <c:pt idx="1043">
                  <c:v>45597</c:v>
                </c:pt>
                <c:pt idx="1044">
                  <c:v>45600</c:v>
                </c:pt>
                <c:pt idx="1045">
                  <c:v>45601</c:v>
                </c:pt>
                <c:pt idx="1046">
                  <c:v>45602</c:v>
                </c:pt>
                <c:pt idx="1047">
                  <c:v>45603</c:v>
                </c:pt>
                <c:pt idx="1048">
                  <c:v>45604</c:v>
                </c:pt>
                <c:pt idx="1049">
                  <c:v>45607</c:v>
                </c:pt>
                <c:pt idx="1050">
                  <c:v>45608</c:v>
                </c:pt>
                <c:pt idx="1051">
                  <c:v>45609</c:v>
                </c:pt>
                <c:pt idx="1052">
                  <c:v>45610</c:v>
                </c:pt>
                <c:pt idx="1053">
                  <c:v>45614</c:v>
                </c:pt>
                <c:pt idx="1054">
                  <c:v>45615</c:v>
                </c:pt>
                <c:pt idx="1055">
                  <c:v>45617</c:v>
                </c:pt>
                <c:pt idx="1056">
                  <c:v>45618</c:v>
                </c:pt>
                <c:pt idx="1057">
                  <c:v>45621</c:v>
                </c:pt>
                <c:pt idx="1058">
                  <c:v>45622</c:v>
                </c:pt>
                <c:pt idx="1059">
                  <c:v>45623</c:v>
                </c:pt>
                <c:pt idx="1060">
                  <c:v>45624</c:v>
                </c:pt>
                <c:pt idx="1061">
                  <c:v>45625</c:v>
                </c:pt>
                <c:pt idx="1062">
                  <c:v>45628</c:v>
                </c:pt>
                <c:pt idx="1063">
                  <c:v>45629</c:v>
                </c:pt>
                <c:pt idx="1064">
                  <c:v>45630</c:v>
                </c:pt>
                <c:pt idx="1065">
                  <c:v>45631</c:v>
                </c:pt>
                <c:pt idx="1066">
                  <c:v>45632</c:v>
                </c:pt>
                <c:pt idx="1067">
                  <c:v>45635</c:v>
                </c:pt>
                <c:pt idx="1068">
                  <c:v>45636</c:v>
                </c:pt>
                <c:pt idx="1069">
                  <c:v>45637</c:v>
                </c:pt>
                <c:pt idx="1070">
                  <c:v>45638</c:v>
                </c:pt>
                <c:pt idx="1071">
                  <c:v>45639</c:v>
                </c:pt>
                <c:pt idx="1072">
                  <c:v>45642</c:v>
                </c:pt>
                <c:pt idx="1073">
                  <c:v>45643</c:v>
                </c:pt>
                <c:pt idx="1074">
                  <c:v>45644</c:v>
                </c:pt>
                <c:pt idx="1075">
                  <c:v>45645</c:v>
                </c:pt>
                <c:pt idx="1076">
                  <c:v>45646</c:v>
                </c:pt>
                <c:pt idx="1077">
                  <c:v>45649</c:v>
                </c:pt>
                <c:pt idx="1078">
                  <c:v>45650</c:v>
                </c:pt>
                <c:pt idx="1079">
                  <c:v>45652</c:v>
                </c:pt>
                <c:pt idx="1080">
                  <c:v>45653</c:v>
                </c:pt>
                <c:pt idx="1081">
                  <c:v>45656</c:v>
                </c:pt>
                <c:pt idx="1082">
                  <c:v>45657</c:v>
                </c:pt>
                <c:pt idx="1083">
                  <c:v>45658</c:v>
                </c:pt>
                <c:pt idx="1084">
                  <c:v>45659</c:v>
                </c:pt>
                <c:pt idx="1085">
                  <c:v>45660</c:v>
                </c:pt>
                <c:pt idx="1086">
                  <c:v>45663</c:v>
                </c:pt>
                <c:pt idx="1087">
                  <c:v>45664</c:v>
                </c:pt>
                <c:pt idx="1088">
                  <c:v>45665</c:v>
                </c:pt>
                <c:pt idx="1089">
                  <c:v>45666</c:v>
                </c:pt>
                <c:pt idx="1090">
                  <c:v>45667</c:v>
                </c:pt>
                <c:pt idx="1091">
                  <c:v>45670</c:v>
                </c:pt>
                <c:pt idx="1092">
                  <c:v>45671</c:v>
                </c:pt>
                <c:pt idx="1093">
                  <c:v>45672</c:v>
                </c:pt>
                <c:pt idx="1094">
                  <c:v>45673</c:v>
                </c:pt>
                <c:pt idx="1095">
                  <c:v>45674</c:v>
                </c:pt>
                <c:pt idx="1096">
                  <c:v>45677</c:v>
                </c:pt>
                <c:pt idx="1097">
                  <c:v>45678</c:v>
                </c:pt>
                <c:pt idx="1098">
                  <c:v>45679</c:v>
                </c:pt>
                <c:pt idx="1099">
                  <c:v>45680</c:v>
                </c:pt>
                <c:pt idx="1100">
                  <c:v>45681</c:v>
                </c:pt>
                <c:pt idx="1101">
                  <c:v>45684</c:v>
                </c:pt>
                <c:pt idx="1102">
                  <c:v>45685</c:v>
                </c:pt>
                <c:pt idx="1103">
                  <c:v>45686</c:v>
                </c:pt>
                <c:pt idx="1104">
                  <c:v>45687</c:v>
                </c:pt>
                <c:pt idx="1105">
                  <c:v>45688</c:v>
                </c:pt>
                <c:pt idx="1106">
                  <c:v>45689</c:v>
                </c:pt>
                <c:pt idx="1107">
                  <c:v>45691</c:v>
                </c:pt>
                <c:pt idx="1108">
                  <c:v>45692</c:v>
                </c:pt>
                <c:pt idx="1109">
                  <c:v>45693</c:v>
                </c:pt>
                <c:pt idx="1110">
                  <c:v>45694</c:v>
                </c:pt>
                <c:pt idx="1111">
                  <c:v>45695</c:v>
                </c:pt>
                <c:pt idx="1112">
                  <c:v>45698</c:v>
                </c:pt>
                <c:pt idx="1113">
                  <c:v>45699</c:v>
                </c:pt>
                <c:pt idx="1114">
                  <c:v>45700</c:v>
                </c:pt>
                <c:pt idx="1115">
                  <c:v>45701</c:v>
                </c:pt>
                <c:pt idx="1116">
                  <c:v>45702</c:v>
                </c:pt>
                <c:pt idx="1117">
                  <c:v>45705</c:v>
                </c:pt>
                <c:pt idx="1118">
                  <c:v>45706</c:v>
                </c:pt>
                <c:pt idx="1119">
                  <c:v>45707</c:v>
                </c:pt>
                <c:pt idx="1120">
                  <c:v>45708</c:v>
                </c:pt>
                <c:pt idx="1121">
                  <c:v>45709</c:v>
                </c:pt>
                <c:pt idx="1122">
                  <c:v>45712</c:v>
                </c:pt>
                <c:pt idx="1123">
                  <c:v>45713</c:v>
                </c:pt>
                <c:pt idx="1124">
                  <c:v>45715</c:v>
                </c:pt>
                <c:pt idx="1125">
                  <c:v>45716</c:v>
                </c:pt>
                <c:pt idx="1126">
                  <c:v>45719</c:v>
                </c:pt>
                <c:pt idx="1127">
                  <c:v>45720</c:v>
                </c:pt>
                <c:pt idx="1128">
                  <c:v>45721</c:v>
                </c:pt>
                <c:pt idx="1129">
                  <c:v>45722</c:v>
                </c:pt>
                <c:pt idx="1130">
                  <c:v>45723</c:v>
                </c:pt>
                <c:pt idx="1131">
                  <c:v>45726</c:v>
                </c:pt>
                <c:pt idx="1132">
                  <c:v>45727</c:v>
                </c:pt>
                <c:pt idx="1133">
                  <c:v>45728</c:v>
                </c:pt>
                <c:pt idx="1134">
                  <c:v>45729</c:v>
                </c:pt>
                <c:pt idx="1135">
                  <c:v>45733</c:v>
                </c:pt>
                <c:pt idx="1136">
                  <c:v>45734</c:v>
                </c:pt>
                <c:pt idx="1137">
                  <c:v>45735</c:v>
                </c:pt>
                <c:pt idx="1138">
                  <c:v>45736</c:v>
                </c:pt>
                <c:pt idx="1139">
                  <c:v>45737</c:v>
                </c:pt>
                <c:pt idx="1140">
                  <c:v>45740</c:v>
                </c:pt>
                <c:pt idx="1141">
                  <c:v>45741</c:v>
                </c:pt>
                <c:pt idx="1142">
                  <c:v>45742</c:v>
                </c:pt>
                <c:pt idx="1143">
                  <c:v>45743</c:v>
                </c:pt>
                <c:pt idx="1144">
                  <c:v>45744</c:v>
                </c:pt>
                <c:pt idx="1145">
                  <c:v>45748</c:v>
                </c:pt>
                <c:pt idx="1146">
                  <c:v>45749</c:v>
                </c:pt>
                <c:pt idx="1147">
                  <c:v>45750</c:v>
                </c:pt>
                <c:pt idx="1148">
                  <c:v>45751</c:v>
                </c:pt>
                <c:pt idx="1149">
                  <c:v>45754</c:v>
                </c:pt>
                <c:pt idx="1150">
                  <c:v>45755</c:v>
                </c:pt>
                <c:pt idx="1151">
                  <c:v>45756</c:v>
                </c:pt>
                <c:pt idx="1152">
                  <c:v>45758</c:v>
                </c:pt>
                <c:pt idx="1153">
                  <c:v>45762</c:v>
                </c:pt>
                <c:pt idx="1154">
                  <c:v>45763</c:v>
                </c:pt>
                <c:pt idx="1155">
                  <c:v>45764</c:v>
                </c:pt>
                <c:pt idx="1156">
                  <c:v>45768</c:v>
                </c:pt>
                <c:pt idx="1157">
                  <c:v>45769</c:v>
                </c:pt>
                <c:pt idx="1158">
                  <c:v>45770</c:v>
                </c:pt>
                <c:pt idx="1159">
                  <c:v>45771</c:v>
                </c:pt>
                <c:pt idx="1160">
                  <c:v>45772</c:v>
                </c:pt>
                <c:pt idx="1161">
                  <c:v>45775</c:v>
                </c:pt>
                <c:pt idx="1162">
                  <c:v>45776</c:v>
                </c:pt>
                <c:pt idx="1163">
                  <c:v>45777</c:v>
                </c:pt>
                <c:pt idx="1164">
                  <c:v>45779</c:v>
                </c:pt>
                <c:pt idx="1165">
                  <c:v>45782</c:v>
                </c:pt>
                <c:pt idx="1166">
                  <c:v>45783</c:v>
                </c:pt>
                <c:pt idx="1167">
                  <c:v>45784</c:v>
                </c:pt>
                <c:pt idx="1168">
                  <c:v>45785</c:v>
                </c:pt>
                <c:pt idx="1169">
                  <c:v>45786</c:v>
                </c:pt>
                <c:pt idx="1170">
                  <c:v>45789</c:v>
                </c:pt>
                <c:pt idx="1171">
                  <c:v>45790</c:v>
                </c:pt>
                <c:pt idx="1172">
                  <c:v>45791</c:v>
                </c:pt>
                <c:pt idx="1173">
                  <c:v>45792</c:v>
                </c:pt>
                <c:pt idx="1174">
                  <c:v>45793</c:v>
                </c:pt>
                <c:pt idx="1175">
                  <c:v>45796</c:v>
                </c:pt>
                <c:pt idx="1176">
                  <c:v>45797</c:v>
                </c:pt>
                <c:pt idx="1177">
                  <c:v>45798</c:v>
                </c:pt>
                <c:pt idx="1178">
                  <c:v>45799</c:v>
                </c:pt>
                <c:pt idx="1179">
                  <c:v>45800</c:v>
                </c:pt>
                <c:pt idx="1180">
                  <c:v>45803</c:v>
                </c:pt>
                <c:pt idx="1181">
                  <c:v>45804</c:v>
                </c:pt>
                <c:pt idx="1182">
                  <c:v>45805</c:v>
                </c:pt>
                <c:pt idx="1183">
                  <c:v>45806</c:v>
                </c:pt>
                <c:pt idx="1184">
                  <c:v>45807</c:v>
                </c:pt>
                <c:pt idx="1185">
                  <c:v>45810</c:v>
                </c:pt>
                <c:pt idx="1186">
                  <c:v>45811</c:v>
                </c:pt>
                <c:pt idx="1187">
                  <c:v>45812</c:v>
                </c:pt>
                <c:pt idx="1188">
                  <c:v>45813</c:v>
                </c:pt>
                <c:pt idx="1189">
                  <c:v>45814</c:v>
                </c:pt>
                <c:pt idx="1190">
                  <c:v>45817</c:v>
                </c:pt>
                <c:pt idx="1191">
                  <c:v>45818</c:v>
                </c:pt>
                <c:pt idx="1192">
                  <c:v>45819</c:v>
                </c:pt>
                <c:pt idx="1193">
                  <c:v>45820</c:v>
                </c:pt>
                <c:pt idx="1194">
                  <c:v>45821</c:v>
                </c:pt>
                <c:pt idx="1195">
                  <c:v>45824</c:v>
                </c:pt>
                <c:pt idx="1196">
                  <c:v>45825</c:v>
                </c:pt>
                <c:pt idx="1197">
                  <c:v>45826</c:v>
                </c:pt>
                <c:pt idx="1198">
                  <c:v>45827</c:v>
                </c:pt>
                <c:pt idx="1199">
                  <c:v>45828</c:v>
                </c:pt>
                <c:pt idx="1200">
                  <c:v>45831</c:v>
                </c:pt>
                <c:pt idx="1201">
                  <c:v>45832</c:v>
                </c:pt>
                <c:pt idx="1202">
                  <c:v>45833</c:v>
                </c:pt>
                <c:pt idx="1203">
                  <c:v>45834</c:v>
                </c:pt>
                <c:pt idx="1204">
                  <c:v>45835</c:v>
                </c:pt>
                <c:pt idx="1205">
                  <c:v>45838</c:v>
                </c:pt>
                <c:pt idx="1206">
                  <c:v>45839</c:v>
                </c:pt>
                <c:pt idx="1207">
                  <c:v>45840</c:v>
                </c:pt>
                <c:pt idx="1208">
                  <c:v>45841</c:v>
                </c:pt>
                <c:pt idx="1209">
                  <c:v>45842</c:v>
                </c:pt>
                <c:pt idx="1210">
                  <c:v>45845</c:v>
                </c:pt>
                <c:pt idx="1211">
                  <c:v>45846</c:v>
                </c:pt>
                <c:pt idx="1212">
                  <c:v>45847</c:v>
                </c:pt>
                <c:pt idx="1213">
                  <c:v>45848</c:v>
                </c:pt>
                <c:pt idx="1214">
                  <c:v>45849</c:v>
                </c:pt>
                <c:pt idx="1215">
                  <c:v>45852</c:v>
                </c:pt>
                <c:pt idx="1216">
                  <c:v>45853</c:v>
                </c:pt>
                <c:pt idx="1217">
                  <c:v>45854</c:v>
                </c:pt>
                <c:pt idx="1218">
                  <c:v>45855</c:v>
                </c:pt>
                <c:pt idx="1219">
                  <c:v>45856</c:v>
                </c:pt>
                <c:pt idx="1220">
                  <c:v>45859</c:v>
                </c:pt>
                <c:pt idx="1221">
                  <c:v>45860</c:v>
                </c:pt>
                <c:pt idx="1222">
                  <c:v>45861</c:v>
                </c:pt>
                <c:pt idx="1223">
                  <c:v>45862</c:v>
                </c:pt>
                <c:pt idx="1224">
                  <c:v>45863</c:v>
                </c:pt>
                <c:pt idx="1225">
                  <c:v>45866</c:v>
                </c:pt>
                <c:pt idx="1226">
                  <c:v>45867</c:v>
                </c:pt>
                <c:pt idx="1227">
                  <c:v>45868</c:v>
                </c:pt>
                <c:pt idx="1228">
                  <c:v>45869</c:v>
                </c:pt>
                <c:pt idx="1229">
                  <c:v>45870</c:v>
                </c:pt>
                <c:pt idx="1230">
                  <c:v>45873</c:v>
                </c:pt>
                <c:pt idx="1231">
                  <c:v>45874</c:v>
                </c:pt>
                <c:pt idx="1232">
                  <c:v>45875</c:v>
                </c:pt>
                <c:pt idx="1233">
                  <c:v>45876</c:v>
                </c:pt>
                <c:pt idx="1234">
                  <c:v>45877</c:v>
                </c:pt>
                <c:pt idx="1235">
                  <c:v>45880</c:v>
                </c:pt>
                <c:pt idx="1236">
                  <c:v>45881</c:v>
                </c:pt>
                <c:pt idx="1237">
                  <c:v>45882</c:v>
                </c:pt>
                <c:pt idx="1238">
                  <c:v>45883</c:v>
                </c:pt>
                <c:pt idx="1239">
                  <c:v>45887</c:v>
                </c:pt>
                <c:pt idx="1240">
                  <c:v>45888</c:v>
                </c:pt>
                <c:pt idx="1241">
                  <c:v>45889</c:v>
                </c:pt>
              </c:numCache>
            </c:numRef>
          </c:cat>
          <c:val>
            <c:numRef>
              <c:f>'[1]TAMO Historical Data (6)'!$B$2:$B$1243</c:f>
              <c:numCache>
                <c:formatCode>General</c:formatCode>
                <c:ptCount val="1242"/>
                <c:pt idx="0">
                  <c:v>43.53</c:v>
                </c:pt>
                <c:pt idx="1">
                  <c:v>48.65</c:v>
                </c:pt>
                <c:pt idx="2">
                  <c:v>31.3</c:v>
                </c:pt>
                <c:pt idx="3">
                  <c:v>90.27</c:v>
                </c:pt>
                <c:pt idx="4">
                  <c:v>197.52</c:v>
                </c:pt>
                <c:pt idx="5">
                  <c:v>181.38</c:v>
                </c:pt>
                <c:pt idx="6">
                  <c:v>95.2</c:v>
                </c:pt>
                <c:pt idx="7">
                  <c:v>160.56</c:v>
                </c:pt>
                <c:pt idx="8">
                  <c:v>58.81</c:v>
                </c:pt>
                <c:pt idx="9">
                  <c:v>74.95</c:v>
                </c:pt>
                <c:pt idx="10">
                  <c:v>110.16</c:v>
                </c:pt>
                <c:pt idx="11">
                  <c:v>95.57</c:v>
                </c:pt>
                <c:pt idx="12">
                  <c:v>82.62</c:v>
                </c:pt>
                <c:pt idx="13">
                  <c:v>76.3</c:v>
                </c:pt>
                <c:pt idx="14">
                  <c:v>105.36</c:v>
                </c:pt>
                <c:pt idx="15">
                  <c:v>79.61</c:v>
                </c:pt>
                <c:pt idx="16">
                  <c:v>65.14</c:v>
                </c:pt>
                <c:pt idx="17">
                  <c:v>84.51</c:v>
                </c:pt>
                <c:pt idx="18">
                  <c:v>42.89</c:v>
                </c:pt>
                <c:pt idx="19">
                  <c:v>85.06</c:v>
                </c:pt>
                <c:pt idx="20">
                  <c:v>48.12</c:v>
                </c:pt>
                <c:pt idx="21">
                  <c:v>46.27</c:v>
                </c:pt>
                <c:pt idx="22">
                  <c:v>64.739999999999995</c:v>
                </c:pt>
                <c:pt idx="23">
                  <c:v>87.3</c:v>
                </c:pt>
                <c:pt idx="24">
                  <c:v>74.98</c:v>
                </c:pt>
                <c:pt idx="25">
                  <c:v>62.42</c:v>
                </c:pt>
                <c:pt idx="26">
                  <c:v>65.040000000000006</c:v>
                </c:pt>
                <c:pt idx="27">
                  <c:v>61.83</c:v>
                </c:pt>
                <c:pt idx="28">
                  <c:v>63.37</c:v>
                </c:pt>
                <c:pt idx="29">
                  <c:v>48.86</c:v>
                </c:pt>
                <c:pt idx="30">
                  <c:v>40.49</c:v>
                </c:pt>
                <c:pt idx="31">
                  <c:v>55.27</c:v>
                </c:pt>
                <c:pt idx="32">
                  <c:v>162.05000000000001</c:v>
                </c:pt>
                <c:pt idx="33">
                  <c:v>68.27</c:v>
                </c:pt>
                <c:pt idx="34">
                  <c:v>40.94</c:v>
                </c:pt>
                <c:pt idx="35">
                  <c:v>37.1</c:v>
                </c:pt>
                <c:pt idx="36">
                  <c:v>39.28</c:v>
                </c:pt>
                <c:pt idx="37">
                  <c:v>38.97</c:v>
                </c:pt>
                <c:pt idx="38">
                  <c:v>45.79</c:v>
                </c:pt>
                <c:pt idx="39">
                  <c:v>64</c:v>
                </c:pt>
                <c:pt idx="40">
                  <c:v>62.55</c:v>
                </c:pt>
                <c:pt idx="41">
                  <c:v>33.159999999999997</c:v>
                </c:pt>
                <c:pt idx="42">
                  <c:v>27.47</c:v>
                </c:pt>
                <c:pt idx="43">
                  <c:v>39.25</c:v>
                </c:pt>
                <c:pt idx="44">
                  <c:v>48.81</c:v>
                </c:pt>
                <c:pt idx="45">
                  <c:v>68.709999999999994</c:v>
                </c:pt>
                <c:pt idx="46">
                  <c:v>88.53</c:v>
                </c:pt>
                <c:pt idx="47">
                  <c:v>56.86</c:v>
                </c:pt>
                <c:pt idx="48">
                  <c:v>152.36000000000001</c:v>
                </c:pt>
                <c:pt idx="49">
                  <c:v>66.63</c:v>
                </c:pt>
                <c:pt idx="50">
                  <c:v>51.13</c:v>
                </c:pt>
                <c:pt idx="51">
                  <c:v>40.39</c:v>
                </c:pt>
                <c:pt idx="52">
                  <c:v>52.07</c:v>
                </c:pt>
                <c:pt idx="53">
                  <c:v>44.68</c:v>
                </c:pt>
                <c:pt idx="54">
                  <c:v>38.93</c:v>
                </c:pt>
                <c:pt idx="55">
                  <c:v>67.97</c:v>
                </c:pt>
                <c:pt idx="56">
                  <c:v>40.28</c:v>
                </c:pt>
                <c:pt idx="57">
                  <c:v>68.790000000000006</c:v>
                </c:pt>
                <c:pt idx="58">
                  <c:v>78.58</c:v>
                </c:pt>
                <c:pt idx="59">
                  <c:v>56.15</c:v>
                </c:pt>
                <c:pt idx="60">
                  <c:v>32.57</c:v>
                </c:pt>
                <c:pt idx="61">
                  <c:v>82.64</c:v>
                </c:pt>
                <c:pt idx="62">
                  <c:v>171.8</c:v>
                </c:pt>
                <c:pt idx="63">
                  <c:v>109.45</c:v>
                </c:pt>
                <c:pt idx="64">
                  <c:v>66.94</c:v>
                </c:pt>
                <c:pt idx="65">
                  <c:v>54.57</c:v>
                </c:pt>
                <c:pt idx="66">
                  <c:v>47.7</c:v>
                </c:pt>
                <c:pt idx="67">
                  <c:v>54.37</c:v>
                </c:pt>
                <c:pt idx="68">
                  <c:v>39.090000000000003</c:v>
                </c:pt>
                <c:pt idx="69">
                  <c:v>125.93</c:v>
                </c:pt>
                <c:pt idx="70">
                  <c:v>48.88</c:v>
                </c:pt>
                <c:pt idx="71">
                  <c:v>88.11</c:v>
                </c:pt>
                <c:pt idx="72">
                  <c:v>33.33</c:v>
                </c:pt>
                <c:pt idx="73">
                  <c:v>48</c:v>
                </c:pt>
                <c:pt idx="74">
                  <c:v>29.8</c:v>
                </c:pt>
                <c:pt idx="75">
                  <c:v>42.14</c:v>
                </c:pt>
                <c:pt idx="76">
                  <c:v>40.299999999999997</c:v>
                </c:pt>
                <c:pt idx="77">
                  <c:v>38.369999999999997</c:v>
                </c:pt>
                <c:pt idx="78">
                  <c:v>43.07</c:v>
                </c:pt>
                <c:pt idx="79">
                  <c:v>33.19</c:v>
                </c:pt>
                <c:pt idx="80">
                  <c:v>41.19</c:v>
                </c:pt>
                <c:pt idx="81">
                  <c:v>51.26</c:v>
                </c:pt>
                <c:pt idx="82">
                  <c:v>34.1</c:v>
                </c:pt>
                <c:pt idx="83">
                  <c:v>46.07</c:v>
                </c:pt>
                <c:pt idx="84">
                  <c:v>75.58</c:v>
                </c:pt>
                <c:pt idx="85">
                  <c:v>110.01</c:v>
                </c:pt>
                <c:pt idx="86">
                  <c:v>56.93</c:v>
                </c:pt>
                <c:pt idx="87">
                  <c:v>73.83</c:v>
                </c:pt>
                <c:pt idx="88">
                  <c:v>98.01</c:v>
                </c:pt>
                <c:pt idx="89">
                  <c:v>71.319999999999993</c:v>
                </c:pt>
                <c:pt idx="90">
                  <c:v>38.58</c:v>
                </c:pt>
                <c:pt idx="91">
                  <c:v>48.98</c:v>
                </c:pt>
                <c:pt idx="92">
                  <c:v>27.33</c:v>
                </c:pt>
                <c:pt idx="93">
                  <c:v>63.98</c:v>
                </c:pt>
                <c:pt idx="94">
                  <c:v>75.75</c:v>
                </c:pt>
                <c:pt idx="95">
                  <c:v>75.62</c:v>
                </c:pt>
                <c:pt idx="96">
                  <c:v>66.02</c:v>
                </c:pt>
                <c:pt idx="97">
                  <c:v>53.99</c:v>
                </c:pt>
                <c:pt idx="98">
                  <c:v>182.48</c:v>
                </c:pt>
                <c:pt idx="99">
                  <c:v>390.58</c:v>
                </c:pt>
                <c:pt idx="100">
                  <c:v>164.65</c:v>
                </c:pt>
                <c:pt idx="101">
                  <c:v>86.82</c:v>
                </c:pt>
                <c:pt idx="102">
                  <c:v>250.04</c:v>
                </c:pt>
                <c:pt idx="103">
                  <c:v>173.38</c:v>
                </c:pt>
                <c:pt idx="104">
                  <c:v>136.86000000000001</c:v>
                </c:pt>
                <c:pt idx="105">
                  <c:v>205.15</c:v>
                </c:pt>
                <c:pt idx="106">
                  <c:v>283.61</c:v>
                </c:pt>
                <c:pt idx="107">
                  <c:v>316.01</c:v>
                </c:pt>
                <c:pt idx="108">
                  <c:v>164.35</c:v>
                </c:pt>
                <c:pt idx="109">
                  <c:v>126.59</c:v>
                </c:pt>
                <c:pt idx="110">
                  <c:v>129.16</c:v>
                </c:pt>
                <c:pt idx="111">
                  <c:v>138.44</c:v>
                </c:pt>
                <c:pt idx="112">
                  <c:v>165.66</c:v>
                </c:pt>
                <c:pt idx="113">
                  <c:v>251.97</c:v>
                </c:pt>
                <c:pt idx="114">
                  <c:v>224.19</c:v>
                </c:pt>
                <c:pt idx="115">
                  <c:v>121.03</c:v>
                </c:pt>
                <c:pt idx="116">
                  <c:v>103.51</c:v>
                </c:pt>
                <c:pt idx="117">
                  <c:v>102.12</c:v>
                </c:pt>
                <c:pt idx="118">
                  <c:v>105.98</c:v>
                </c:pt>
                <c:pt idx="119">
                  <c:v>93.47</c:v>
                </c:pt>
                <c:pt idx="120">
                  <c:v>55.26</c:v>
                </c:pt>
                <c:pt idx="121">
                  <c:v>64.09</c:v>
                </c:pt>
                <c:pt idx="122">
                  <c:v>78.680000000000007</c:v>
                </c:pt>
                <c:pt idx="123">
                  <c:v>65.94</c:v>
                </c:pt>
                <c:pt idx="124">
                  <c:v>52.15</c:v>
                </c:pt>
                <c:pt idx="125">
                  <c:v>49.2</c:v>
                </c:pt>
                <c:pt idx="126">
                  <c:v>80.27</c:v>
                </c:pt>
                <c:pt idx="127">
                  <c:v>57.72</c:v>
                </c:pt>
                <c:pt idx="128">
                  <c:v>133.31</c:v>
                </c:pt>
                <c:pt idx="129">
                  <c:v>50.82</c:v>
                </c:pt>
                <c:pt idx="130">
                  <c:v>64.510000000000005</c:v>
                </c:pt>
                <c:pt idx="131">
                  <c:v>91.9</c:v>
                </c:pt>
                <c:pt idx="132">
                  <c:v>61.19</c:v>
                </c:pt>
                <c:pt idx="133">
                  <c:v>127.71</c:v>
                </c:pt>
                <c:pt idx="134">
                  <c:v>92.01</c:v>
                </c:pt>
                <c:pt idx="135">
                  <c:v>59.86</c:v>
                </c:pt>
                <c:pt idx="136">
                  <c:v>86.74</c:v>
                </c:pt>
                <c:pt idx="137">
                  <c:v>81.93</c:v>
                </c:pt>
                <c:pt idx="138">
                  <c:v>74.7</c:v>
                </c:pt>
                <c:pt idx="139">
                  <c:v>58.64</c:v>
                </c:pt>
                <c:pt idx="140">
                  <c:v>48.36</c:v>
                </c:pt>
                <c:pt idx="141">
                  <c:v>45.08</c:v>
                </c:pt>
                <c:pt idx="142">
                  <c:v>39.270000000000003</c:v>
                </c:pt>
                <c:pt idx="143">
                  <c:v>47.26</c:v>
                </c:pt>
                <c:pt idx="144">
                  <c:v>73.73</c:v>
                </c:pt>
                <c:pt idx="145">
                  <c:v>109.93</c:v>
                </c:pt>
                <c:pt idx="146">
                  <c:v>56.39</c:v>
                </c:pt>
                <c:pt idx="147">
                  <c:v>60.24</c:v>
                </c:pt>
                <c:pt idx="148">
                  <c:v>61.52</c:v>
                </c:pt>
                <c:pt idx="149">
                  <c:v>84.53</c:v>
                </c:pt>
                <c:pt idx="150">
                  <c:v>80.92</c:v>
                </c:pt>
                <c:pt idx="151">
                  <c:v>45.26</c:v>
                </c:pt>
                <c:pt idx="152">
                  <c:v>58.57</c:v>
                </c:pt>
                <c:pt idx="153">
                  <c:v>44.09</c:v>
                </c:pt>
                <c:pt idx="154">
                  <c:v>66.180000000000007</c:v>
                </c:pt>
                <c:pt idx="155">
                  <c:v>63.03</c:v>
                </c:pt>
                <c:pt idx="156">
                  <c:v>39.07</c:v>
                </c:pt>
                <c:pt idx="157">
                  <c:v>62.46</c:v>
                </c:pt>
                <c:pt idx="158">
                  <c:v>75.459999999999994</c:v>
                </c:pt>
                <c:pt idx="159">
                  <c:v>105.34</c:v>
                </c:pt>
                <c:pt idx="160">
                  <c:v>116.87</c:v>
                </c:pt>
                <c:pt idx="161">
                  <c:v>75.260000000000005</c:v>
                </c:pt>
                <c:pt idx="162">
                  <c:v>75.33</c:v>
                </c:pt>
                <c:pt idx="163">
                  <c:v>65.790000000000006</c:v>
                </c:pt>
                <c:pt idx="164">
                  <c:v>56.74</c:v>
                </c:pt>
                <c:pt idx="165">
                  <c:v>61.02</c:v>
                </c:pt>
                <c:pt idx="166">
                  <c:v>58.16</c:v>
                </c:pt>
                <c:pt idx="167">
                  <c:v>30.58</c:v>
                </c:pt>
                <c:pt idx="168">
                  <c:v>35.04</c:v>
                </c:pt>
                <c:pt idx="169">
                  <c:v>44.67</c:v>
                </c:pt>
                <c:pt idx="170">
                  <c:v>36.65</c:v>
                </c:pt>
                <c:pt idx="171">
                  <c:v>36.119999999999997</c:v>
                </c:pt>
                <c:pt idx="172">
                  <c:v>35.380000000000003</c:v>
                </c:pt>
                <c:pt idx="173">
                  <c:v>38.64</c:v>
                </c:pt>
                <c:pt idx="174">
                  <c:v>29.35</c:v>
                </c:pt>
                <c:pt idx="175">
                  <c:v>45.03</c:v>
                </c:pt>
                <c:pt idx="176">
                  <c:v>41.59</c:v>
                </c:pt>
                <c:pt idx="177">
                  <c:v>53.26</c:v>
                </c:pt>
                <c:pt idx="178">
                  <c:v>58.47</c:v>
                </c:pt>
                <c:pt idx="179">
                  <c:v>111.58</c:v>
                </c:pt>
                <c:pt idx="180">
                  <c:v>81.31</c:v>
                </c:pt>
                <c:pt idx="181">
                  <c:v>51.16</c:v>
                </c:pt>
                <c:pt idx="182">
                  <c:v>86.15</c:v>
                </c:pt>
                <c:pt idx="183">
                  <c:v>119.41</c:v>
                </c:pt>
                <c:pt idx="184">
                  <c:v>54.04</c:v>
                </c:pt>
                <c:pt idx="185">
                  <c:v>40.36</c:v>
                </c:pt>
                <c:pt idx="186">
                  <c:v>31.96</c:v>
                </c:pt>
                <c:pt idx="187">
                  <c:v>37.380000000000003</c:v>
                </c:pt>
                <c:pt idx="188">
                  <c:v>28.64</c:v>
                </c:pt>
                <c:pt idx="189">
                  <c:v>49.48</c:v>
                </c:pt>
                <c:pt idx="190">
                  <c:v>26.62</c:v>
                </c:pt>
                <c:pt idx="191">
                  <c:v>30.92</c:v>
                </c:pt>
                <c:pt idx="192">
                  <c:v>32.6</c:v>
                </c:pt>
                <c:pt idx="193">
                  <c:v>26.32</c:v>
                </c:pt>
                <c:pt idx="194">
                  <c:v>21.41</c:v>
                </c:pt>
                <c:pt idx="195">
                  <c:v>41.28</c:v>
                </c:pt>
                <c:pt idx="196">
                  <c:v>64.989999999999995</c:v>
                </c:pt>
                <c:pt idx="197">
                  <c:v>44.11</c:v>
                </c:pt>
                <c:pt idx="198">
                  <c:v>59.33</c:v>
                </c:pt>
                <c:pt idx="199">
                  <c:v>24.35</c:v>
                </c:pt>
                <c:pt idx="200">
                  <c:v>36.44</c:v>
                </c:pt>
                <c:pt idx="201">
                  <c:v>38.479999999999997</c:v>
                </c:pt>
                <c:pt idx="202">
                  <c:v>35.53</c:v>
                </c:pt>
                <c:pt idx="203">
                  <c:v>27.55</c:v>
                </c:pt>
                <c:pt idx="204">
                  <c:v>29.24</c:v>
                </c:pt>
                <c:pt idx="205">
                  <c:v>49.44</c:v>
                </c:pt>
                <c:pt idx="206">
                  <c:v>29.12</c:v>
                </c:pt>
                <c:pt idx="207">
                  <c:v>26.71</c:v>
                </c:pt>
                <c:pt idx="208">
                  <c:v>25.74</c:v>
                </c:pt>
                <c:pt idx="209">
                  <c:v>15.58</c:v>
                </c:pt>
                <c:pt idx="210">
                  <c:v>22.43</c:v>
                </c:pt>
                <c:pt idx="211">
                  <c:v>17.84</c:v>
                </c:pt>
                <c:pt idx="212">
                  <c:v>22.46</c:v>
                </c:pt>
                <c:pt idx="213">
                  <c:v>18.28</c:v>
                </c:pt>
                <c:pt idx="214">
                  <c:v>27.94</c:v>
                </c:pt>
                <c:pt idx="215">
                  <c:v>18.3</c:v>
                </c:pt>
                <c:pt idx="216">
                  <c:v>18.399999999999999</c:v>
                </c:pt>
                <c:pt idx="217">
                  <c:v>164.08</c:v>
                </c:pt>
                <c:pt idx="218">
                  <c:v>112.18</c:v>
                </c:pt>
                <c:pt idx="219">
                  <c:v>87.36</c:v>
                </c:pt>
                <c:pt idx="220">
                  <c:v>48.81</c:v>
                </c:pt>
                <c:pt idx="221">
                  <c:v>32.28</c:v>
                </c:pt>
                <c:pt idx="222">
                  <c:v>25.74</c:v>
                </c:pt>
                <c:pt idx="223">
                  <c:v>21.86</c:v>
                </c:pt>
                <c:pt idx="224">
                  <c:v>23.62</c:v>
                </c:pt>
                <c:pt idx="225">
                  <c:v>25.15</c:v>
                </c:pt>
                <c:pt idx="226">
                  <c:v>21.35</c:v>
                </c:pt>
                <c:pt idx="227">
                  <c:v>27.67</c:v>
                </c:pt>
                <c:pt idx="228">
                  <c:v>21.34</c:v>
                </c:pt>
                <c:pt idx="229">
                  <c:v>33.44</c:v>
                </c:pt>
                <c:pt idx="230">
                  <c:v>27.5</c:v>
                </c:pt>
                <c:pt idx="231">
                  <c:v>55.13</c:v>
                </c:pt>
                <c:pt idx="232">
                  <c:v>36.14</c:v>
                </c:pt>
                <c:pt idx="233">
                  <c:v>57.73</c:v>
                </c:pt>
                <c:pt idx="234">
                  <c:v>30.59</c:v>
                </c:pt>
                <c:pt idx="235">
                  <c:v>19.27</c:v>
                </c:pt>
                <c:pt idx="236">
                  <c:v>31.06</c:v>
                </c:pt>
                <c:pt idx="237">
                  <c:v>26.19</c:v>
                </c:pt>
                <c:pt idx="238">
                  <c:v>20.7</c:v>
                </c:pt>
                <c:pt idx="239">
                  <c:v>16</c:v>
                </c:pt>
                <c:pt idx="240">
                  <c:v>16.989999999999998</c:v>
                </c:pt>
                <c:pt idx="241">
                  <c:v>15.17</c:v>
                </c:pt>
                <c:pt idx="242">
                  <c:v>20.8</c:v>
                </c:pt>
                <c:pt idx="243">
                  <c:v>33.65</c:v>
                </c:pt>
                <c:pt idx="244">
                  <c:v>34.92</c:v>
                </c:pt>
                <c:pt idx="245">
                  <c:v>14.35</c:v>
                </c:pt>
                <c:pt idx="246">
                  <c:v>25.54</c:v>
                </c:pt>
                <c:pt idx="247">
                  <c:v>18</c:v>
                </c:pt>
                <c:pt idx="248">
                  <c:v>32.58</c:v>
                </c:pt>
                <c:pt idx="249">
                  <c:v>24.5</c:v>
                </c:pt>
                <c:pt idx="250">
                  <c:v>37.590000000000003</c:v>
                </c:pt>
                <c:pt idx="251">
                  <c:v>31.54</c:v>
                </c:pt>
                <c:pt idx="252">
                  <c:v>17.86</c:v>
                </c:pt>
                <c:pt idx="253">
                  <c:v>13.48</c:v>
                </c:pt>
                <c:pt idx="254">
                  <c:v>17.22</c:v>
                </c:pt>
                <c:pt idx="255">
                  <c:v>36.950000000000003</c:v>
                </c:pt>
                <c:pt idx="256">
                  <c:v>33.1</c:v>
                </c:pt>
                <c:pt idx="257">
                  <c:v>14.91</c:v>
                </c:pt>
                <c:pt idx="258">
                  <c:v>16.59</c:v>
                </c:pt>
                <c:pt idx="259">
                  <c:v>16.62</c:v>
                </c:pt>
                <c:pt idx="260">
                  <c:v>14.33</c:v>
                </c:pt>
                <c:pt idx="261">
                  <c:v>14.92</c:v>
                </c:pt>
                <c:pt idx="262">
                  <c:v>34.020000000000003</c:v>
                </c:pt>
                <c:pt idx="263">
                  <c:v>16.34</c:v>
                </c:pt>
                <c:pt idx="264">
                  <c:v>23.23</c:v>
                </c:pt>
                <c:pt idx="265">
                  <c:v>26.81</c:v>
                </c:pt>
                <c:pt idx="266">
                  <c:v>26.25</c:v>
                </c:pt>
                <c:pt idx="267">
                  <c:v>24.97</c:v>
                </c:pt>
                <c:pt idx="268">
                  <c:v>19.63</c:v>
                </c:pt>
                <c:pt idx="269">
                  <c:v>19.440000000000001</c:v>
                </c:pt>
                <c:pt idx="270">
                  <c:v>29.55</c:v>
                </c:pt>
                <c:pt idx="271">
                  <c:v>52.7</c:v>
                </c:pt>
                <c:pt idx="272">
                  <c:v>28.9</c:v>
                </c:pt>
                <c:pt idx="273">
                  <c:v>56.31</c:v>
                </c:pt>
                <c:pt idx="274">
                  <c:v>28.5</c:v>
                </c:pt>
                <c:pt idx="275">
                  <c:v>19.739999999999998</c:v>
                </c:pt>
                <c:pt idx="276">
                  <c:v>30.27</c:v>
                </c:pt>
                <c:pt idx="277">
                  <c:v>29.88</c:v>
                </c:pt>
                <c:pt idx="278">
                  <c:v>29.55</c:v>
                </c:pt>
                <c:pt idx="279">
                  <c:v>31.86</c:v>
                </c:pt>
                <c:pt idx="280">
                  <c:v>25.27</c:v>
                </c:pt>
                <c:pt idx="281">
                  <c:v>163.24</c:v>
                </c:pt>
                <c:pt idx="282">
                  <c:v>93.73</c:v>
                </c:pt>
                <c:pt idx="283">
                  <c:v>113.41</c:v>
                </c:pt>
                <c:pt idx="284">
                  <c:v>97.35</c:v>
                </c:pt>
                <c:pt idx="285">
                  <c:v>197.95</c:v>
                </c:pt>
                <c:pt idx="286">
                  <c:v>103.63</c:v>
                </c:pt>
                <c:pt idx="287">
                  <c:v>72.319999999999993</c:v>
                </c:pt>
                <c:pt idx="288">
                  <c:v>57.43</c:v>
                </c:pt>
                <c:pt idx="289">
                  <c:v>55.44</c:v>
                </c:pt>
                <c:pt idx="290">
                  <c:v>52.61</c:v>
                </c:pt>
                <c:pt idx="291">
                  <c:v>42.74</c:v>
                </c:pt>
                <c:pt idx="292">
                  <c:v>33.11</c:v>
                </c:pt>
                <c:pt idx="293">
                  <c:v>58.03</c:v>
                </c:pt>
                <c:pt idx="294">
                  <c:v>30.36</c:v>
                </c:pt>
                <c:pt idx="295">
                  <c:v>25.18</c:v>
                </c:pt>
                <c:pt idx="296">
                  <c:v>31.05</c:v>
                </c:pt>
                <c:pt idx="297">
                  <c:v>34.32</c:v>
                </c:pt>
                <c:pt idx="298">
                  <c:v>51.58</c:v>
                </c:pt>
                <c:pt idx="299">
                  <c:v>22.95</c:v>
                </c:pt>
                <c:pt idx="300">
                  <c:v>5.53</c:v>
                </c:pt>
                <c:pt idx="301">
                  <c:v>31.74</c:v>
                </c:pt>
                <c:pt idx="302">
                  <c:v>50.46</c:v>
                </c:pt>
                <c:pt idx="303">
                  <c:v>26.62</c:v>
                </c:pt>
                <c:pt idx="304">
                  <c:v>29.26</c:v>
                </c:pt>
                <c:pt idx="305">
                  <c:v>20.73</c:v>
                </c:pt>
                <c:pt idx="306">
                  <c:v>18.02</c:v>
                </c:pt>
                <c:pt idx="307">
                  <c:v>55.9</c:v>
                </c:pt>
                <c:pt idx="308">
                  <c:v>48.46</c:v>
                </c:pt>
                <c:pt idx="309">
                  <c:v>47.2</c:v>
                </c:pt>
                <c:pt idx="310">
                  <c:v>40.04</c:v>
                </c:pt>
                <c:pt idx="311">
                  <c:v>27.55</c:v>
                </c:pt>
                <c:pt idx="312">
                  <c:v>20.92</c:v>
                </c:pt>
                <c:pt idx="313">
                  <c:v>15.34</c:v>
                </c:pt>
                <c:pt idx="314">
                  <c:v>51.79</c:v>
                </c:pt>
                <c:pt idx="315">
                  <c:v>42.82</c:v>
                </c:pt>
                <c:pt idx="316">
                  <c:v>35.47</c:v>
                </c:pt>
                <c:pt idx="317">
                  <c:v>28.26</c:v>
                </c:pt>
                <c:pt idx="318">
                  <c:v>21.01</c:v>
                </c:pt>
                <c:pt idx="319">
                  <c:v>20.95</c:v>
                </c:pt>
                <c:pt idx="320">
                  <c:v>17.47</c:v>
                </c:pt>
                <c:pt idx="321">
                  <c:v>21.28</c:v>
                </c:pt>
                <c:pt idx="322">
                  <c:v>20.58</c:v>
                </c:pt>
                <c:pt idx="323">
                  <c:v>16.95</c:v>
                </c:pt>
                <c:pt idx="324">
                  <c:v>14.57</c:v>
                </c:pt>
                <c:pt idx="325">
                  <c:v>21.92</c:v>
                </c:pt>
                <c:pt idx="326">
                  <c:v>17.72</c:v>
                </c:pt>
                <c:pt idx="327">
                  <c:v>16.260000000000002</c:v>
                </c:pt>
                <c:pt idx="328">
                  <c:v>13.58</c:v>
                </c:pt>
                <c:pt idx="329">
                  <c:v>27.34</c:v>
                </c:pt>
                <c:pt idx="330">
                  <c:v>33.01</c:v>
                </c:pt>
                <c:pt idx="331">
                  <c:v>18.84</c:v>
                </c:pt>
                <c:pt idx="332">
                  <c:v>22.73</c:v>
                </c:pt>
                <c:pt idx="333">
                  <c:v>12.12</c:v>
                </c:pt>
                <c:pt idx="334">
                  <c:v>15.49</c:v>
                </c:pt>
                <c:pt idx="335">
                  <c:v>12.56</c:v>
                </c:pt>
                <c:pt idx="336">
                  <c:v>22.86</c:v>
                </c:pt>
                <c:pt idx="337">
                  <c:v>10.26</c:v>
                </c:pt>
                <c:pt idx="338">
                  <c:v>11.92</c:v>
                </c:pt>
                <c:pt idx="339">
                  <c:v>15.54</c:v>
                </c:pt>
                <c:pt idx="340">
                  <c:v>32.75</c:v>
                </c:pt>
                <c:pt idx="341">
                  <c:v>24.1</c:v>
                </c:pt>
                <c:pt idx="342">
                  <c:v>15.42</c:v>
                </c:pt>
                <c:pt idx="343">
                  <c:v>16.559999999999999</c:v>
                </c:pt>
                <c:pt idx="344">
                  <c:v>15.53</c:v>
                </c:pt>
                <c:pt idx="345">
                  <c:v>25.19</c:v>
                </c:pt>
                <c:pt idx="346">
                  <c:v>16.27</c:v>
                </c:pt>
                <c:pt idx="347">
                  <c:v>16.260000000000002</c:v>
                </c:pt>
                <c:pt idx="348">
                  <c:v>27.57</c:v>
                </c:pt>
                <c:pt idx="349">
                  <c:v>12.66</c:v>
                </c:pt>
                <c:pt idx="350">
                  <c:v>27.94</c:v>
                </c:pt>
                <c:pt idx="351">
                  <c:v>19.350000000000001</c:v>
                </c:pt>
                <c:pt idx="352">
                  <c:v>21.8</c:v>
                </c:pt>
                <c:pt idx="353">
                  <c:v>18.36</c:v>
                </c:pt>
                <c:pt idx="354">
                  <c:v>17.95</c:v>
                </c:pt>
                <c:pt idx="355">
                  <c:v>25.23</c:v>
                </c:pt>
                <c:pt idx="356">
                  <c:v>22.57</c:v>
                </c:pt>
                <c:pt idx="357">
                  <c:v>26.68</c:v>
                </c:pt>
                <c:pt idx="358">
                  <c:v>21.78</c:v>
                </c:pt>
                <c:pt idx="359">
                  <c:v>27.31</c:v>
                </c:pt>
                <c:pt idx="360">
                  <c:v>48.03</c:v>
                </c:pt>
                <c:pt idx="361">
                  <c:v>14.31</c:v>
                </c:pt>
                <c:pt idx="362">
                  <c:v>15.25</c:v>
                </c:pt>
                <c:pt idx="363">
                  <c:v>12.66</c:v>
                </c:pt>
                <c:pt idx="364">
                  <c:v>13.39</c:v>
                </c:pt>
                <c:pt idx="365">
                  <c:v>23.38</c:v>
                </c:pt>
                <c:pt idx="366">
                  <c:v>12.43</c:v>
                </c:pt>
                <c:pt idx="367">
                  <c:v>14.54</c:v>
                </c:pt>
                <c:pt idx="368">
                  <c:v>13.53</c:v>
                </c:pt>
                <c:pt idx="369">
                  <c:v>22.16</c:v>
                </c:pt>
                <c:pt idx="370">
                  <c:v>30.62</c:v>
                </c:pt>
                <c:pt idx="371">
                  <c:v>20.18</c:v>
                </c:pt>
                <c:pt idx="372">
                  <c:v>27.94</c:v>
                </c:pt>
                <c:pt idx="373">
                  <c:v>15.48</c:v>
                </c:pt>
                <c:pt idx="374">
                  <c:v>22.59</c:v>
                </c:pt>
                <c:pt idx="375">
                  <c:v>27.96</c:v>
                </c:pt>
                <c:pt idx="376">
                  <c:v>17.7</c:v>
                </c:pt>
                <c:pt idx="377">
                  <c:v>57.27</c:v>
                </c:pt>
                <c:pt idx="378">
                  <c:v>48.88</c:v>
                </c:pt>
                <c:pt idx="379">
                  <c:v>34.479999999999997</c:v>
                </c:pt>
                <c:pt idx="380">
                  <c:v>25.79</c:v>
                </c:pt>
                <c:pt idx="381">
                  <c:v>29.6</c:v>
                </c:pt>
                <c:pt idx="382">
                  <c:v>38.770000000000003</c:v>
                </c:pt>
                <c:pt idx="383">
                  <c:v>44.84</c:v>
                </c:pt>
                <c:pt idx="384">
                  <c:v>55.54</c:v>
                </c:pt>
                <c:pt idx="385">
                  <c:v>48.38</c:v>
                </c:pt>
                <c:pt idx="386">
                  <c:v>59.78</c:v>
                </c:pt>
                <c:pt idx="387">
                  <c:v>51.51</c:v>
                </c:pt>
                <c:pt idx="388">
                  <c:v>40.72</c:v>
                </c:pt>
                <c:pt idx="389">
                  <c:v>47.71</c:v>
                </c:pt>
                <c:pt idx="390">
                  <c:v>27.19</c:v>
                </c:pt>
                <c:pt idx="391">
                  <c:v>26.7</c:v>
                </c:pt>
                <c:pt idx="392">
                  <c:v>18.27</c:v>
                </c:pt>
                <c:pt idx="393">
                  <c:v>30.44</c:v>
                </c:pt>
                <c:pt idx="394">
                  <c:v>25.47</c:v>
                </c:pt>
                <c:pt idx="395">
                  <c:v>17.11</c:v>
                </c:pt>
                <c:pt idx="396">
                  <c:v>15.1</c:v>
                </c:pt>
                <c:pt idx="397">
                  <c:v>16.760000000000002</c:v>
                </c:pt>
                <c:pt idx="398">
                  <c:v>18.71</c:v>
                </c:pt>
                <c:pt idx="399">
                  <c:v>18.149999999999999</c:v>
                </c:pt>
                <c:pt idx="400">
                  <c:v>14.25</c:v>
                </c:pt>
                <c:pt idx="401">
                  <c:v>19.38</c:v>
                </c:pt>
                <c:pt idx="402">
                  <c:v>18.66</c:v>
                </c:pt>
                <c:pt idx="403">
                  <c:v>28.53</c:v>
                </c:pt>
                <c:pt idx="404">
                  <c:v>24.97</c:v>
                </c:pt>
                <c:pt idx="405">
                  <c:v>19.95</c:v>
                </c:pt>
                <c:pt idx="406">
                  <c:v>16.32</c:v>
                </c:pt>
                <c:pt idx="407">
                  <c:v>14.34</c:v>
                </c:pt>
                <c:pt idx="408">
                  <c:v>22.7</c:v>
                </c:pt>
                <c:pt idx="409">
                  <c:v>16.82</c:v>
                </c:pt>
                <c:pt idx="410">
                  <c:v>15.3</c:v>
                </c:pt>
                <c:pt idx="411">
                  <c:v>12.67</c:v>
                </c:pt>
                <c:pt idx="412">
                  <c:v>19.64</c:v>
                </c:pt>
                <c:pt idx="413">
                  <c:v>14.12</c:v>
                </c:pt>
                <c:pt idx="414">
                  <c:v>14.36</c:v>
                </c:pt>
                <c:pt idx="415">
                  <c:v>14.73</c:v>
                </c:pt>
                <c:pt idx="416">
                  <c:v>13.58</c:v>
                </c:pt>
                <c:pt idx="417">
                  <c:v>13.7</c:v>
                </c:pt>
                <c:pt idx="418">
                  <c:v>13.88</c:v>
                </c:pt>
                <c:pt idx="419">
                  <c:v>21.99</c:v>
                </c:pt>
                <c:pt idx="420">
                  <c:v>18.95</c:v>
                </c:pt>
                <c:pt idx="421">
                  <c:v>14.93</c:v>
                </c:pt>
                <c:pt idx="422">
                  <c:v>12.24</c:v>
                </c:pt>
                <c:pt idx="423">
                  <c:v>25.14</c:v>
                </c:pt>
                <c:pt idx="424">
                  <c:v>18.079999999999998</c:v>
                </c:pt>
                <c:pt idx="425">
                  <c:v>16.54</c:v>
                </c:pt>
                <c:pt idx="426">
                  <c:v>29.22</c:v>
                </c:pt>
                <c:pt idx="427">
                  <c:v>33.51</c:v>
                </c:pt>
                <c:pt idx="428">
                  <c:v>71.430000000000007</c:v>
                </c:pt>
                <c:pt idx="429">
                  <c:v>24.94</c:v>
                </c:pt>
                <c:pt idx="430">
                  <c:v>24.65</c:v>
                </c:pt>
                <c:pt idx="431">
                  <c:v>20.49</c:v>
                </c:pt>
                <c:pt idx="432">
                  <c:v>17.71</c:v>
                </c:pt>
                <c:pt idx="433">
                  <c:v>23.5</c:v>
                </c:pt>
                <c:pt idx="434">
                  <c:v>16.350000000000001</c:v>
                </c:pt>
                <c:pt idx="435">
                  <c:v>14.53</c:v>
                </c:pt>
                <c:pt idx="436">
                  <c:v>13.54</c:v>
                </c:pt>
                <c:pt idx="437">
                  <c:v>17.71</c:v>
                </c:pt>
                <c:pt idx="438">
                  <c:v>16.87</c:v>
                </c:pt>
                <c:pt idx="439">
                  <c:v>18.5</c:v>
                </c:pt>
                <c:pt idx="440">
                  <c:v>22.31</c:v>
                </c:pt>
                <c:pt idx="441">
                  <c:v>11.93</c:v>
                </c:pt>
                <c:pt idx="442">
                  <c:v>12.74</c:v>
                </c:pt>
                <c:pt idx="443">
                  <c:v>12.78</c:v>
                </c:pt>
                <c:pt idx="444">
                  <c:v>11.9</c:v>
                </c:pt>
                <c:pt idx="445">
                  <c:v>11.15</c:v>
                </c:pt>
                <c:pt idx="446">
                  <c:v>12.84</c:v>
                </c:pt>
                <c:pt idx="447">
                  <c:v>13.04</c:v>
                </c:pt>
                <c:pt idx="448">
                  <c:v>11.91</c:v>
                </c:pt>
                <c:pt idx="449">
                  <c:v>17.440000000000001</c:v>
                </c:pt>
                <c:pt idx="450">
                  <c:v>19.63</c:v>
                </c:pt>
                <c:pt idx="451">
                  <c:v>15.19</c:v>
                </c:pt>
                <c:pt idx="452">
                  <c:v>22.26</c:v>
                </c:pt>
                <c:pt idx="453">
                  <c:v>24.82</c:v>
                </c:pt>
                <c:pt idx="454">
                  <c:v>17.05</c:v>
                </c:pt>
                <c:pt idx="455">
                  <c:v>14.74</c:v>
                </c:pt>
                <c:pt idx="456">
                  <c:v>12.43</c:v>
                </c:pt>
                <c:pt idx="457">
                  <c:v>26.51</c:v>
                </c:pt>
                <c:pt idx="458">
                  <c:v>14.81</c:v>
                </c:pt>
                <c:pt idx="459">
                  <c:v>12.02</c:v>
                </c:pt>
                <c:pt idx="460">
                  <c:v>13.24</c:v>
                </c:pt>
                <c:pt idx="461">
                  <c:v>13.1</c:v>
                </c:pt>
                <c:pt idx="462">
                  <c:v>20.12</c:v>
                </c:pt>
                <c:pt idx="463">
                  <c:v>14.73</c:v>
                </c:pt>
                <c:pt idx="464">
                  <c:v>11.53</c:v>
                </c:pt>
                <c:pt idx="465">
                  <c:v>16.77</c:v>
                </c:pt>
                <c:pt idx="466">
                  <c:v>12.2</c:v>
                </c:pt>
                <c:pt idx="467">
                  <c:v>17.62</c:v>
                </c:pt>
                <c:pt idx="468">
                  <c:v>23.73</c:v>
                </c:pt>
                <c:pt idx="469">
                  <c:v>12.62</c:v>
                </c:pt>
                <c:pt idx="470">
                  <c:v>9.52</c:v>
                </c:pt>
                <c:pt idx="471">
                  <c:v>10.18</c:v>
                </c:pt>
                <c:pt idx="472">
                  <c:v>10.74</c:v>
                </c:pt>
                <c:pt idx="473">
                  <c:v>15.77</c:v>
                </c:pt>
                <c:pt idx="474">
                  <c:v>21.19</c:v>
                </c:pt>
                <c:pt idx="475">
                  <c:v>11.55</c:v>
                </c:pt>
                <c:pt idx="476">
                  <c:v>17.149999999999999</c:v>
                </c:pt>
                <c:pt idx="477">
                  <c:v>10.93</c:v>
                </c:pt>
                <c:pt idx="478">
                  <c:v>10.34</c:v>
                </c:pt>
                <c:pt idx="479">
                  <c:v>12.51</c:v>
                </c:pt>
                <c:pt idx="480">
                  <c:v>11.56</c:v>
                </c:pt>
                <c:pt idx="481">
                  <c:v>10.08</c:v>
                </c:pt>
                <c:pt idx="482">
                  <c:v>36.380000000000003</c:v>
                </c:pt>
                <c:pt idx="483">
                  <c:v>16</c:v>
                </c:pt>
                <c:pt idx="484">
                  <c:v>43.08</c:v>
                </c:pt>
                <c:pt idx="485">
                  <c:v>19.07</c:v>
                </c:pt>
                <c:pt idx="486">
                  <c:v>19.13</c:v>
                </c:pt>
                <c:pt idx="487">
                  <c:v>18.54</c:v>
                </c:pt>
                <c:pt idx="488">
                  <c:v>11.92</c:v>
                </c:pt>
                <c:pt idx="489">
                  <c:v>10.56</c:v>
                </c:pt>
                <c:pt idx="490">
                  <c:v>13.36</c:v>
                </c:pt>
                <c:pt idx="491">
                  <c:v>12.78</c:v>
                </c:pt>
                <c:pt idx="492">
                  <c:v>13.48</c:v>
                </c:pt>
                <c:pt idx="493">
                  <c:v>16.8</c:v>
                </c:pt>
                <c:pt idx="494">
                  <c:v>15.95</c:v>
                </c:pt>
                <c:pt idx="495">
                  <c:v>12.07</c:v>
                </c:pt>
                <c:pt idx="496">
                  <c:v>16.64</c:v>
                </c:pt>
                <c:pt idx="497">
                  <c:v>15.05</c:v>
                </c:pt>
                <c:pt idx="498">
                  <c:v>17.78</c:v>
                </c:pt>
                <c:pt idx="499">
                  <c:v>12.21</c:v>
                </c:pt>
                <c:pt idx="500">
                  <c:v>11.26</c:v>
                </c:pt>
                <c:pt idx="501">
                  <c:v>11.25</c:v>
                </c:pt>
                <c:pt idx="502">
                  <c:v>11.65</c:v>
                </c:pt>
                <c:pt idx="503">
                  <c:v>14.42</c:v>
                </c:pt>
                <c:pt idx="504">
                  <c:v>13.39</c:v>
                </c:pt>
                <c:pt idx="505">
                  <c:v>10.81</c:v>
                </c:pt>
                <c:pt idx="506">
                  <c:v>9.3800000000000008</c:v>
                </c:pt>
                <c:pt idx="507">
                  <c:v>9.81</c:v>
                </c:pt>
                <c:pt idx="508">
                  <c:v>20.76</c:v>
                </c:pt>
                <c:pt idx="509">
                  <c:v>19.34</c:v>
                </c:pt>
                <c:pt idx="510">
                  <c:v>14.29</c:v>
                </c:pt>
                <c:pt idx="511">
                  <c:v>8.9600000000000009</c:v>
                </c:pt>
                <c:pt idx="512">
                  <c:v>10.66</c:v>
                </c:pt>
                <c:pt idx="513">
                  <c:v>10.36</c:v>
                </c:pt>
                <c:pt idx="514">
                  <c:v>10.36</c:v>
                </c:pt>
                <c:pt idx="515">
                  <c:v>20.99</c:v>
                </c:pt>
                <c:pt idx="516">
                  <c:v>15.24</c:v>
                </c:pt>
                <c:pt idx="517">
                  <c:v>17.559999999999999</c:v>
                </c:pt>
                <c:pt idx="518">
                  <c:v>10.83</c:v>
                </c:pt>
                <c:pt idx="519">
                  <c:v>13.6</c:v>
                </c:pt>
                <c:pt idx="520">
                  <c:v>13.44</c:v>
                </c:pt>
                <c:pt idx="521">
                  <c:v>33.229999999999997</c:v>
                </c:pt>
                <c:pt idx="522">
                  <c:v>21.93</c:v>
                </c:pt>
                <c:pt idx="523">
                  <c:v>18.11</c:v>
                </c:pt>
                <c:pt idx="524">
                  <c:v>20.73</c:v>
                </c:pt>
                <c:pt idx="525">
                  <c:v>20.95</c:v>
                </c:pt>
                <c:pt idx="526">
                  <c:v>20.329999999999998</c:v>
                </c:pt>
                <c:pt idx="527">
                  <c:v>12.76</c:v>
                </c:pt>
                <c:pt idx="528">
                  <c:v>12.77</c:v>
                </c:pt>
                <c:pt idx="529">
                  <c:v>10.67</c:v>
                </c:pt>
                <c:pt idx="530">
                  <c:v>32.909999999999997</c:v>
                </c:pt>
                <c:pt idx="531">
                  <c:v>14.64</c:v>
                </c:pt>
                <c:pt idx="532">
                  <c:v>14.29</c:v>
                </c:pt>
                <c:pt idx="533">
                  <c:v>12.58</c:v>
                </c:pt>
                <c:pt idx="534">
                  <c:v>12.88</c:v>
                </c:pt>
                <c:pt idx="535">
                  <c:v>9.5399999999999991</c:v>
                </c:pt>
                <c:pt idx="536">
                  <c:v>14.22</c:v>
                </c:pt>
                <c:pt idx="537">
                  <c:v>8.65</c:v>
                </c:pt>
                <c:pt idx="538">
                  <c:v>10.75</c:v>
                </c:pt>
                <c:pt idx="539">
                  <c:v>10.28</c:v>
                </c:pt>
                <c:pt idx="540">
                  <c:v>2.87</c:v>
                </c:pt>
                <c:pt idx="541">
                  <c:v>17.98</c:v>
                </c:pt>
                <c:pt idx="542">
                  <c:v>14.61</c:v>
                </c:pt>
                <c:pt idx="543">
                  <c:v>12.49</c:v>
                </c:pt>
                <c:pt idx="544">
                  <c:v>9.93</c:v>
                </c:pt>
                <c:pt idx="545">
                  <c:v>17.32</c:v>
                </c:pt>
                <c:pt idx="546">
                  <c:v>12.43</c:v>
                </c:pt>
                <c:pt idx="547">
                  <c:v>10.99</c:v>
                </c:pt>
                <c:pt idx="548">
                  <c:v>12.28</c:v>
                </c:pt>
                <c:pt idx="549">
                  <c:v>15.06</c:v>
                </c:pt>
                <c:pt idx="550">
                  <c:v>14.47</c:v>
                </c:pt>
                <c:pt idx="551">
                  <c:v>26.25</c:v>
                </c:pt>
                <c:pt idx="552">
                  <c:v>19.3</c:v>
                </c:pt>
                <c:pt idx="553">
                  <c:v>18</c:v>
                </c:pt>
                <c:pt idx="554">
                  <c:v>10.7</c:v>
                </c:pt>
                <c:pt idx="555">
                  <c:v>8.2100000000000009</c:v>
                </c:pt>
                <c:pt idx="556">
                  <c:v>15.62</c:v>
                </c:pt>
                <c:pt idx="557">
                  <c:v>9.85</c:v>
                </c:pt>
                <c:pt idx="558">
                  <c:v>9.5</c:v>
                </c:pt>
                <c:pt idx="559">
                  <c:v>6.41</c:v>
                </c:pt>
                <c:pt idx="560">
                  <c:v>6.57</c:v>
                </c:pt>
                <c:pt idx="561">
                  <c:v>6.77</c:v>
                </c:pt>
                <c:pt idx="562">
                  <c:v>18.760000000000002</c:v>
                </c:pt>
                <c:pt idx="563">
                  <c:v>10.7</c:v>
                </c:pt>
                <c:pt idx="564">
                  <c:v>8.6300000000000008</c:v>
                </c:pt>
                <c:pt idx="565">
                  <c:v>14.73</c:v>
                </c:pt>
                <c:pt idx="566">
                  <c:v>8.91</c:v>
                </c:pt>
                <c:pt idx="567">
                  <c:v>8.35</c:v>
                </c:pt>
                <c:pt idx="568">
                  <c:v>12.86</c:v>
                </c:pt>
                <c:pt idx="569">
                  <c:v>8.4600000000000009</c:v>
                </c:pt>
                <c:pt idx="570">
                  <c:v>12.13</c:v>
                </c:pt>
                <c:pt idx="571">
                  <c:v>9.5399999999999991</c:v>
                </c:pt>
                <c:pt idx="572">
                  <c:v>9.92</c:v>
                </c:pt>
                <c:pt idx="573">
                  <c:v>8.01</c:v>
                </c:pt>
                <c:pt idx="574">
                  <c:v>9.7200000000000006</c:v>
                </c:pt>
                <c:pt idx="575">
                  <c:v>6.31</c:v>
                </c:pt>
                <c:pt idx="576">
                  <c:v>7.54</c:v>
                </c:pt>
                <c:pt idx="577">
                  <c:v>50.95</c:v>
                </c:pt>
                <c:pt idx="578">
                  <c:v>9.81</c:v>
                </c:pt>
                <c:pt idx="579">
                  <c:v>12.34</c:v>
                </c:pt>
                <c:pt idx="580">
                  <c:v>11.61</c:v>
                </c:pt>
                <c:pt idx="581">
                  <c:v>14.91</c:v>
                </c:pt>
                <c:pt idx="582">
                  <c:v>19.899999999999999</c:v>
                </c:pt>
                <c:pt idx="583">
                  <c:v>16.98</c:v>
                </c:pt>
                <c:pt idx="584">
                  <c:v>14.37</c:v>
                </c:pt>
                <c:pt idx="585">
                  <c:v>8.44</c:v>
                </c:pt>
                <c:pt idx="586">
                  <c:v>15.63</c:v>
                </c:pt>
                <c:pt idx="587">
                  <c:v>9.1999999999999993</c:v>
                </c:pt>
                <c:pt idx="588">
                  <c:v>10.5</c:v>
                </c:pt>
                <c:pt idx="589">
                  <c:v>9.43</c:v>
                </c:pt>
                <c:pt idx="590">
                  <c:v>16.12</c:v>
                </c:pt>
                <c:pt idx="591">
                  <c:v>10.44</c:v>
                </c:pt>
                <c:pt idx="592">
                  <c:v>8.7200000000000006</c:v>
                </c:pt>
                <c:pt idx="593">
                  <c:v>14.69</c:v>
                </c:pt>
                <c:pt idx="594">
                  <c:v>54.02</c:v>
                </c:pt>
                <c:pt idx="595">
                  <c:v>22.22</c:v>
                </c:pt>
                <c:pt idx="596">
                  <c:v>12.48</c:v>
                </c:pt>
                <c:pt idx="597">
                  <c:v>10.45</c:v>
                </c:pt>
                <c:pt idx="598">
                  <c:v>11.46</c:v>
                </c:pt>
                <c:pt idx="599">
                  <c:v>12.34</c:v>
                </c:pt>
                <c:pt idx="600">
                  <c:v>13.31</c:v>
                </c:pt>
                <c:pt idx="601">
                  <c:v>13.13</c:v>
                </c:pt>
                <c:pt idx="602">
                  <c:v>23.91</c:v>
                </c:pt>
                <c:pt idx="603">
                  <c:v>13.11</c:v>
                </c:pt>
                <c:pt idx="604">
                  <c:v>30.2</c:v>
                </c:pt>
                <c:pt idx="605">
                  <c:v>22.98</c:v>
                </c:pt>
                <c:pt idx="606">
                  <c:v>63.36</c:v>
                </c:pt>
                <c:pt idx="607">
                  <c:v>18.32</c:v>
                </c:pt>
                <c:pt idx="608">
                  <c:v>25.15</c:v>
                </c:pt>
                <c:pt idx="609">
                  <c:v>23.8</c:v>
                </c:pt>
                <c:pt idx="610">
                  <c:v>11.34</c:v>
                </c:pt>
                <c:pt idx="611">
                  <c:v>13.07</c:v>
                </c:pt>
                <c:pt idx="612">
                  <c:v>6.8</c:v>
                </c:pt>
                <c:pt idx="613">
                  <c:v>9.02</c:v>
                </c:pt>
                <c:pt idx="614">
                  <c:v>8.67</c:v>
                </c:pt>
                <c:pt idx="615">
                  <c:v>7.35</c:v>
                </c:pt>
                <c:pt idx="616">
                  <c:v>14.8</c:v>
                </c:pt>
                <c:pt idx="617">
                  <c:v>8.33</c:v>
                </c:pt>
                <c:pt idx="618">
                  <c:v>8.57</c:v>
                </c:pt>
                <c:pt idx="619">
                  <c:v>9.86</c:v>
                </c:pt>
                <c:pt idx="620">
                  <c:v>7.67</c:v>
                </c:pt>
                <c:pt idx="621">
                  <c:v>6.96</c:v>
                </c:pt>
                <c:pt idx="622">
                  <c:v>9.7200000000000006</c:v>
                </c:pt>
                <c:pt idx="623">
                  <c:v>8.9600000000000009</c:v>
                </c:pt>
                <c:pt idx="624">
                  <c:v>7.21</c:v>
                </c:pt>
                <c:pt idx="625">
                  <c:v>9.2799999999999994</c:v>
                </c:pt>
                <c:pt idx="626">
                  <c:v>7.9</c:v>
                </c:pt>
                <c:pt idx="627">
                  <c:v>10.44</c:v>
                </c:pt>
                <c:pt idx="628">
                  <c:v>9.65</c:v>
                </c:pt>
                <c:pt idx="629">
                  <c:v>7.6</c:v>
                </c:pt>
                <c:pt idx="630">
                  <c:v>5.66</c:v>
                </c:pt>
                <c:pt idx="631">
                  <c:v>8.0299999999999994</c:v>
                </c:pt>
                <c:pt idx="632">
                  <c:v>11.31</c:v>
                </c:pt>
                <c:pt idx="633">
                  <c:v>7.85</c:v>
                </c:pt>
                <c:pt idx="634">
                  <c:v>5.7</c:v>
                </c:pt>
                <c:pt idx="635">
                  <c:v>10.42</c:v>
                </c:pt>
                <c:pt idx="636">
                  <c:v>8.7799999999999994</c:v>
                </c:pt>
                <c:pt idx="637">
                  <c:v>9.19</c:v>
                </c:pt>
                <c:pt idx="638">
                  <c:v>7.68</c:v>
                </c:pt>
                <c:pt idx="639">
                  <c:v>11.85</c:v>
                </c:pt>
                <c:pt idx="640">
                  <c:v>8.66</c:v>
                </c:pt>
                <c:pt idx="641">
                  <c:v>10.08</c:v>
                </c:pt>
                <c:pt idx="642">
                  <c:v>7.39</c:v>
                </c:pt>
                <c:pt idx="643">
                  <c:v>5.73</c:v>
                </c:pt>
                <c:pt idx="644">
                  <c:v>9.82</c:v>
                </c:pt>
                <c:pt idx="645">
                  <c:v>6.88</c:v>
                </c:pt>
                <c:pt idx="646">
                  <c:v>7.43</c:v>
                </c:pt>
                <c:pt idx="647">
                  <c:v>9.5500000000000007</c:v>
                </c:pt>
                <c:pt idx="648">
                  <c:v>10.48</c:v>
                </c:pt>
                <c:pt idx="649">
                  <c:v>11.04</c:v>
                </c:pt>
                <c:pt idx="650">
                  <c:v>6.95</c:v>
                </c:pt>
                <c:pt idx="651">
                  <c:v>8.82</c:v>
                </c:pt>
                <c:pt idx="652">
                  <c:v>10.91</c:v>
                </c:pt>
                <c:pt idx="653">
                  <c:v>50.46</c:v>
                </c:pt>
                <c:pt idx="654">
                  <c:v>14.5</c:v>
                </c:pt>
                <c:pt idx="655">
                  <c:v>13.55</c:v>
                </c:pt>
                <c:pt idx="656">
                  <c:v>12.73</c:v>
                </c:pt>
                <c:pt idx="657">
                  <c:v>10.71</c:v>
                </c:pt>
                <c:pt idx="658">
                  <c:v>16.14</c:v>
                </c:pt>
                <c:pt idx="659">
                  <c:v>7.37</c:v>
                </c:pt>
                <c:pt idx="660">
                  <c:v>14.26</c:v>
                </c:pt>
                <c:pt idx="661">
                  <c:v>8.48</c:v>
                </c:pt>
                <c:pt idx="662">
                  <c:v>8.02</c:v>
                </c:pt>
                <c:pt idx="663">
                  <c:v>6.89</c:v>
                </c:pt>
                <c:pt idx="664">
                  <c:v>7.79</c:v>
                </c:pt>
                <c:pt idx="665">
                  <c:v>7.09</c:v>
                </c:pt>
                <c:pt idx="666">
                  <c:v>9.9499999999999993</c:v>
                </c:pt>
                <c:pt idx="667">
                  <c:v>11.54</c:v>
                </c:pt>
                <c:pt idx="668">
                  <c:v>8.5299999999999994</c:v>
                </c:pt>
                <c:pt idx="669">
                  <c:v>5.65</c:v>
                </c:pt>
                <c:pt idx="670">
                  <c:v>4.83</c:v>
                </c:pt>
                <c:pt idx="671">
                  <c:v>23.52</c:v>
                </c:pt>
                <c:pt idx="672">
                  <c:v>19.82</c:v>
                </c:pt>
                <c:pt idx="673">
                  <c:v>12.48</c:v>
                </c:pt>
                <c:pt idx="674">
                  <c:v>11.45</c:v>
                </c:pt>
                <c:pt idx="675">
                  <c:v>19.77</c:v>
                </c:pt>
                <c:pt idx="676">
                  <c:v>38.270000000000003</c:v>
                </c:pt>
                <c:pt idx="677">
                  <c:v>16.510000000000002</c:v>
                </c:pt>
                <c:pt idx="678">
                  <c:v>13.68</c:v>
                </c:pt>
                <c:pt idx="679">
                  <c:v>12.29</c:v>
                </c:pt>
                <c:pt idx="680">
                  <c:v>19.34</c:v>
                </c:pt>
                <c:pt idx="681">
                  <c:v>9.98</c:v>
                </c:pt>
                <c:pt idx="682">
                  <c:v>12.26</c:v>
                </c:pt>
                <c:pt idx="683">
                  <c:v>7.65</c:v>
                </c:pt>
                <c:pt idx="684">
                  <c:v>11.54</c:v>
                </c:pt>
                <c:pt idx="685">
                  <c:v>8.36</c:v>
                </c:pt>
                <c:pt idx="686">
                  <c:v>6.6</c:v>
                </c:pt>
                <c:pt idx="687">
                  <c:v>5.13</c:v>
                </c:pt>
                <c:pt idx="688">
                  <c:v>12.33</c:v>
                </c:pt>
                <c:pt idx="689">
                  <c:v>12.51</c:v>
                </c:pt>
                <c:pt idx="690">
                  <c:v>12.29</c:v>
                </c:pt>
                <c:pt idx="691">
                  <c:v>15.01</c:v>
                </c:pt>
                <c:pt idx="692">
                  <c:v>15.4</c:v>
                </c:pt>
                <c:pt idx="693">
                  <c:v>20.86</c:v>
                </c:pt>
                <c:pt idx="694">
                  <c:v>21.53</c:v>
                </c:pt>
                <c:pt idx="695">
                  <c:v>9.36</c:v>
                </c:pt>
                <c:pt idx="696">
                  <c:v>7.6</c:v>
                </c:pt>
                <c:pt idx="697">
                  <c:v>12.85</c:v>
                </c:pt>
                <c:pt idx="698">
                  <c:v>12.71</c:v>
                </c:pt>
                <c:pt idx="699">
                  <c:v>12.48</c:v>
                </c:pt>
                <c:pt idx="700">
                  <c:v>8.74</c:v>
                </c:pt>
                <c:pt idx="701">
                  <c:v>6.28</c:v>
                </c:pt>
                <c:pt idx="702">
                  <c:v>18.07</c:v>
                </c:pt>
                <c:pt idx="703">
                  <c:v>9.15</c:v>
                </c:pt>
                <c:pt idx="704">
                  <c:v>11.23</c:v>
                </c:pt>
                <c:pt idx="705">
                  <c:v>9.36</c:v>
                </c:pt>
                <c:pt idx="706">
                  <c:v>6.99</c:v>
                </c:pt>
                <c:pt idx="707">
                  <c:v>9.4</c:v>
                </c:pt>
                <c:pt idx="708">
                  <c:v>16.72</c:v>
                </c:pt>
                <c:pt idx="709">
                  <c:v>12.49</c:v>
                </c:pt>
                <c:pt idx="710">
                  <c:v>11.13</c:v>
                </c:pt>
                <c:pt idx="711">
                  <c:v>6.92</c:v>
                </c:pt>
                <c:pt idx="712">
                  <c:v>8.7200000000000006</c:v>
                </c:pt>
                <c:pt idx="713">
                  <c:v>14.36</c:v>
                </c:pt>
                <c:pt idx="714">
                  <c:v>21.07</c:v>
                </c:pt>
                <c:pt idx="715">
                  <c:v>23.8</c:v>
                </c:pt>
                <c:pt idx="716">
                  <c:v>12.05</c:v>
                </c:pt>
                <c:pt idx="717">
                  <c:v>10.79</c:v>
                </c:pt>
                <c:pt idx="718">
                  <c:v>9.69</c:v>
                </c:pt>
                <c:pt idx="719">
                  <c:v>7.01</c:v>
                </c:pt>
                <c:pt idx="720">
                  <c:v>7.58</c:v>
                </c:pt>
                <c:pt idx="721">
                  <c:v>10.36</c:v>
                </c:pt>
                <c:pt idx="722">
                  <c:v>11.13</c:v>
                </c:pt>
                <c:pt idx="723">
                  <c:v>7.83</c:v>
                </c:pt>
                <c:pt idx="724">
                  <c:v>12.91</c:v>
                </c:pt>
                <c:pt idx="725">
                  <c:v>12.25</c:v>
                </c:pt>
                <c:pt idx="726">
                  <c:v>13.99</c:v>
                </c:pt>
                <c:pt idx="727">
                  <c:v>31.67</c:v>
                </c:pt>
                <c:pt idx="728">
                  <c:v>11.7</c:v>
                </c:pt>
                <c:pt idx="729">
                  <c:v>9.3000000000000007</c:v>
                </c:pt>
                <c:pt idx="730">
                  <c:v>7.5</c:v>
                </c:pt>
                <c:pt idx="731">
                  <c:v>8.92</c:v>
                </c:pt>
                <c:pt idx="732">
                  <c:v>15.76</c:v>
                </c:pt>
                <c:pt idx="733">
                  <c:v>11.46</c:v>
                </c:pt>
                <c:pt idx="734">
                  <c:v>11.81</c:v>
                </c:pt>
                <c:pt idx="735">
                  <c:v>9.89</c:v>
                </c:pt>
                <c:pt idx="736">
                  <c:v>8.86</c:v>
                </c:pt>
                <c:pt idx="737">
                  <c:v>13.36</c:v>
                </c:pt>
                <c:pt idx="738">
                  <c:v>53.12</c:v>
                </c:pt>
                <c:pt idx="739">
                  <c:v>9.35</c:v>
                </c:pt>
                <c:pt idx="740">
                  <c:v>14.49</c:v>
                </c:pt>
                <c:pt idx="741">
                  <c:v>14.56</c:v>
                </c:pt>
                <c:pt idx="742">
                  <c:v>12.12</c:v>
                </c:pt>
                <c:pt idx="743">
                  <c:v>11.19</c:v>
                </c:pt>
                <c:pt idx="744">
                  <c:v>9.58</c:v>
                </c:pt>
                <c:pt idx="745">
                  <c:v>8.5299999999999994</c:v>
                </c:pt>
                <c:pt idx="746">
                  <c:v>8.25</c:v>
                </c:pt>
                <c:pt idx="747">
                  <c:v>7.1</c:v>
                </c:pt>
                <c:pt idx="748">
                  <c:v>16.079999999999998</c:v>
                </c:pt>
                <c:pt idx="749">
                  <c:v>7.48</c:v>
                </c:pt>
                <c:pt idx="750">
                  <c:v>6.96</c:v>
                </c:pt>
                <c:pt idx="751">
                  <c:v>5.68</c:v>
                </c:pt>
                <c:pt idx="752">
                  <c:v>10.54</c:v>
                </c:pt>
                <c:pt idx="753">
                  <c:v>10.3</c:v>
                </c:pt>
                <c:pt idx="754">
                  <c:v>8.39</c:v>
                </c:pt>
                <c:pt idx="755">
                  <c:v>8.56</c:v>
                </c:pt>
                <c:pt idx="756">
                  <c:v>6.52</c:v>
                </c:pt>
                <c:pt idx="757">
                  <c:v>6.52</c:v>
                </c:pt>
                <c:pt idx="758">
                  <c:v>16.190000000000001</c:v>
                </c:pt>
                <c:pt idx="759">
                  <c:v>8.7799999999999994</c:v>
                </c:pt>
                <c:pt idx="760">
                  <c:v>12.54</c:v>
                </c:pt>
                <c:pt idx="761">
                  <c:v>6.99</c:v>
                </c:pt>
                <c:pt idx="762">
                  <c:v>5.72</c:v>
                </c:pt>
                <c:pt idx="763">
                  <c:v>18.920000000000002</c:v>
                </c:pt>
                <c:pt idx="764">
                  <c:v>11.11</c:v>
                </c:pt>
                <c:pt idx="765">
                  <c:v>11.78</c:v>
                </c:pt>
                <c:pt idx="766">
                  <c:v>9.27</c:v>
                </c:pt>
                <c:pt idx="767">
                  <c:v>6.55</c:v>
                </c:pt>
                <c:pt idx="768">
                  <c:v>6.39</c:v>
                </c:pt>
                <c:pt idx="769">
                  <c:v>6.27</c:v>
                </c:pt>
                <c:pt idx="770">
                  <c:v>5.96</c:v>
                </c:pt>
                <c:pt idx="771">
                  <c:v>6.77</c:v>
                </c:pt>
                <c:pt idx="772">
                  <c:v>8.9700000000000006</c:v>
                </c:pt>
                <c:pt idx="773">
                  <c:v>6.89</c:v>
                </c:pt>
                <c:pt idx="774">
                  <c:v>7.61</c:v>
                </c:pt>
                <c:pt idx="775">
                  <c:v>7.89</c:v>
                </c:pt>
                <c:pt idx="776">
                  <c:v>7.92</c:v>
                </c:pt>
                <c:pt idx="777">
                  <c:v>6.38</c:v>
                </c:pt>
                <c:pt idx="778">
                  <c:v>9.83</c:v>
                </c:pt>
                <c:pt idx="779">
                  <c:v>7.7</c:v>
                </c:pt>
                <c:pt idx="780">
                  <c:v>5.93</c:v>
                </c:pt>
                <c:pt idx="781">
                  <c:v>28.01</c:v>
                </c:pt>
                <c:pt idx="782">
                  <c:v>20.010000000000002</c:v>
                </c:pt>
                <c:pt idx="783">
                  <c:v>10.26</c:v>
                </c:pt>
                <c:pt idx="784">
                  <c:v>14.91</c:v>
                </c:pt>
                <c:pt idx="785">
                  <c:v>10.63</c:v>
                </c:pt>
                <c:pt idx="786">
                  <c:v>11.76</c:v>
                </c:pt>
                <c:pt idx="787">
                  <c:v>8.56</c:v>
                </c:pt>
                <c:pt idx="788">
                  <c:v>8.23</c:v>
                </c:pt>
                <c:pt idx="789">
                  <c:v>8.89</c:v>
                </c:pt>
                <c:pt idx="790">
                  <c:v>10.23</c:v>
                </c:pt>
                <c:pt idx="791">
                  <c:v>12.79</c:v>
                </c:pt>
                <c:pt idx="792">
                  <c:v>11.4</c:v>
                </c:pt>
                <c:pt idx="793">
                  <c:v>8.7899999999999991</c:v>
                </c:pt>
                <c:pt idx="794">
                  <c:v>9.93</c:v>
                </c:pt>
                <c:pt idx="795">
                  <c:v>23.09</c:v>
                </c:pt>
                <c:pt idx="796">
                  <c:v>10.8</c:v>
                </c:pt>
                <c:pt idx="797">
                  <c:v>6.59</c:v>
                </c:pt>
                <c:pt idx="798">
                  <c:v>6.55</c:v>
                </c:pt>
                <c:pt idx="799">
                  <c:v>10.16</c:v>
                </c:pt>
                <c:pt idx="800">
                  <c:v>6.43</c:v>
                </c:pt>
                <c:pt idx="801">
                  <c:v>2.2400000000000002</c:v>
                </c:pt>
                <c:pt idx="802">
                  <c:v>3.28</c:v>
                </c:pt>
                <c:pt idx="803">
                  <c:v>11.32</c:v>
                </c:pt>
                <c:pt idx="804">
                  <c:v>17.5</c:v>
                </c:pt>
                <c:pt idx="805">
                  <c:v>9.56</c:v>
                </c:pt>
                <c:pt idx="806">
                  <c:v>8.32</c:v>
                </c:pt>
                <c:pt idx="807">
                  <c:v>7.29</c:v>
                </c:pt>
                <c:pt idx="808">
                  <c:v>9.2799999999999994</c:v>
                </c:pt>
                <c:pt idx="809">
                  <c:v>5.89</c:v>
                </c:pt>
                <c:pt idx="810">
                  <c:v>6.95</c:v>
                </c:pt>
                <c:pt idx="811">
                  <c:v>16.02</c:v>
                </c:pt>
                <c:pt idx="812">
                  <c:v>16.12</c:v>
                </c:pt>
                <c:pt idx="813">
                  <c:v>24.28</c:v>
                </c:pt>
                <c:pt idx="814">
                  <c:v>10.57</c:v>
                </c:pt>
                <c:pt idx="815">
                  <c:v>9.35</c:v>
                </c:pt>
                <c:pt idx="816">
                  <c:v>9.6</c:v>
                </c:pt>
                <c:pt idx="817">
                  <c:v>12.15</c:v>
                </c:pt>
                <c:pt idx="818">
                  <c:v>10.45</c:v>
                </c:pt>
                <c:pt idx="819">
                  <c:v>8.56</c:v>
                </c:pt>
                <c:pt idx="820">
                  <c:v>6.4</c:v>
                </c:pt>
                <c:pt idx="821">
                  <c:v>6.46</c:v>
                </c:pt>
                <c:pt idx="822">
                  <c:v>5.81</c:v>
                </c:pt>
                <c:pt idx="823">
                  <c:v>6.73</c:v>
                </c:pt>
                <c:pt idx="824">
                  <c:v>12.08</c:v>
                </c:pt>
                <c:pt idx="825">
                  <c:v>5.45</c:v>
                </c:pt>
                <c:pt idx="826">
                  <c:v>4.51</c:v>
                </c:pt>
                <c:pt idx="827">
                  <c:v>8.11</c:v>
                </c:pt>
                <c:pt idx="828">
                  <c:v>7.7</c:v>
                </c:pt>
                <c:pt idx="829">
                  <c:v>12.06</c:v>
                </c:pt>
                <c:pt idx="830">
                  <c:v>7.23</c:v>
                </c:pt>
                <c:pt idx="831">
                  <c:v>15.05</c:v>
                </c:pt>
                <c:pt idx="832">
                  <c:v>14.91</c:v>
                </c:pt>
                <c:pt idx="833">
                  <c:v>41.17</c:v>
                </c:pt>
                <c:pt idx="834">
                  <c:v>12.57</c:v>
                </c:pt>
                <c:pt idx="835">
                  <c:v>13.79</c:v>
                </c:pt>
                <c:pt idx="836">
                  <c:v>8.56</c:v>
                </c:pt>
                <c:pt idx="837">
                  <c:v>14.3</c:v>
                </c:pt>
                <c:pt idx="838">
                  <c:v>11.09</c:v>
                </c:pt>
                <c:pt idx="839">
                  <c:v>7.67</c:v>
                </c:pt>
                <c:pt idx="840">
                  <c:v>12.87</c:v>
                </c:pt>
                <c:pt idx="841">
                  <c:v>9.98</c:v>
                </c:pt>
                <c:pt idx="842">
                  <c:v>11.08</c:v>
                </c:pt>
                <c:pt idx="843">
                  <c:v>7.66</c:v>
                </c:pt>
                <c:pt idx="844">
                  <c:v>4.84</c:v>
                </c:pt>
                <c:pt idx="845">
                  <c:v>10.16</c:v>
                </c:pt>
                <c:pt idx="846">
                  <c:v>7.9</c:v>
                </c:pt>
                <c:pt idx="847">
                  <c:v>11.5</c:v>
                </c:pt>
                <c:pt idx="848">
                  <c:v>5.71</c:v>
                </c:pt>
                <c:pt idx="849">
                  <c:v>2.84</c:v>
                </c:pt>
                <c:pt idx="850">
                  <c:v>9.44</c:v>
                </c:pt>
                <c:pt idx="851">
                  <c:v>7.22</c:v>
                </c:pt>
                <c:pt idx="852">
                  <c:v>10.11</c:v>
                </c:pt>
                <c:pt idx="853">
                  <c:v>12.82</c:v>
                </c:pt>
                <c:pt idx="854">
                  <c:v>19.73</c:v>
                </c:pt>
                <c:pt idx="855">
                  <c:v>24.56</c:v>
                </c:pt>
                <c:pt idx="856">
                  <c:v>14.51</c:v>
                </c:pt>
                <c:pt idx="857">
                  <c:v>13</c:v>
                </c:pt>
                <c:pt idx="858">
                  <c:v>38.69</c:v>
                </c:pt>
                <c:pt idx="859">
                  <c:v>12.71</c:v>
                </c:pt>
                <c:pt idx="860">
                  <c:v>7.91</c:v>
                </c:pt>
                <c:pt idx="861">
                  <c:v>11.58</c:v>
                </c:pt>
                <c:pt idx="862">
                  <c:v>7.9</c:v>
                </c:pt>
                <c:pt idx="863">
                  <c:v>7.29</c:v>
                </c:pt>
                <c:pt idx="864">
                  <c:v>8.57</c:v>
                </c:pt>
                <c:pt idx="865">
                  <c:v>6.57</c:v>
                </c:pt>
                <c:pt idx="866">
                  <c:v>6.43</c:v>
                </c:pt>
                <c:pt idx="867">
                  <c:v>12.83</c:v>
                </c:pt>
                <c:pt idx="868">
                  <c:v>4.63</c:v>
                </c:pt>
                <c:pt idx="869">
                  <c:v>4.7300000000000004</c:v>
                </c:pt>
                <c:pt idx="870">
                  <c:v>6.01</c:v>
                </c:pt>
                <c:pt idx="871">
                  <c:v>6.44</c:v>
                </c:pt>
                <c:pt idx="872">
                  <c:v>7.05</c:v>
                </c:pt>
                <c:pt idx="873">
                  <c:v>5.6</c:v>
                </c:pt>
                <c:pt idx="874">
                  <c:v>12.81</c:v>
                </c:pt>
                <c:pt idx="875">
                  <c:v>15.22</c:v>
                </c:pt>
                <c:pt idx="876">
                  <c:v>10.35</c:v>
                </c:pt>
                <c:pt idx="877">
                  <c:v>10.65</c:v>
                </c:pt>
                <c:pt idx="878">
                  <c:v>1.78</c:v>
                </c:pt>
                <c:pt idx="879">
                  <c:v>6.08</c:v>
                </c:pt>
                <c:pt idx="880">
                  <c:v>59.81</c:v>
                </c:pt>
                <c:pt idx="881">
                  <c:v>14.21</c:v>
                </c:pt>
                <c:pt idx="882">
                  <c:v>16.88</c:v>
                </c:pt>
                <c:pt idx="883">
                  <c:v>7.5</c:v>
                </c:pt>
                <c:pt idx="884">
                  <c:v>8.76</c:v>
                </c:pt>
                <c:pt idx="885">
                  <c:v>16.559999999999999</c:v>
                </c:pt>
                <c:pt idx="886">
                  <c:v>22.93</c:v>
                </c:pt>
                <c:pt idx="887">
                  <c:v>23.39</c:v>
                </c:pt>
                <c:pt idx="888">
                  <c:v>12.12</c:v>
                </c:pt>
                <c:pt idx="889">
                  <c:v>9.48</c:v>
                </c:pt>
                <c:pt idx="890">
                  <c:v>13.9</c:v>
                </c:pt>
                <c:pt idx="891">
                  <c:v>11.07</c:v>
                </c:pt>
                <c:pt idx="892">
                  <c:v>13.64</c:v>
                </c:pt>
                <c:pt idx="893">
                  <c:v>9.4600000000000009</c:v>
                </c:pt>
                <c:pt idx="894">
                  <c:v>6.64</c:v>
                </c:pt>
                <c:pt idx="895">
                  <c:v>9.86</c:v>
                </c:pt>
                <c:pt idx="896">
                  <c:v>8.6300000000000008</c:v>
                </c:pt>
                <c:pt idx="897">
                  <c:v>8</c:v>
                </c:pt>
                <c:pt idx="898">
                  <c:v>8.0399999999999991</c:v>
                </c:pt>
                <c:pt idx="899">
                  <c:v>9.14</c:v>
                </c:pt>
                <c:pt idx="900">
                  <c:v>4.5199999999999996</c:v>
                </c:pt>
                <c:pt idx="901">
                  <c:v>5.19</c:v>
                </c:pt>
                <c:pt idx="902">
                  <c:v>8.5399999999999991</c:v>
                </c:pt>
                <c:pt idx="903">
                  <c:v>4.55</c:v>
                </c:pt>
                <c:pt idx="904">
                  <c:v>11.58</c:v>
                </c:pt>
                <c:pt idx="905">
                  <c:v>12.63</c:v>
                </c:pt>
                <c:pt idx="906">
                  <c:v>9.57</c:v>
                </c:pt>
                <c:pt idx="907">
                  <c:v>13.54</c:v>
                </c:pt>
                <c:pt idx="908">
                  <c:v>15.38</c:v>
                </c:pt>
                <c:pt idx="909">
                  <c:v>7.19</c:v>
                </c:pt>
                <c:pt idx="910">
                  <c:v>7.99</c:v>
                </c:pt>
                <c:pt idx="911">
                  <c:v>4.67</c:v>
                </c:pt>
                <c:pt idx="912">
                  <c:v>8.3699999999999992</c:v>
                </c:pt>
                <c:pt idx="913">
                  <c:v>7.94</c:v>
                </c:pt>
                <c:pt idx="914">
                  <c:v>4.76</c:v>
                </c:pt>
                <c:pt idx="915">
                  <c:v>9.0500000000000007</c:v>
                </c:pt>
                <c:pt idx="916">
                  <c:v>12.7</c:v>
                </c:pt>
                <c:pt idx="917">
                  <c:v>11.87</c:v>
                </c:pt>
                <c:pt idx="918">
                  <c:v>5.72</c:v>
                </c:pt>
                <c:pt idx="919">
                  <c:v>8.8800000000000008</c:v>
                </c:pt>
                <c:pt idx="920">
                  <c:v>7.52</c:v>
                </c:pt>
                <c:pt idx="921">
                  <c:v>19.190000000000001</c:v>
                </c:pt>
                <c:pt idx="922">
                  <c:v>13.38</c:v>
                </c:pt>
                <c:pt idx="923">
                  <c:v>58.97</c:v>
                </c:pt>
                <c:pt idx="924">
                  <c:v>16.329999999999998</c:v>
                </c:pt>
                <c:pt idx="925">
                  <c:v>19.670000000000002</c:v>
                </c:pt>
                <c:pt idx="926">
                  <c:v>31.24</c:v>
                </c:pt>
                <c:pt idx="927">
                  <c:v>13.21</c:v>
                </c:pt>
                <c:pt idx="928">
                  <c:v>1.93</c:v>
                </c:pt>
                <c:pt idx="929">
                  <c:v>10.06</c:v>
                </c:pt>
                <c:pt idx="930">
                  <c:v>9.5</c:v>
                </c:pt>
                <c:pt idx="931">
                  <c:v>11.21</c:v>
                </c:pt>
                <c:pt idx="932">
                  <c:v>9.59</c:v>
                </c:pt>
                <c:pt idx="933">
                  <c:v>6.92</c:v>
                </c:pt>
                <c:pt idx="934">
                  <c:v>6.62</c:v>
                </c:pt>
                <c:pt idx="935">
                  <c:v>8.18</c:v>
                </c:pt>
                <c:pt idx="936">
                  <c:v>10.17</c:v>
                </c:pt>
                <c:pt idx="937">
                  <c:v>14.29</c:v>
                </c:pt>
                <c:pt idx="938">
                  <c:v>12.31</c:v>
                </c:pt>
                <c:pt idx="939">
                  <c:v>26.55</c:v>
                </c:pt>
                <c:pt idx="940">
                  <c:v>13.75</c:v>
                </c:pt>
                <c:pt idx="941">
                  <c:v>11.79</c:v>
                </c:pt>
                <c:pt idx="942">
                  <c:v>15.58</c:v>
                </c:pt>
                <c:pt idx="943">
                  <c:v>9.26</c:v>
                </c:pt>
                <c:pt idx="944">
                  <c:v>14.83</c:v>
                </c:pt>
                <c:pt idx="945">
                  <c:v>17.53</c:v>
                </c:pt>
                <c:pt idx="946">
                  <c:v>12.16</c:v>
                </c:pt>
                <c:pt idx="947">
                  <c:v>11.59</c:v>
                </c:pt>
                <c:pt idx="948">
                  <c:v>9.85</c:v>
                </c:pt>
                <c:pt idx="949">
                  <c:v>7.61</c:v>
                </c:pt>
                <c:pt idx="950">
                  <c:v>7.3</c:v>
                </c:pt>
                <c:pt idx="951">
                  <c:v>14.3</c:v>
                </c:pt>
                <c:pt idx="952">
                  <c:v>6.66</c:v>
                </c:pt>
                <c:pt idx="953">
                  <c:v>7.3</c:v>
                </c:pt>
                <c:pt idx="954">
                  <c:v>6.91</c:v>
                </c:pt>
                <c:pt idx="955">
                  <c:v>19.39</c:v>
                </c:pt>
                <c:pt idx="956">
                  <c:v>23.03</c:v>
                </c:pt>
                <c:pt idx="957">
                  <c:v>14.01</c:v>
                </c:pt>
                <c:pt idx="958">
                  <c:v>12.28</c:v>
                </c:pt>
                <c:pt idx="959">
                  <c:v>7.35</c:v>
                </c:pt>
                <c:pt idx="960">
                  <c:v>12.14</c:v>
                </c:pt>
                <c:pt idx="961">
                  <c:v>9.0500000000000007</c:v>
                </c:pt>
                <c:pt idx="962">
                  <c:v>13.31</c:v>
                </c:pt>
                <c:pt idx="963">
                  <c:v>10.95</c:v>
                </c:pt>
                <c:pt idx="964">
                  <c:v>13.41</c:v>
                </c:pt>
                <c:pt idx="965">
                  <c:v>11.98</c:v>
                </c:pt>
                <c:pt idx="966">
                  <c:v>7.34</c:v>
                </c:pt>
                <c:pt idx="967">
                  <c:v>5.85</c:v>
                </c:pt>
                <c:pt idx="968">
                  <c:v>4.82</c:v>
                </c:pt>
                <c:pt idx="969">
                  <c:v>8.01</c:v>
                </c:pt>
                <c:pt idx="970">
                  <c:v>7.4</c:v>
                </c:pt>
                <c:pt idx="971">
                  <c:v>7.4</c:v>
                </c:pt>
                <c:pt idx="972">
                  <c:v>10.38</c:v>
                </c:pt>
                <c:pt idx="973">
                  <c:v>11.47</c:v>
                </c:pt>
                <c:pt idx="974">
                  <c:v>32.770000000000003</c:v>
                </c:pt>
                <c:pt idx="975">
                  <c:v>21.23</c:v>
                </c:pt>
                <c:pt idx="976">
                  <c:v>11.85</c:v>
                </c:pt>
                <c:pt idx="977">
                  <c:v>28.59</c:v>
                </c:pt>
                <c:pt idx="978">
                  <c:v>10.86</c:v>
                </c:pt>
                <c:pt idx="979">
                  <c:v>14.38</c:v>
                </c:pt>
                <c:pt idx="980">
                  <c:v>21.97</c:v>
                </c:pt>
                <c:pt idx="981">
                  <c:v>26.65</c:v>
                </c:pt>
                <c:pt idx="982">
                  <c:v>16.73</c:v>
                </c:pt>
                <c:pt idx="983">
                  <c:v>9.98</c:v>
                </c:pt>
                <c:pt idx="984">
                  <c:v>19.53</c:v>
                </c:pt>
                <c:pt idx="985">
                  <c:v>15.44</c:v>
                </c:pt>
                <c:pt idx="986">
                  <c:v>11.31</c:v>
                </c:pt>
                <c:pt idx="987">
                  <c:v>7.51</c:v>
                </c:pt>
                <c:pt idx="988">
                  <c:v>8.2100000000000009</c:v>
                </c:pt>
                <c:pt idx="989">
                  <c:v>11.44</c:v>
                </c:pt>
                <c:pt idx="990">
                  <c:v>6.91</c:v>
                </c:pt>
                <c:pt idx="991">
                  <c:v>5.63</c:v>
                </c:pt>
                <c:pt idx="992">
                  <c:v>4.87</c:v>
                </c:pt>
                <c:pt idx="993">
                  <c:v>9.3800000000000008</c:v>
                </c:pt>
                <c:pt idx="994">
                  <c:v>10.18</c:v>
                </c:pt>
                <c:pt idx="995">
                  <c:v>9.42</c:v>
                </c:pt>
                <c:pt idx="996">
                  <c:v>8.81</c:v>
                </c:pt>
                <c:pt idx="997">
                  <c:v>8.15</c:v>
                </c:pt>
                <c:pt idx="998">
                  <c:v>40.659999999999997</c:v>
                </c:pt>
                <c:pt idx="999">
                  <c:v>17.649999999999999</c:v>
                </c:pt>
                <c:pt idx="1000">
                  <c:v>8.1199999999999992</c:v>
                </c:pt>
                <c:pt idx="1001">
                  <c:v>5.09</c:v>
                </c:pt>
                <c:pt idx="1002">
                  <c:v>4.67</c:v>
                </c:pt>
                <c:pt idx="1003">
                  <c:v>7.9</c:v>
                </c:pt>
                <c:pt idx="1004">
                  <c:v>8.7200000000000006</c:v>
                </c:pt>
                <c:pt idx="1005">
                  <c:v>7.21</c:v>
                </c:pt>
                <c:pt idx="1006">
                  <c:v>6.92</c:v>
                </c:pt>
                <c:pt idx="1007">
                  <c:v>36.14</c:v>
                </c:pt>
                <c:pt idx="1008">
                  <c:v>25.68</c:v>
                </c:pt>
                <c:pt idx="1009">
                  <c:v>13.2</c:v>
                </c:pt>
                <c:pt idx="1010">
                  <c:v>5.84</c:v>
                </c:pt>
                <c:pt idx="1011">
                  <c:v>44.52</c:v>
                </c:pt>
                <c:pt idx="1012">
                  <c:v>12.04</c:v>
                </c:pt>
                <c:pt idx="1013">
                  <c:v>13.47</c:v>
                </c:pt>
                <c:pt idx="1014">
                  <c:v>16.760000000000002</c:v>
                </c:pt>
                <c:pt idx="1015">
                  <c:v>10.25</c:v>
                </c:pt>
                <c:pt idx="1016">
                  <c:v>12.76</c:v>
                </c:pt>
                <c:pt idx="1017">
                  <c:v>12.96</c:v>
                </c:pt>
                <c:pt idx="1018">
                  <c:v>21.64</c:v>
                </c:pt>
                <c:pt idx="1019">
                  <c:v>10.36</c:v>
                </c:pt>
                <c:pt idx="1020">
                  <c:v>12.23</c:v>
                </c:pt>
                <c:pt idx="1021">
                  <c:v>10.09</c:v>
                </c:pt>
                <c:pt idx="1022">
                  <c:v>24.42</c:v>
                </c:pt>
                <c:pt idx="1023">
                  <c:v>19.190000000000001</c:v>
                </c:pt>
                <c:pt idx="1024">
                  <c:v>11.77</c:v>
                </c:pt>
                <c:pt idx="1025">
                  <c:v>21.18</c:v>
                </c:pt>
                <c:pt idx="1026">
                  <c:v>11.56</c:v>
                </c:pt>
                <c:pt idx="1027">
                  <c:v>13.25</c:v>
                </c:pt>
                <c:pt idx="1028">
                  <c:v>4.46</c:v>
                </c:pt>
                <c:pt idx="1029">
                  <c:v>5.74</c:v>
                </c:pt>
                <c:pt idx="1030">
                  <c:v>9.06</c:v>
                </c:pt>
                <c:pt idx="1031">
                  <c:v>10.3</c:v>
                </c:pt>
                <c:pt idx="1032">
                  <c:v>13.86</c:v>
                </c:pt>
                <c:pt idx="1033">
                  <c:v>11.53</c:v>
                </c:pt>
                <c:pt idx="1034">
                  <c:v>7.39</c:v>
                </c:pt>
                <c:pt idx="1035">
                  <c:v>13.62</c:v>
                </c:pt>
                <c:pt idx="1036">
                  <c:v>10.55</c:v>
                </c:pt>
                <c:pt idx="1037">
                  <c:v>7.23</c:v>
                </c:pt>
                <c:pt idx="1038">
                  <c:v>10.87</c:v>
                </c:pt>
                <c:pt idx="1039">
                  <c:v>7.11</c:v>
                </c:pt>
                <c:pt idx="1040">
                  <c:v>26.82</c:v>
                </c:pt>
                <c:pt idx="1041">
                  <c:v>12.93</c:v>
                </c:pt>
                <c:pt idx="1042">
                  <c:v>11.9</c:v>
                </c:pt>
                <c:pt idx="1043">
                  <c:v>2.9</c:v>
                </c:pt>
                <c:pt idx="1044">
                  <c:v>15.51</c:v>
                </c:pt>
                <c:pt idx="1045">
                  <c:v>10.220000000000001</c:v>
                </c:pt>
                <c:pt idx="1046">
                  <c:v>10.58</c:v>
                </c:pt>
                <c:pt idx="1047">
                  <c:v>13.24</c:v>
                </c:pt>
                <c:pt idx="1048">
                  <c:v>16.07</c:v>
                </c:pt>
                <c:pt idx="1049">
                  <c:v>27.59</c:v>
                </c:pt>
                <c:pt idx="1050">
                  <c:v>16.53</c:v>
                </c:pt>
                <c:pt idx="1051">
                  <c:v>14.67</c:v>
                </c:pt>
                <c:pt idx="1052">
                  <c:v>11.74</c:v>
                </c:pt>
                <c:pt idx="1053">
                  <c:v>17.05</c:v>
                </c:pt>
                <c:pt idx="1054">
                  <c:v>14.01</c:v>
                </c:pt>
                <c:pt idx="1055">
                  <c:v>14.19</c:v>
                </c:pt>
                <c:pt idx="1056">
                  <c:v>14.54</c:v>
                </c:pt>
                <c:pt idx="1057">
                  <c:v>15.19</c:v>
                </c:pt>
                <c:pt idx="1058">
                  <c:v>10.31</c:v>
                </c:pt>
                <c:pt idx="1059">
                  <c:v>10.01</c:v>
                </c:pt>
                <c:pt idx="1060">
                  <c:v>10.94</c:v>
                </c:pt>
                <c:pt idx="1061">
                  <c:v>10.36</c:v>
                </c:pt>
                <c:pt idx="1062">
                  <c:v>8.43</c:v>
                </c:pt>
                <c:pt idx="1063">
                  <c:v>9.8699999999999992</c:v>
                </c:pt>
                <c:pt idx="1064">
                  <c:v>12.39</c:v>
                </c:pt>
                <c:pt idx="1065">
                  <c:v>12.17</c:v>
                </c:pt>
                <c:pt idx="1066">
                  <c:v>19.72</c:v>
                </c:pt>
                <c:pt idx="1067">
                  <c:v>15.57</c:v>
                </c:pt>
                <c:pt idx="1068">
                  <c:v>13.11</c:v>
                </c:pt>
                <c:pt idx="1069">
                  <c:v>7.76</c:v>
                </c:pt>
                <c:pt idx="1070">
                  <c:v>10.6</c:v>
                </c:pt>
                <c:pt idx="1071">
                  <c:v>14.1</c:v>
                </c:pt>
                <c:pt idx="1072">
                  <c:v>10.02</c:v>
                </c:pt>
                <c:pt idx="1073">
                  <c:v>10.27</c:v>
                </c:pt>
                <c:pt idx="1074">
                  <c:v>19.09</c:v>
                </c:pt>
                <c:pt idx="1075">
                  <c:v>17.12</c:v>
                </c:pt>
                <c:pt idx="1076">
                  <c:v>17.96</c:v>
                </c:pt>
                <c:pt idx="1077">
                  <c:v>9.65</c:v>
                </c:pt>
                <c:pt idx="1078">
                  <c:v>12.55</c:v>
                </c:pt>
                <c:pt idx="1079">
                  <c:v>9.34</c:v>
                </c:pt>
                <c:pt idx="1080">
                  <c:v>15.84</c:v>
                </c:pt>
                <c:pt idx="1081">
                  <c:v>17.440000000000001</c:v>
                </c:pt>
                <c:pt idx="1082">
                  <c:v>7.09</c:v>
                </c:pt>
                <c:pt idx="1083">
                  <c:v>7.79</c:v>
                </c:pt>
                <c:pt idx="1084">
                  <c:v>15.29</c:v>
                </c:pt>
                <c:pt idx="1085">
                  <c:v>24.77</c:v>
                </c:pt>
                <c:pt idx="1086">
                  <c:v>16.95</c:v>
                </c:pt>
                <c:pt idx="1087">
                  <c:v>15.55</c:v>
                </c:pt>
                <c:pt idx="1088">
                  <c:v>11.86</c:v>
                </c:pt>
                <c:pt idx="1089">
                  <c:v>17.95</c:v>
                </c:pt>
                <c:pt idx="1090">
                  <c:v>11.14</c:v>
                </c:pt>
                <c:pt idx="1091">
                  <c:v>12.23</c:v>
                </c:pt>
                <c:pt idx="1092">
                  <c:v>11.38</c:v>
                </c:pt>
                <c:pt idx="1093">
                  <c:v>10.5</c:v>
                </c:pt>
                <c:pt idx="1094">
                  <c:v>8.68</c:v>
                </c:pt>
                <c:pt idx="1095">
                  <c:v>7.01</c:v>
                </c:pt>
                <c:pt idx="1096">
                  <c:v>9.9600000000000009</c:v>
                </c:pt>
                <c:pt idx="1097">
                  <c:v>11.66</c:v>
                </c:pt>
                <c:pt idx="1098">
                  <c:v>12.42</c:v>
                </c:pt>
                <c:pt idx="1099">
                  <c:v>7.92</c:v>
                </c:pt>
                <c:pt idx="1100">
                  <c:v>9.51</c:v>
                </c:pt>
                <c:pt idx="1101">
                  <c:v>14.12</c:v>
                </c:pt>
                <c:pt idx="1102">
                  <c:v>16.100000000000001</c:v>
                </c:pt>
                <c:pt idx="1103">
                  <c:v>12.46</c:v>
                </c:pt>
                <c:pt idx="1104">
                  <c:v>59.39</c:v>
                </c:pt>
                <c:pt idx="1105">
                  <c:v>19.16</c:v>
                </c:pt>
                <c:pt idx="1106">
                  <c:v>14.09</c:v>
                </c:pt>
                <c:pt idx="1107">
                  <c:v>17.809999999999999</c:v>
                </c:pt>
                <c:pt idx="1108">
                  <c:v>16.79</c:v>
                </c:pt>
                <c:pt idx="1109">
                  <c:v>12.91</c:v>
                </c:pt>
                <c:pt idx="1110">
                  <c:v>10.02</c:v>
                </c:pt>
                <c:pt idx="1111">
                  <c:v>12.26</c:v>
                </c:pt>
                <c:pt idx="1112">
                  <c:v>10.98</c:v>
                </c:pt>
                <c:pt idx="1113">
                  <c:v>11.94</c:v>
                </c:pt>
                <c:pt idx="1114">
                  <c:v>12.31</c:v>
                </c:pt>
                <c:pt idx="1115">
                  <c:v>8.49</c:v>
                </c:pt>
                <c:pt idx="1116">
                  <c:v>9.9700000000000006</c:v>
                </c:pt>
                <c:pt idx="1117">
                  <c:v>10.31</c:v>
                </c:pt>
                <c:pt idx="1118">
                  <c:v>7.81</c:v>
                </c:pt>
                <c:pt idx="1119">
                  <c:v>9.99</c:v>
                </c:pt>
                <c:pt idx="1120">
                  <c:v>8.67</c:v>
                </c:pt>
                <c:pt idx="1121">
                  <c:v>14.58</c:v>
                </c:pt>
                <c:pt idx="1122">
                  <c:v>8.86</c:v>
                </c:pt>
                <c:pt idx="1123">
                  <c:v>10.25</c:v>
                </c:pt>
                <c:pt idx="1124">
                  <c:v>12.28</c:v>
                </c:pt>
                <c:pt idx="1125">
                  <c:v>20.48</c:v>
                </c:pt>
                <c:pt idx="1126">
                  <c:v>18.36</c:v>
                </c:pt>
                <c:pt idx="1127">
                  <c:v>11.88</c:v>
                </c:pt>
                <c:pt idx="1128">
                  <c:v>12.37</c:v>
                </c:pt>
                <c:pt idx="1129">
                  <c:v>16.989999999999998</c:v>
                </c:pt>
                <c:pt idx="1130">
                  <c:v>10.119999999999999</c:v>
                </c:pt>
                <c:pt idx="1131">
                  <c:v>10.31</c:v>
                </c:pt>
                <c:pt idx="1132">
                  <c:v>9.5299999999999994</c:v>
                </c:pt>
                <c:pt idx="1133">
                  <c:v>18.73</c:v>
                </c:pt>
                <c:pt idx="1134">
                  <c:v>14</c:v>
                </c:pt>
                <c:pt idx="1135">
                  <c:v>9.17</c:v>
                </c:pt>
                <c:pt idx="1136">
                  <c:v>11.24</c:v>
                </c:pt>
                <c:pt idx="1137">
                  <c:v>9.34</c:v>
                </c:pt>
                <c:pt idx="1138">
                  <c:v>9.7100000000000009</c:v>
                </c:pt>
                <c:pt idx="1139">
                  <c:v>14.82</c:v>
                </c:pt>
                <c:pt idx="1140">
                  <c:v>11.67</c:v>
                </c:pt>
                <c:pt idx="1141">
                  <c:v>13.62</c:v>
                </c:pt>
                <c:pt idx="1142">
                  <c:v>9.36</c:v>
                </c:pt>
                <c:pt idx="1143">
                  <c:v>34.24</c:v>
                </c:pt>
                <c:pt idx="1144">
                  <c:v>16.010000000000002</c:v>
                </c:pt>
                <c:pt idx="1145">
                  <c:v>9.59</c:v>
                </c:pt>
                <c:pt idx="1146">
                  <c:v>8.0299999999999994</c:v>
                </c:pt>
                <c:pt idx="1147">
                  <c:v>13.47</c:v>
                </c:pt>
                <c:pt idx="1148">
                  <c:v>26.62</c:v>
                </c:pt>
                <c:pt idx="1149">
                  <c:v>49.46</c:v>
                </c:pt>
                <c:pt idx="1150">
                  <c:v>20.99</c:v>
                </c:pt>
                <c:pt idx="1151">
                  <c:v>17.48</c:v>
                </c:pt>
                <c:pt idx="1152">
                  <c:v>21.06</c:v>
                </c:pt>
                <c:pt idx="1153">
                  <c:v>19.72</c:v>
                </c:pt>
                <c:pt idx="1154">
                  <c:v>12.32</c:v>
                </c:pt>
                <c:pt idx="1155">
                  <c:v>14.34</c:v>
                </c:pt>
                <c:pt idx="1156">
                  <c:v>12.79</c:v>
                </c:pt>
                <c:pt idx="1157">
                  <c:v>10.29</c:v>
                </c:pt>
                <c:pt idx="1158">
                  <c:v>23.39</c:v>
                </c:pt>
                <c:pt idx="1159">
                  <c:v>15.17</c:v>
                </c:pt>
                <c:pt idx="1160">
                  <c:v>13.21</c:v>
                </c:pt>
                <c:pt idx="1161">
                  <c:v>10.24</c:v>
                </c:pt>
                <c:pt idx="1162">
                  <c:v>13.75</c:v>
                </c:pt>
                <c:pt idx="1163">
                  <c:v>19.489999999999998</c:v>
                </c:pt>
                <c:pt idx="1164">
                  <c:v>13.14</c:v>
                </c:pt>
                <c:pt idx="1165">
                  <c:v>8.8699999999999992</c:v>
                </c:pt>
                <c:pt idx="1166">
                  <c:v>12.72</c:v>
                </c:pt>
                <c:pt idx="1167">
                  <c:v>30.39</c:v>
                </c:pt>
                <c:pt idx="1168">
                  <c:v>29.32</c:v>
                </c:pt>
                <c:pt idx="1169">
                  <c:v>40.18</c:v>
                </c:pt>
                <c:pt idx="1170">
                  <c:v>20.13</c:v>
                </c:pt>
                <c:pt idx="1171">
                  <c:v>16.13</c:v>
                </c:pt>
                <c:pt idx="1172">
                  <c:v>31.51</c:v>
                </c:pt>
                <c:pt idx="1173">
                  <c:v>28.63</c:v>
                </c:pt>
                <c:pt idx="1174">
                  <c:v>20.63</c:v>
                </c:pt>
                <c:pt idx="1175">
                  <c:v>10.46</c:v>
                </c:pt>
                <c:pt idx="1176">
                  <c:v>14.47</c:v>
                </c:pt>
                <c:pt idx="1177">
                  <c:v>9</c:v>
                </c:pt>
                <c:pt idx="1178">
                  <c:v>10.050000000000001</c:v>
                </c:pt>
                <c:pt idx="1179">
                  <c:v>7.92</c:v>
                </c:pt>
                <c:pt idx="1180">
                  <c:v>13.02</c:v>
                </c:pt>
                <c:pt idx="1181">
                  <c:v>12.22</c:v>
                </c:pt>
                <c:pt idx="1182">
                  <c:v>7.57</c:v>
                </c:pt>
                <c:pt idx="1183">
                  <c:v>8.84</c:v>
                </c:pt>
                <c:pt idx="1184">
                  <c:v>14.53</c:v>
                </c:pt>
                <c:pt idx="1185">
                  <c:v>9.7100000000000009</c:v>
                </c:pt>
                <c:pt idx="1186">
                  <c:v>9.16</c:v>
                </c:pt>
                <c:pt idx="1187">
                  <c:v>11.29</c:v>
                </c:pt>
                <c:pt idx="1188">
                  <c:v>10.199999999999999</c:v>
                </c:pt>
                <c:pt idx="1189">
                  <c:v>11.98</c:v>
                </c:pt>
                <c:pt idx="1190">
                  <c:v>9.9</c:v>
                </c:pt>
                <c:pt idx="1191">
                  <c:v>19.149999999999999</c:v>
                </c:pt>
                <c:pt idx="1192">
                  <c:v>12.63</c:v>
                </c:pt>
                <c:pt idx="1193">
                  <c:v>12.59</c:v>
                </c:pt>
                <c:pt idx="1194">
                  <c:v>10.52</c:v>
                </c:pt>
                <c:pt idx="1195">
                  <c:v>31.25</c:v>
                </c:pt>
                <c:pt idx="1196">
                  <c:v>17.11</c:v>
                </c:pt>
                <c:pt idx="1197">
                  <c:v>12.56</c:v>
                </c:pt>
                <c:pt idx="1198">
                  <c:v>10.9</c:v>
                </c:pt>
                <c:pt idx="1199">
                  <c:v>11.39</c:v>
                </c:pt>
                <c:pt idx="1200">
                  <c:v>10.27</c:v>
                </c:pt>
                <c:pt idx="1201">
                  <c:v>15.36</c:v>
                </c:pt>
                <c:pt idx="1202">
                  <c:v>10.46</c:v>
                </c:pt>
                <c:pt idx="1203">
                  <c:v>10.1</c:v>
                </c:pt>
                <c:pt idx="1204">
                  <c:v>7.2</c:v>
                </c:pt>
                <c:pt idx="1205">
                  <c:v>6.96</c:v>
                </c:pt>
                <c:pt idx="1206">
                  <c:v>6.87</c:v>
                </c:pt>
                <c:pt idx="1207">
                  <c:v>8.0299999999999994</c:v>
                </c:pt>
                <c:pt idx="1208">
                  <c:v>9.67</c:v>
                </c:pt>
                <c:pt idx="1209">
                  <c:v>4.9400000000000004</c:v>
                </c:pt>
                <c:pt idx="1210">
                  <c:v>5.43</c:v>
                </c:pt>
                <c:pt idx="1211">
                  <c:v>7.62</c:v>
                </c:pt>
                <c:pt idx="1212">
                  <c:v>5.48</c:v>
                </c:pt>
                <c:pt idx="1213">
                  <c:v>7.73</c:v>
                </c:pt>
                <c:pt idx="1214">
                  <c:v>8.2799999999999994</c:v>
                </c:pt>
                <c:pt idx="1215">
                  <c:v>7.75</c:v>
                </c:pt>
                <c:pt idx="1216">
                  <c:v>7.04</c:v>
                </c:pt>
                <c:pt idx="1217">
                  <c:v>6.24</c:v>
                </c:pt>
                <c:pt idx="1218">
                  <c:v>6.6</c:v>
                </c:pt>
                <c:pt idx="1219">
                  <c:v>5.56</c:v>
                </c:pt>
                <c:pt idx="1220">
                  <c:v>6.73</c:v>
                </c:pt>
                <c:pt idx="1221">
                  <c:v>7.75</c:v>
                </c:pt>
                <c:pt idx="1222">
                  <c:v>14.46</c:v>
                </c:pt>
                <c:pt idx="1223">
                  <c:v>15.2</c:v>
                </c:pt>
                <c:pt idx="1224">
                  <c:v>7.27</c:v>
                </c:pt>
                <c:pt idx="1225">
                  <c:v>7.79</c:v>
                </c:pt>
                <c:pt idx="1226">
                  <c:v>6.24</c:v>
                </c:pt>
                <c:pt idx="1227">
                  <c:v>18.920000000000002</c:v>
                </c:pt>
                <c:pt idx="1228">
                  <c:v>18.72</c:v>
                </c:pt>
                <c:pt idx="1229">
                  <c:v>12.55</c:v>
                </c:pt>
                <c:pt idx="1230">
                  <c:v>8.0299999999999994</c:v>
                </c:pt>
                <c:pt idx="1231">
                  <c:v>6.71</c:v>
                </c:pt>
                <c:pt idx="1232">
                  <c:v>6.41</c:v>
                </c:pt>
                <c:pt idx="1233">
                  <c:v>13.61</c:v>
                </c:pt>
                <c:pt idx="1234">
                  <c:v>10.14</c:v>
                </c:pt>
                <c:pt idx="1235">
                  <c:v>17.28</c:v>
                </c:pt>
                <c:pt idx="1236">
                  <c:v>11.21</c:v>
                </c:pt>
                <c:pt idx="1237">
                  <c:v>7.56</c:v>
                </c:pt>
                <c:pt idx="1238">
                  <c:v>6.25</c:v>
                </c:pt>
                <c:pt idx="1239">
                  <c:v>14.23</c:v>
                </c:pt>
                <c:pt idx="1240">
                  <c:v>19.440000000000001</c:v>
                </c:pt>
                <c:pt idx="1241">
                  <c:v>10.050000000000001</c:v>
                </c:pt>
              </c:numCache>
            </c:numRef>
          </c:val>
          <c:smooth val="0"/>
          <c:extLst>
            <c:ext xmlns:c16="http://schemas.microsoft.com/office/drawing/2014/chart" uri="{C3380CC4-5D6E-409C-BE32-E72D297353CC}">
              <c16:uniqueId val="{00000000-C251-49FA-925C-33CEE7BF1F95}"/>
            </c:ext>
          </c:extLst>
        </c:ser>
        <c:dLbls>
          <c:showLegendKey val="0"/>
          <c:showVal val="0"/>
          <c:showCatName val="0"/>
          <c:showSerName val="0"/>
          <c:showPercent val="0"/>
          <c:showBubbleSize val="0"/>
        </c:dLbls>
        <c:smooth val="0"/>
        <c:axId val="1266436384"/>
        <c:axId val="1266429664"/>
      </c:lineChart>
      <c:catAx>
        <c:axId val="1266436384"/>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29664"/>
        <c:crosses val="autoZero"/>
        <c:auto val="1"/>
        <c:lblAlgn val="ctr"/>
        <c:lblOffset val="100"/>
        <c:noMultiLvlLbl val="1"/>
      </c:catAx>
      <c:valAx>
        <c:axId val="126642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3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'[1]TAMO Historical Data (6)'!$B$1</c:f>
              <c:strCache>
                <c:ptCount val="1"/>
                <c:pt idx="0">
                  <c:v>#REF!</c:v>
                </c:pt>
              </c:strCache>
            </c:strRef>
          </c:tx>
          <c:spPr>
            <a:solidFill>
              <a:schemeClr val="bg1">
                <a:lumMod val="65000"/>
              </a:schemeClr>
            </a:solidFill>
            <a:ln>
              <a:noFill/>
            </a:ln>
            <a:effectLst/>
          </c:spPr>
          <c:invertIfNegative val="0"/>
          <c:cat>
            <c:numRef>
              <c:f>'[1]TAMO Historical Data (6)'!$A$2:$A$1243</c:f>
              <c:numCache>
                <c:formatCode>General</c:formatCode>
                <c:ptCount val="1242"/>
                <c:pt idx="0">
                  <c:v>44063</c:v>
                </c:pt>
                <c:pt idx="1">
                  <c:v>44064</c:v>
                </c:pt>
                <c:pt idx="2">
                  <c:v>44067</c:v>
                </c:pt>
                <c:pt idx="3">
                  <c:v>44068</c:v>
                </c:pt>
                <c:pt idx="4">
                  <c:v>44069</c:v>
                </c:pt>
                <c:pt idx="5">
                  <c:v>44070</c:v>
                </c:pt>
                <c:pt idx="6">
                  <c:v>44071</c:v>
                </c:pt>
                <c:pt idx="7">
                  <c:v>44074</c:v>
                </c:pt>
                <c:pt idx="8">
                  <c:v>44075</c:v>
                </c:pt>
                <c:pt idx="9">
                  <c:v>44076</c:v>
                </c:pt>
                <c:pt idx="10">
                  <c:v>44077</c:v>
                </c:pt>
                <c:pt idx="11">
                  <c:v>44078</c:v>
                </c:pt>
                <c:pt idx="12">
                  <c:v>44081</c:v>
                </c:pt>
                <c:pt idx="13">
                  <c:v>44082</c:v>
                </c:pt>
                <c:pt idx="14">
                  <c:v>44083</c:v>
                </c:pt>
                <c:pt idx="15">
                  <c:v>44084</c:v>
                </c:pt>
                <c:pt idx="16">
                  <c:v>44085</c:v>
                </c:pt>
                <c:pt idx="17">
                  <c:v>44088</c:v>
                </c:pt>
                <c:pt idx="18">
                  <c:v>44089</c:v>
                </c:pt>
                <c:pt idx="19">
                  <c:v>44090</c:v>
                </c:pt>
                <c:pt idx="20">
                  <c:v>44091</c:v>
                </c:pt>
                <c:pt idx="21">
                  <c:v>44092</c:v>
                </c:pt>
                <c:pt idx="22">
                  <c:v>44095</c:v>
                </c:pt>
                <c:pt idx="23">
                  <c:v>44096</c:v>
                </c:pt>
                <c:pt idx="24">
                  <c:v>44097</c:v>
                </c:pt>
                <c:pt idx="25">
                  <c:v>44098</c:v>
                </c:pt>
                <c:pt idx="26">
                  <c:v>44099</c:v>
                </c:pt>
                <c:pt idx="27">
                  <c:v>44102</c:v>
                </c:pt>
                <c:pt idx="28">
                  <c:v>44103</c:v>
                </c:pt>
                <c:pt idx="29">
                  <c:v>44104</c:v>
                </c:pt>
                <c:pt idx="30">
                  <c:v>44105</c:v>
                </c:pt>
                <c:pt idx="31">
                  <c:v>44109</c:v>
                </c:pt>
                <c:pt idx="32">
                  <c:v>44110</c:v>
                </c:pt>
                <c:pt idx="33">
                  <c:v>44111</c:v>
                </c:pt>
                <c:pt idx="34">
                  <c:v>44112</c:v>
                </c:pt>
                <c:pt idx="35">
                  <c:v>44113</c:v>
                </c:pt>
                <c:pt idx="36">
                  <c:v>44116</c:v>
                </c:pt>
                <c:pt idx="37">
                  <c:v>44117</c:v>
                </c:pt>
                <c:pt idx="38">
                  <c:v>44118</c:v>
                </c:pt>
                <c:pt idx="39">
                  <c:v>44119</c:v>
                </c:pt>
                <c:pt idx="40">
                  <c:v>44120</c:v>
                </c:pt>
                <c:pt idx="41">
                  <c:v>44123</c:v>
                </c:pt>
                <c:pt idx="42">
                  <c:v>44124</c:v>
                </c:pt>
                <c:pt idx="43">
                  <c:v>44125</c:v>
                </c:pt>
                <c:pt idx="44">
                  <c:v>44126</c:v>
                </c:pt>
                <c:pt idx="45">
                  <c:v>44127</c:v>
                </c:pt>
                <c:pt idx="46">
                  <c:v>44130</c:v>
                </c:pt>
                <c:pt idx="47">
                  <c:v>44131</c:v>
                </c:pt>
                <c:pt idx="48">
                  <c:v>44132</c:v>
                </c:pt>
                <c:pt idx="49">
                  <c:v>44133</c:v>
                </c:pt>
                <c:pt idx="50">
                  <c:v>44134</c:v>
                </c:pt>
                <c:pt idx="51">
                  <c:v>44137</c:v>
                </c:pt>
                <c:pt idx="52">
                  <c:v>44138</c:v>
                </c:pt>
                <c:pt idx="53">
                  <c:v>44139</c:v>
                </c:pt>
                <c:pt idx="54">
                  <c:v>44140</c:v>
                </c:pt>
                <c:pt idx="55">
                  <c:v>44141</c:v>
                </c:pt>
                <c:pt idx="56">
                  <c:v>44144</c:v>
                </c:pt>
                <c:pt idx="57">
                  <c:v>44145</c:v>
                </c:pt>
                <c:pt idx="58">
                  <c:v>44146</c:v>
                </c:pt>
                <c:pt idx="59">
                  <c:v>44147</c:v>
                </c:pt>
                <c:pt idx="60">
                  <c:v>44148</c:v>
                </c:pt>
                <c:pt idx="61">
                  <c:v>44152</c:v>
                </c:pt>
                <c:pt idx="62">
                  <c:v>44153</c:v>
                </c:pt>
                <c:pt idx="63">
                  <c:v>44154</c:v>
                </c:pt>
                <c:pt idx="64">
                  <c:v>44155</c:v>
                </c:pt>
                <c:pt idx="65">
                  <c:v>44158</c:v>
                </c:pt>
                <c:pt idx="66">
                  <c:v>44159</c:v>
                </c:pt>
                <c:pt idx="67">
                  <c:v>44160</c:v>
                </c:pt>
                <c:pt idx="68">
                  <c:v>44161</c:v>
                </c:pt>
                <c:pt idx="69">
                  <c:v>44162</c:v>
                </c:pt>
                <c:pt idx="70">
                  <c:v>44166</c:v>
                </c:pt>
                <c:pt idx="71">
                  <c:v>44167</c:v>
                </c:pt>
                <c:pt idx="72">
                  <c:v>44168</c:v>
                </c:pt>
                <c:pt idx="73">
                  <c:v>44169</c:v>
                </c:pt>
                <c:pt idx="74">
                  <c:v>44172</c:v>
                </c:pt>
                <c:pt idx="75">
                  <c:v>44173</c:v>
                </c:pt>
                <c:pt idx="76">
                  <c:v>44174</c:v>
                </c:pt>
                <c:pt idx="77">
                  <c:v>44175</c:v>
                </c:pt>
                <c:pt idx="78">
                  <c:v>44176</c:v>
                </c:pt>
                <c:pt idx="79">
                  <c:v>44179</c:v>
                </c:pt>
                <c:pt idx="80">
                  <c:v>44180</c:v>
                </c:pt>
                <c:pt idx="81">
                  <c:v>44181</c:v>
                </c:pt>
                <c:pt idx="82">
                  <c:v>44182</c:v>
                </c:pt>
                <c:pt idx="83">
                  <c:v>44183</c:v>
                </c:pt>
                <c:pt idx="84">
                  <c:v>44186</c:v>
                </c:pt>
                <c:pt idx="85">
                  <c:v>44187</c:v>
                </c:pt>
                <c:pt idx="86">
                  <c:v>44188</c:v>
                </c:pt>
                <c:pt idx="87">
                  <c:v>44189</c:v>
                </c:pt>
                <c:pt idx="88">
                  <c:v>44193</c:v>
                </c:pt>
                <c:pt idx="89">
                  <c:v>44194</c:v>
                </c:pt>
                <c:pt idx="90">
                  <c:v>44195</c:v>
                </c:pt>
                <c:pt idx="91">
                  <c:v>44196</c:v>
                </c:pt>
                <c:pt idx="92">
                  <c:v>44197</c:v>
                </c:pt>
                <c:pt idx="93">
                  <c:v>44200</c:v>
                </c:pt>
                <c:pt idx="94">
                  <c:v>44201</c:v>
                </c:pt>
                <c:pt idx="95">
                  <c:v>44202</c:v>
                </c:pt>
                <c:pt idx="96">
                  <c:v>44203</c:v>
                </c:pt>
                <c:pt idx="97">
                  <c:v>44204</c:v>
                </c:pt>
                <c:pt idx="98">
                  <c:v>44207</c:v>
                </c:pt>
                <c:pt idx="99">
                  <c:v>44208</c:v>
                </c:pt>
                <c:pt idx="100">
                  <c:v>44209</c:v>
                </c:pt>
                <c:pt idx="101">
                  <c:v>44210</c:v>
                </c:pt>
                <c:pt idx="102">
                  <c:v>44211</c:v>
                </c:pt>
                <c:pt idx="103">
                  <c:v>44214</c:v>
                </c:pt>
                <c:pt idx="104">
                  <c:v>44215</c:v>
                </c:pt>
                <c:pt idx="105">
                  <c:v>44216</c:v>
                </c:pt>
                <c:pt idx="106">
                  <c:v>44217</c:v>
                </c:pt>
                <c:pt idx="107">
                  <c:v>44218</c:v>
                </c:pt>
                <c:pt idx="108">
                  <c:v>44221</c:v>
                </c:pt>
                <c:pt idx="109">
                  <c:v>44223</c:v>
                </c:pt>
                <c:pt idx="110">
                  <c:v>44224</c:v>
                </c:pt>
                <c:pt idx="111">
                  <c:v>44225</c:v>
                </c:pt>
                <c:pt idx="112">
                  <c:v>44228</c:v>
                </c:pt>
                <c:pt idx="113">
                  <c:v>44229</c:v>
                </c:pt>
                <c:pt idx="114">
                  <c:v>44230</c:v>
                </c:pt>
                <c:pt idx="115">
                  <c:v>44231</c:v>
                </c:pt>
                <c:pt idx="116">
                  <c:v>44232</c:v>
                </c:pt>
                <c:pt idx="117">
                  <c:v>44235</c:v>
                </c:pt>
                <c:pt idx="118">
                  <c:v>44236</c:v>
                </c:pt>
                <c:pt idx="119">
                  <c:v>44237</c:v>
                </c:pt>
                <c:pt idx="120">
                  <c:v>44238</c:v>
                </c:pt>
                <c:pt idx="121">
                  <c:v>44239</c:v>
                </c:pt>
                <c:pt idx="122">
                  <c:v>44242</c:v>
                </c:pt>
                <c:pt idx="123">
                  <c:v>44243</c:v>
                </c:pt>
                <c:pt idx="124">
                  <c:v>44244</c:v>
                </c:pt>
                <c:pt idx="125">
                  <c:v>44245</c:v>
                </c:pt>
                <c:pt idx="126">
                  <c:v>44246</c:v>
                </c:pt>
                <c:pt idx="127">
                  <c:v>44249</c:v>
                </c:pt>
                <c:pt idx="128">
                  <c:v>44250</c:v>
                </c:pt>
                <c:pt idx="129">
                  <c:v>44251</c:v>
                </c:pt>
                <c:pt idx="130">
                  <c:v>44252</c:v>
                </c:pt>
                <c:pt idx="131">
                  <c:v>44253</c:v>
                </c:pt>
                <c:pt idx="132">
                  <c:v>44256</c:v>
                </c:pt>
                <c:pt idx="133">
                  <c:v>44257</c:v>
                </c:pt>
                <c:pt idx="134">
                  <c:v>44258</c:v>
                </c:pt>
                <c:pt idx="135">
                  <c:v>44259</c:v>
                </c:pt>
                <c:pt idx="136">
                  <c:v>44260</c:v>
                </c:pt>
                <c:pt idx="137">
                  <c:v>44263</c:v>
                </c:pt>
                <c:pt idx="138">
                  <c:v>44264</c:v>
                </c:pt>
                <c:pt idx="139">
                  <c:v>44265</c:v>
                </c:pt>
                <c:pt idx="140">
                  <c:v>44267</c:v>
                </c:pt>
                <c:pt idx="141">
                  <c:v>44270</c:v>
                </c:pt>
                <c:pt idx="142">
                  <c:v>44271</c:v>
                </c:pt>
                <c:pt idx="143">
                  <c:v>44272</c:v>
                </c:pt>
                <c:pt idx="144">
                  <c:v>44273</c:v>
                </c:pt>
                <c:pt idx="145">
                  <c:v>44274</c:v>
                </c:pt>
                <c:pt idx="146">
                  <c:v>44277</c:v>
                </c:pt>
                <c:pt idx="147">
                  <c:v>44278</c:v>
                </c:pt>
                <c:pt idx="148">
                  <c:v>44279</c:v>
                </c:pt>
                <c:pt idx="149">
                  <c:v>44280</c:v>
                </c:pt>
                <c:pt idx="150">
                  <c:v>44281</c:v>
                </c:pt>
                <c:pt idx="151">
                  <c:v>44285</c:v>
                </c:pt>
                <c:pt idx="152">
                  <c:v>44286</c:v>
                </c:pt>
                <c:pt idx="153">
                  <c:v>44287</c:v>
                </c:pt>
                <c:pt idx="154">
                  <c:v>44291</c:v>
                </c:pt>
                <c:pt idx="155">
                  <c:v>44292</c:v>
                </c:pt>
                <c:pt idx="156">
                  <c:v>44293</c:v>
                </c:pt>
                <c:pt idx="157">
                  <c:v>44294</c:v>
                </c:pt>
                <c:pt idx="158">
                  <c:v>44295</c:v>
                </c:pt>
                <c:pt idx="159">
                  <c:v>44298</c:v>
                </c:pt>
                <c:pt idx="160">
                  <c:v>44299</c:v>
                </c:pt>
                <c:pt idx="161">
                  <c:v>44301</c:v>
                </c:pt>
                <c:pt idx="162">
                  <c:v>44302</c:v>
                </c:pt>
                <c:pt idx="163">
                  <c:v>44305</c:v>
                </c:pt>
                <c:pt idx="164">
                  <c:v>44306</c:v>
                </c:pt>
                <c:pt idx="165">
                  <c:v>44308</c:v>
                </c:pt>
                <c:pt idx="166">
                  <c:v>44309</c:v>
                </c:pt>
                <c:pt idx="167">
                  <c:v>44312</c:v>
                </c:pt>
                <c:pt idx="168">
                  <c:v>44313</c:v>
                </c:pt>
                <c:pt idx="169">
                  <c:v>44314</c:v>
                </c:pt>
                <c:pt idx="170">
                  <c:v>44315</c:v>
                </c:pt>
                <c:pt idx="171">
                  <c:v>44316</c:v>
                </c:pt>
                <c:pt idx="172">
                  <c:v>44319</c:v>
                </c:pt>
                <c:pt idx="173">
                  <c:v>44320</c:v>
                </c:pt>
                <c:pt idx="174">
                  <c:v>44321</c:v>
                </c:pt>
                <c:pt idx="175">
                  <c:v>44322</c:v>
                </c:pt>
                <c:pt idx="176">
                  <c:v>44323</c:v>
                </c:pt>
                <c:pt idx="177">
                  <c:v>44326</c:v>
                </c:pt>
                <c:pt idx="178">
                  <c:v>44327</c:v>
                </c:pt>
                <c:pt idx="179">
                  <c:v>44328</c:v>
                </c:pt>
                <c:pt idx="180">
                  <c:v>44330</c:v>
                </c:pt>
                <c:pt idx="181">
                  <c:v>44333</c:v>
                </c:pt>
                <c:pt idx="182">
                  <c:v>44334</c:v>
                </c:pt>
                <c:pt idx="183">
                  <c:v>44335</c:v>
                </c:pt>
                <c:pt idx="184">
                  <c:v>44336</c:v>
                </c:pt>
                <c:pt idx="185">
                  <c:v>44337</c:v>
                </c:pt>
                <c:pt idx="186">
                  <c:v>44340</c:v>
                </c:pt>
                <c:pt idx="187">
                  <c:v>44341</c:v>
                </c:pt>
                <c:pt idx="188">
                  <c:v>44342</c:v>
                </c:pt>
                <c:pt idx="189">
                  <c:v>44343</c:v>
                </c:pt>
                <c:pt idx="190">
                  <c:v>44344</c:v>
                </c:pt>
                <c:pt idx="191">
                  <c:v>44347</c:v>
                </c:pt>
                <c:pt idx="192">
                  <c:v>44348</c:v>
                </c:pt>
                <c:pt idx="193">
                  <c:v>44349</c:v>
                </c:pt>
                <c:pt idx="194">
                  <c:v>44350</c:v>
                </c:pt>
                <c:pt idx="195">
                  <c:v>44351</c:v>
                </c:pt>
                <c:pt idx="196">
                  <c:v>44354</c:v>
                </c:pt>
                <c:pt idx="197">
                  <c:v>44355</c:v>
                </c:pt>
                <c:pt idx="198">
                  <c:v>44356</c:v>
                </c:pt>
                <c:pt idx="199">
                  <c:v>44357</c:v>
                </c:pt>
                <c:pt idx="200">
                  <c:v>44358</c:v>
                </c:pt>
                <c:pt idx="201">
                  <c:v>44361</c:v>
                </c:pt>
                <c:pt idx="202">
                  <c:v>44362</c:v>
                </c:pt>
                <c:pt idx="203">
                  <c:v>44363</c:v>
                </c:pt>
                <c:pt idx="204">
                  <c:v>44364</c:v>
                </c:pt>
                <c:pt idx="205">
                  <c:v>44365</c:v>
                </c:pt>
                <c:pt idx="206">
                  <c:v>44368</c:v>
                </c:pt>
                <c:pt idx="207">
                  <c:v>44369</c:v>
                </c:pt>
                <c:pt idx="208">
                  <c:v>44370</c:v>
                </c:pt>
                <c:pt idx="209">
                  <c:v>44371</c:v>
                </c:pt>
                <c:pt idx="210">
                  <c:v>44372</c:v>
                </c:pt>
                <c:pt idx="211">
                  <c:v>44375</c:v>
                </c:pt>
                <c:pt idx="212">
                  <c:v>44376</c:v>
                </c:pt>
                <c:pt idx="213">
                  <c:v>44377</c:v>
                </c:pt>
                <c:pt idx="214">
                  <c:v>44378</c:v>
                </c:pt>
                <c:pt idx="215">
                  <c:v>44379</c:v>
                </c:pt>
                <c:pt idx="216">
                  <c:v>44382</c:v>
                </c:pt>
                <c:pt idx="217">
                  <c:v>44383</c:v>
                </c:pt>
                <c:pt idx="218">
                  <c:v>44384</c:v>
                </c:pt>
                <c:pt idx="219">
                  <c:v>44385</c:v>
                </c:pt>
                <c:pt idx="220">
                  <c:v>44386</c:v>
                </c:pt>
                <c:pt idx="221">
                  <c:v>44389</c:v>
                </c:pt>
                <c:pt idx="222">
                  <c:v>44390</c:v>
                </c:pt>
                <c:pt idx="223">
                  <c:v>44391</c:v>
                </c:pt>
                <c:pt idx="224">
                  <c:v>44392</c:v>
                </c:pt>
                <c:pt idx="225">
                  <c:v>44393</c:v>
                </c:pt>
                <c:pt idx="226">
                  <c:v>44396</c:v>
                </c:pt>
                <c:pt idx="227">
                  <c:v>44397</c:v>
                </c:pt>
                <c:pt idx="228">
                  <c:v>44399</c:v>
                </c:pt>
                <c:pt idx="229">
                  <c:v>44400</c:v>
                </c:pt>
                <c:pt idx="230">
                  <c:v>44403</c:v>
                </c:pt>
                <c:pt idx="231">
                  <c:v>44404</c:v>
                </c:pt>
                <c:pt idx="232">
                  <c:v>44405</c:v>
                </c:pt>
                <c:pt idx="233">
                  <c:v>44406</c:v>
                </c:pt>
                <c:pt idx="234">
                  <c:v>44407</c:v>
                </c:pt>
                <c:pt idx="235">
                  <c:v>44410</c:v>
                </c:pt>
                <c:pt idx="236">
                  <c:v>44411</c:v>
                </c:pt>
                <c:pt idx="237">
                  <c:v>44412</c:v>
                </c:pt>
                <c:pt idx="238">
                  <c:v>44413</c:v>
                </c:pt>
                <c:pt idx="239">
                  <c:v>44414</c:v>
                </c:pt>
                <c:pt idx="240">
                  <c:v>44417</c:v>
                </c:pt>
                <c:pt idx="241">
                  <c:v>44418</c:v>
                </c:pt>
                <c:pt idx="242">
                  <c:v>44419</c:v>
                </c:pt>
                <c:pt idx="243">
                  <c:v>44420</c:v>
                </c:pt>
                <c:pt idx="244">
                  <c:v>44421</c:v>
                </c:pt>
                <c:pt idx="245">
                  <c:v>44424</c:v>
                </c:pt>
                <c:pt idx="246">
                  <c:v>44425</c:v>
                </c:pt>
                <c:pt idx="247">
                  <c:v>44426</c:v>
                </c:pt>
                <c:pt idx="248">
                  <c:v>44428</c:v>
                </c:pt>
                <c:pt idx="249">
                  <c:v>44431</c:v>
                </c:pt>
                <c:pt idx="250">
                  <c:v>44432</c:v>
                </c:pt>
                <c:pt idx="251">
                  <c:v>44433</c:v>
                </c:pt>
                <c:pt idx="252">
                  <c:v>44434</c:v>
                </c:pt>
                <c:pt idx="253">
                  <c:v>44435</c:v>
                </c:pt>
                <c:pt idx="254">
                  <c:v>44438</c:v>
                </c:pt>
                <c:pt idx="255">
                  <c:v>44439</c:v>
                </c:pt>
                <c:pt idx="256">
                  <c:v>44440</c:v>
                </c:pt>
                <c:pt idx="257">
                  <c:v>44441</c:v>
                </c:pt>
                <c:pt idx="258">
                  <c:v>44442</c:v>
                </c:pt>
                <c:pt idx="259">
                  <c:v>44445</c:v>
                </c:pt>
                <c:pt idx="260">
                  <c:v>44446</c:v>
                </c:pt>
                <c:pt idx="261">
                  <c:v>44447</c:v>
                </c:pt>
                <c:pt idx="262">
                  <c:v>44448</c:v>
                </c:pt>
                <c:pt idx="263">
                  <c:v>44452</c:v>
                </c:pt>
                <c:pt idx="264">
                  <c:v>44453</c:v>
                </c:pt>
                <c:pt idx="265">
                  <c:v>44454</c:v>
                </c:pt>
                <c:pt idx="266">
                  <c:v>44455</c:v>
                </c:pt>
                <c:pt idx="267">
                  <c:v>44456</c:v>
                </c:pt>
                <c:pt idx="268">
                  <c:v>44459</c:v>
                </c:pt>
                <c:pt idx="269">
                  <c:v>44460</c:v>
                </c:pt>
                <c:pt idx="270">
                  <c:v>44461</c:v>
                </c:pt>
                <c:pt idx="271">
                  <c:v>44462</c:v>
                </c:pt>
                <c:pt idx="272">
                  <c:v>44463</c:v>
                </c:pt>
                <c:pt idx="273">
                  <c:v>44466</c:v>
                </c:pt>
                <c:pt idx="274">
                  <c:v>44467</c:v>
                </c:pt>
                <c:pt idx="275">
                  <c:v>44468</c:v>
                </c:pt>
                <c:pt idx="276">
                  <c:v>44469</c:v>
                </c:pt>
                <c:pt idx="277">
                  <c:v>44470</c:v>
                </c:pt>
                <c:pt idx="278">
                  <c:v>44473</c:v>
                </c:pt>
                <c:pt idx="279">
                  <c:v>44474</c:v>
                </c:pt>
                <c:pt idx="280">
                  <c:v>44475</c:v>
                </c:pt>
                <c:pt idx="281">
                  <c:v>44476</c:v>
                </c:pt>
                <c:pt idx="282">
                  <c:v>44477</c:v>
                </c:pt>
                <c:pt idx="283">
                  <c:v>44480</c:v>
                </c:pt>
                <c:pt idx="284">
                  <c:v>44481</c:v>
                </c:pt>
                <c:pt idx="285">
                  <c:v>44482</c:v>
                </c:pt>
                <c:pt idx="286">
                  <c:v>44483</c:v>
                </c:pt>
                <c:pt idx="287">
                  <c:v>44487</c:v>
                </c:pt>
                <c:pt idx="288">
                  <c:v>44488</c:v>
                </c:pt>
                <c:pt idx="289">
                  <c:v>44489</c:v>
                </c:pt>
                <c:pt idx="290">
                  <c:v>44490</c:v>
                </c:pt>
                <c:pt idx="291">
                  <c:v>44491</c:v>
                </c:pt>
                <c:pt idx="292">
                  <c:v>44494</c:v>
                </c:pt>
                <c:pt idx="293">
                  <c:v>44495</c:v>
                </c:pt>
                <c:pt idx="294">
                  <c:v>44496</c:v>
                </c:pt>
                <c:pt idx="295">
                  <c:v>44497</c:v>
                </c:pt>
                <c:pt idx="296">
                  <c:v>44498</c:v>
                </c:pt>
                <c:pt idx="297">
                  <c:v>44501</c:v>
                </c:pt>
                <c:pt idx="298">
                  <c:v>44502</c:v>
                </c:pt>
                <c:pt idx="299">
                  <c:v>44503</c:v>
                </c:pt>
                <c:pt idx="300">
                  <c:v>44504</c:v>
                </c:pt>
                <c:pt idx="301">
                  <c:v>44508</c:v>
                </c:pt>
                <c:pt idx="302">
                  <c:v>44509</c:v>
                </c:pt>
                <c:pt idx="303">
                  <c:v>44510</c:v>
                </c:pt>
                <c:pt idx="304">
                  <c:v>44511</c:v>
                </c:pt>
                <c:pt idx="305">
                  <c:v>44512</c:v>
                </c:pt>
                <c:pt idx="306">
                  <c:v>44515</c:v>
                </c:pt>
                <c:pt idx="307">
                  <c:v>44516</c:v>
                </c:pt>
                <c:pt idx="308">
                  <c:v>44517</c:v>
                </c:pt>
                <c:pt idx="309">
                  <c:v>44518</c:v>
                </c:pt>
                <c:pt idx="310">
                  <c:v>44522</c:v>
                </c:pt>
                <c:pt idx="311">
                  <c:v>44523</c:v>
                </c:pt>
                <c:pt idx="312">
                  <c:v>44524</c:v>
                </c:pt>
                <c:pt idx="313">
                  <c:v>44525</c:v>
                </c:pt>
                <c:pt idx="314">
                  <c:v>44526</c:v>
                </c:pt>
                <c:pt idx="315">
                  <c:v>44529</c:v>
                </c:pt>
                <c:pt idx="316">
                  <c:v>44530</c:v>
                </c:pt>
                <c:pt idx="317">
                  <c:v>44531</c:v>
                </c:pt>
                <c:pt idx="318">
                  <c:v>44532</c:v>
                </c:pt>
                <c:pt idx="319">
                  <c:v>44533</c:v>
                </c:pt>
                <c:pt idx="320">
                  <c:v>44536</c:v>
                </c:pt>
                <c:pt idx="321">
                  <c:v>44537</c:v>
                </c:pt>
                <c:pt idx="322">
                  <c:v>44538</c:v>
                </c:pt>
                <c:pt idx="323">
                  <c:v>44539</c:v>
                </c:pt>
                <c:pt idx="324">
                  <c:v>44540</c:v>
                </c:pt>
                <c:pt idx="325">
                  <c:v>44543</c:v>
                </c:pt>
                <c:pt idx="326">
                  <c:v>44544</c:v>
                </c:pt>
                <c:pt idx="327">
                  <c:v>44545</c:v>
                </c:pt>
                <c:pt idx="328">
                  <c:v>44546</c:v>
                </c:pt>
                <c:pt idx="329">
                  <c:v>44547</c:v>
                </c:pt>
                <c:pt idx="330">
                  <c:v>44550</c:v>
                </c:pt>
                <c:pt idx="331">
                  <c:v>44551</c:v>
                </c:pt>
                <c:pt idx="332">
                  <c:v>44552</c:v>
                </c:pt>
                <c:pt idx="333">
                  <c:v>44553</c:v>
                </c:pt>
                <c:pt idx="334">
                  <c:v>44554</c:v>
                </c:pt>
                <c:pt idx="335">
                  <c:v>44557</c:v>
                </c:pt>
                <c:pt idx="336">
                  <c:v>44558</c:v>
                </c:pt>
                <c:pt idx="337">
                  <c:v>44559</c:v>
                </c:pt>
                <c:pt idx="338">
                  <c:v>44560</c:v>
                </c:pt>
                <c:pt idx="339">
                  <c:v>44561</c:v>
                </c:pt>
                <c:pt idx="340">
                  <c:v>44564</c:v>
                </c:pt>
                <c:pt idx="341">
                  <c:v>44565</c:v>
                </c:pt>
                <c:pt idx="342">
                  <c:v>44566</c:v>
                </c:pt>
                <c:pt idx="343">
                  <c:v>44567</c:v>
                </c:pt>
                <c:pt idx="344">
                  <c:v>44568</c:v>
                </c:pt>
                <c:pt idx="345">
                  <c:v>44571</c:v>
                </c:pt>
                <c:pt idx="346">
                  <c:v>44572</c:v>
                </c:pt>
                <c:pt idx="347">
                  <c:v>44573</c:v>
                </c:pt>
                <c:pt idx="348">
                  <c:v>44574</c:v>
                </c:pt>
                <c:pt idx="349">
                  <c:v>44575</c:v>
                </c:pt>
                <c:pt idx="350">
                  <c:v>44578</c:v>
                </c:pt>
                <c:pt idx="351">
                  <c:v>44579</c:v>
                </c:pt>
                <c:pt idx="352">
                  <c:v>44580</c:v>
                </c:pt>
                <c:pt idx="353">
                  <c:v>44581</c:v>
                </c:pt>
                <c:pt idx="354">
                  <c:v>44582</c:v>
                </c:pt>
                <c:pt idx="355">
                  <c:v>44585</c:v>
                </c:pt>
                <c:pt idx="356">
                  <c:v>44586</c:v>
                </c:pt>
                <c:pt idx="357">
                  <c:v>44588</c:v>
                </c:pt>
                <c:pt idx="358">
                  <c:v>44589</c:v>
                </c:pt>
                <c:pt idx="359">
                  <c:v>44592</c:v>
                </c:pt>
                <c:pt idx="360">
                  <c:v>44593</c:v>
                </c:pt>
                <c:pt idx="361">
                  <c:v>44594</c:v>
                </c:pt>
                <c:pt idx="362">
                  <c:v>44595</c:v>
                </c:pt>
                <c:pt idx="363">
                  <c:v>44596</c:v>
                </c:pt>
                <c:pt idx="364">
                  <c:v>44599</c:v>
                </c:pt>
                <c:pt idx="365">
                  <c:v>44600</c:v>
                </c:pt>
                <c:pt idx="366">
                  <c:v>44601</c:v>
                </c:pt>
                <c:pt idx="367">
                  <c:v>44602</c:v>
                </c:pt>
                <c:pt idx="368">
                  <c:v>44603</c:v>
                </c:pt>
                <c:pt idx="369">
                  <c:v>44606</c:v>
                </c:pt>
                <c:pt idx="370">
                  <c:v>44607</c:v>
                </c:pt>
                <c:pt idx="371">
                  <c:v>44608</c:v>
                </c:pt>
                <c:pt idx="372">
                  <c:v>44609</c:v>
                </c:pt>
                <c:pt idx="373">
                  <c:v>44610</c:v>
                </c:pt>
                <c:pt idx="374">
                  <c:v>44613</c:v>
                </c:pt>
                <c:pt idx="375">
                  <c:v>44614</c:v>
                </c:pt>
                <c:pt idx="376">
                  <c:v>44615</c:v>
                </c:pt>
                <c:pt idx="377">
                  <c:v>44616</c:v>
                </c:pt>
                <c:pt idx="378">
                  <c:v>44617</c:v>
                </c:pt>
                <c:pt idx="379">
                  <c:v>44620</c:v>
                </c:pt>
                <c:pt idx="380">
                  <c:v>44622</c:v>
                </c:pt>
                <c:pt idx="381">
                  <c:v>44623</c:v>
                </c:pt>
                <c:pt idx="382">
                  <c:v>44624</c:v>
                </c:pt>
                <c:pt idx="383">
                  <c:v>44627</c:v>
                </c:pt>
                <c:pt idx="384">
                  <c:v>44628</c:v>
                </c:pt>
                <c:pt idx="385">
                  <c:v>44629</c:v>
                </c:pt>
                <c:pt idx="386">
                  <c:v>44630</c:v>
                </c:pt>
                <c:pt idx="387">
                  <c:v>44631</c:v>
                </c:pt>
                <c:pt idx="388">
                  <c:v>44634</c:v>
                </c:pt>
                <c:pt idx="389">
                  <c:v>44635</c:v>
                </c:pt>
                <c:pt idx="390">
                  <c:v>44636</c:v>
                </c:pt>
                <c:pt idx="391">
                  <c:v>44637</c:v>
                </c:pt>
                <c:pt idx="392">
                  <c:v>44641</c:v>
                </c:pt>
                <c:pt idx="393">
                  <c:v>44642</c:v>
                </c:pt>
                <c:pt idx="394">
                  <c:v>44643</c:v>
                </c:pt>
                <c:pt idx="395">
                  <c:v>44644</c:v>
                </c:pt>
                <c:pt idx="396">
                  <c:v>44645</c:v>
                </c:pt>
                <c:pt idx="397">
                  <c:v>44648</c:v>
                </c:pt>
                <c:pt idx="398">
                  <c:v>44649</c:v>
                </c:pt>
                <c:pt idx="399">
                  <c:v>44650</c:v>
                </c:pt>
                <c:pt idx="400">
                  <c:v>44651</c:v>
                </c:pt>
                <c:pt idx="401">
                  <c:v>44652</c:v>
                </c:pt>
                <c:pt idx="402">
                  <c:v>44655</c:v>
                </c:pt>
                <c:pt idx="403">
                  <c:v>44656</c:v>
                </c:pt>
                <c:pt idx="404">
                  <c:v>44657</c:v>
                </c:pt>
                <c:pt idx="405">
                  <c:v>44658</c:v>
                </c:pt>
                <c:pt idx="406">
                  <c:v>44659</c:v>
                </c:pt>
                <c:pt idx="407">
                  <c:v>44662</c:v>
                </c:pt>
                <c:pt idx="408">
                  <c:v>44663</c:v>
                </c:pt>
                <c:pt idx="409">
                  <c:v>44664</c:v>
                </c:pt>
                <c:pt idx="410">
                  <c:v>44669</c:v>
                </c:pt>
                <c:pt idx="411">
                  <c:v>44670</c:v>
                </c:pt>
                <c:pt idx="412">
                  <c:v>44671</c:v>
                </c:pt>
                <c:pt idx="413">
                  <c:v>44672</c:v>
                </c:pt>
                <c:pt idx="414">
                  <c:v>44673</c:v>
                </c:pt>
                <c:pt idx="415">
                  <c:v>44676</c:v>
                </c:pt>
                <c:pt idx="416">
                  <c:v>44677</c:v>
                </c:pt>
                <c:pt idx="417">
                  <c:v>44678</c:v>
                </c:pt>
                <c:pt idx="418">
                  <c:v>44679</c:v>
                </c:pt>
                <c:pt idx="419">
                  <c:v>44680</c:v>
                </c:pt>
                <c:pt idx="420">
                  <c:v>44683</c:v>
                </c:pt>
                <c:pt idx="421">
                  <c:v>44685</c:v>
                </c:pt>
                <c:pt idx="422">
                  <c:v>44686</c:v>
                </c:pt>
                <c:pt idx="423">
                  <c:v>44687</c:v>
                </c:pt>
                <c:pt idx="424">
                  <c:v>44690</c:v>
                </c:pt>
                <c:pt idx="425">
                  <c:v>44691</c:v>
                </c:pt>
                <c:pt idx="426">
                  <c:v>44692</c:v>
                </c:pt>
                <c:pt idx="427">
                  <c:v>44693</c:v>
                </c:pt>
                <c:pt idx="428">
                  <c:v>44694</c:v>
                </c:pt>
                <c:pt idx="429">
                  <c:v>44697</c:v>
                </c:pt>
                <c:pt idx="430">
                  <c:v>44698</c:v>
                </c:pt>
                <c:pt idx="431">
                  <c:v>44699</c:v>
                </c:pt>
                <c:pt idx="432">
                  <c:v>44700</c:v>
                </c:pt>
                <c:pt idx="433">
                  <c:v>44701</c:v>
                </c:pt>
                <c:pt idx="434">
                  <c:v>44704</c:v>
                </c:pt>
                <c:pt idx="435">
                  <c:v>44705</c:v>
                </c:pt>
                <c:pt idx="436">
                  <c:v>44706</c:v>
                </c:pt>
                <c:pt idx="437">
                  <c:v>44707</c:v>
                </c:pt>
                <c:pt idx="438">
                  <c:v>44708</c:v>
                </c:pt>
                <c:pt idx="439">
                  <c:v>44711</c:v>
                </c:pt>
                <c:pt idx="440">
                  <c:v>44712</c:v>
                </c:pt>
                <c:pt idx="441">
                  <c:v>44713</c:v>
                </c:pt>
                <c:pt idx="442">
                  <c:v>44714</c:v>
                </c:pt>
                <c:pt idx="443">
                  <c:v>44715</c:v>
                </c:pt>
                <c:pt idx="444">
                  <c:v>44718</c:v>
                </c:pt>
                <c:pt idx="445">
                  <c:v>44719</c:v>
                </c:pt>
                <c:pt idx="446">
                  <c:v>44720</c:v>
                </c:pt>
                <c:pt idx="447">
                  <c:v>44721</c:v>
                </c:pt>
                <c:pt idx="448">
                  <c:v>44722</c:v>
                </c:pt>
                <c:pt idx="449">
                  <c:v>44725</c:v>
                </c:pt>
                <c:pt idx="450">
                  <c:v>44726</c:v>
                </c:pt>
                <c:pt idx="451">
                  <c:v>44727</c:v>
                </c:pt>
                <c:pt idx="452">
                  <c:v>44728</c:v>
                </c:pt>
                <c:pt idx="453">
                  <c:v>44729</c:v>
                </c:pt>
                <c:pt idx="454">
                  <c:v>44732</c:v>
                </c:pt>
                <c:pt idx="455">
                  <c:v>44733</c:v>
                </c:pt>
                <c:pt idx="456">
                  <c:v>44734</c:v>
                </c:pt>
                <c:pt idx="457">
                  <c:v>44735</c:v>
                </c:pt>
                <c:pt idx="458">
                  <c:v>44736</c:v>
                </c:pt>
                <c:pt idx="459">
                  <c:v>44739</c:v>
                </c:pt>
                <c:pt idx="460">
                  <c:v>44740</c:v>
                </c:pt>
                <c:pt idx="461">
                  <c:v>44741</c:v>
                </c:pt>
                <c:pt idx="462">
                  <c:v>44742</c:v>
                </c:pt>
                <c:pt idx="463">
                  <c:v>44743</c:v>
                </c:pt>
                <c:pt idx="464">
                  <c:v>44746</c:v>
                </c:pt>
                <c:pt idx="465">
                  <c:v>44747</c:v>
                </c:pt>
                <c:pt idx="466">
                  <c:v>44748</c:v>
                </c:pt>
                <c:pt idx="467">
                  <c:v>44749</c:v>
                </c:pt>
                <c:pt idx="468">
                  <c:v>44750</c:v>
                </c:pt>
                <c:pt idx="469">
                  <c:v>44753</c:v>
                </c:pt>
                <c:pt idx="470">
                  <c:v>44754</c:v>
                </c:pt>
                <c:pt idx="471">
                  <c:v>44755</c:v>
                </c:pt>
                <c:pt idx="472">
                  <c:v>44756</c:v>
                </c:pt>
                <c:pt idx="473">
                  <c:v>44757</c:v>
                </c:pt>
                <c:pt idx="474">
                  <c:v>44760</c:v>
                </c:pt>
                <c:pt idx="475">
                  <c:v>44761</c:v>
                </c:pt>
                <c:pt idx="476">
                  <c:v>44762</c:v>
                </c:pt>
                <c:pt idx="477">
                  <c:v>44763</c:v>
                </c:pt>
                <c:pt idx="478">
                  <c:v>44764</c:v>
                </c:pt>
                <c:pt idx="479">
                  <c:v>44767</c:v>
                </c:pt>
                <c:pt idx="480">
                  <c:v>44768</c:v>
                </c:pt>
                <c:pt idx="481">
                  <c:v>44769</c:v>
                </c:pt>
                <c:pt idx="482">
                  <c:v>44770</c:v>
                </c:pt>
                <c:pt idx="483">
                  <c:v>44771</c:v>
                </c:pt>
                <c:pt idx="484">
                  <c:v>44774</c:v>
                </c:pt>
                <c:pt idx="485">
                  <c:v>44775</c:v>
                </c:pt>
                <c:pt idx="486">
                  <c:v>44776</c:v>
                </c:pt>
                <c:pt idx="487">
                  <c:v>44777</c:v>
                </c:pt>
                <c:pt idx="488">
                  <c:v>44778</c:v>
                </c:pt>
                <c:pt idx="489">
                  <c:v>44781</c:v>
                </c:pt>
                <c:pt idx="490">
                  <c:v>44783</c:v>
                </c:pt>
                <c:pt idx="491">
                  <c:v>44784</c:v>
                </c:pt>
                <c:pt idx="492">
                  <c:v>44785</c:v>
                </c:pt>
                <c:pt idx="493">
                  <c:v>44789</c:v>
                </c:pt>
                <c:pt idx="494">
                  <c:v>44790</c:v>
                </c:pt>
                <c:pt idx="495">
                  <c:v>44791</c:v>
                </c:pt>
                <c:pt idx="496">
                  <c:v>44792</c:v>
                </c:pt>
                <c:pt idx="497">
                  <c:v>44795</c:v>
                </c:pt>
                <c:pt idx="498">
                  <c:v>44796</c:v>
                </c:pt>
                <c:pt idx="499">
                  <c:v>44797</c:v>
                </c:pt>
                <c:pt idx="500">
                  <c:v>44798</c:v>
                </c:pt>
                <c:pt idx="501">
                  <c:v>44799</c:v>
                </c:pt>
                <c:pt idx="502">
                  <c:v>44802</c:v>
                </c:pt>
                <c:pt idx="503">
                  <c:v>44803</c:v>
                </c:pt>
                <c:pt idx="504">
                  <c:v>44805</c:v>
                </c:pt>
                <c:pt idx="505">
                  <c:v>44806</c:v>
                </c:pt>
                <c:pt idx="506">
                  <c:v>44809</c:v>
                </c:pt>
                <c:pt idx="507">
                  <c:v>44810</c:v>
                </c:pt>
                <c:pt idx="508">
                  <c:v>44811</c:v>
                </c:pt>
                <c:pt idx="509">
                  <c:v>44812</c:v>
                </c:pt>
                <c:pt idx="510">
                  <c:v>44813</c:v>
                </c:pt>
                <c:pt idx="511">
                  <c:v>44816</c:v>
                </c:pt>
                <c:pt idx="512">
                  <c:v>44817</c:v>
                </c:pt>
                <c:pt idx="513">
                  <c:v>44818</c:v>
                </c:pt>
                <c:pt idx="514">
                  <c:v>44819</c:v>
                </c:pt>
                <c:pt idx="515">
                  <c:v>44820</c:v>
                </c:pt>
                <c:pt idx="516">
                  <c:v>44823</c:v>
                </c:pt>
                <c:pt idx="517">
                  <c:v>44824</c:v>
                </c:pt>
                <c:pt idx="518">
                  <c:v>44825</c:v>
                </c:pt>
                <c:pt idx="519">
                  <c:v>44826</c:v>
                </c:pt>
                <c:pt idx="520">
                  <c:v>44827</c:v>
                </c:pt>
                <c:pt idx="521">
                  <c:v>44830</c:v>
                </c:pt>
                <c:pt idx="522">
                  <c:v>44831</c:v>
                </c:pt>
                <c:pt idx="523">
                  <c:v>44832</c:v>
                </c:pt>
                <c:pt idx="524">
                  <c:v>44833</c:v>
                </c:pt>
                <c:pt idx="525">
                  <c:v>44834</c:v>
                </c:pt>
                <c:pt idx="526">
                  <c:v>44837</c:v>
                </c:pt>
                <c:pt idx="527">
                  <c:v>44838</c:v>
                </c:pt>
                <c:pt idx="528">
                  <c:v>44840</c:v>
                </c:pt>
                <c:pt idx="529">
                  <c:v>44841</c:v>
                </c:pt>
                <c:pt idx="530">
                  <c:v>44844</c:v>
                </c:pt>
                <c:pt idx="531">
                  <c:v>44845</c:v>
                </c:pt>
                <c:pt idx="532">
                  <c:v>44846</c:v>
                </c:pt>
                <c:pt idx="533">
                  <c:v>44847</c:v>
                </c:pt>
                <c:pt idx="534">
                  <c:v>44848</c:v>
                </c:pt>
                <c:pt idx="535">
                  <c:v>44851</c:v>
                </c:pt>
                <c:pt idx="536">
                  <c:v>44852</c:v>
                </c:pt>
                <c:pt idx="537">
                  <c:v>44853</c:v>
                </c:pt>
                <c:pt idx="538">
                  <c:v>44854</c:v>
                </c:pt>
                <c:pt idx="539">
                  <c:v>44855</c:v>
                </c:pt>
                <c:pt idx="540">
                  <c:v>44858</c:v>
                </c:pt>
                <c:pt idx="541">
                  <c:v>44859</c:v>
                </c:pt>
                <c:pt idx="542">
                  <c:v>44861</c:v>
                </c:pt>
                <c:pt idx="543">
                  <c:v>44862</c:v>
                </c:pt>
                <c:pt idx="544">
                  <c:v>44865</c:v>
                </c:pt>
                <c:pt idx="545">
                  <c:v>44866</c:v>
                </c:pt>
                <c:pt idx="546">
                  <c:v>44867</c:v>
                </c:pt>
                <c:pt idx="547">
                  <c:v>44868</c:v>
                </c:pt>
                <c:pt idx="548">
                  <c:v>44869</c:v>
                </c:pt>
                <c:pt idx="549">
                  <c:v>44872</c:v>
                </c:pt>
                <c:pt idx="550">
                  <c:v>44874</c:v>
                </c:pt>
                <c:pt idx="551">
                  <c:v>44875</c:v>
                </c:pt>
                <c:pt idx="552">
                  <c:v>44876</c:v>
                </c:pt>
                <c:pt idx="553">
                  <c:v>44879</c:v>
                </c:pt>
                <c:pt idx="554">
                  <c:v>44880</c:v>
                </c:pt>
                <c:pt idx="555">
                  <c:v>44881</c:v>
                </c:pt>
                <c:pt idx="556">
                  <c:v>44882</c:v>
                </c:pt>
                <c:pt idx="557">
                  <c:v>44883</c:v>
                </c:pt>
                <c:pt idx="558">
                  <c:v>44886</c:v>
                </c:pt>
                <c:pt idx="559">
                  <c:v>44887</c:v>
                </c:pt>
                <c:pt idx="560">
                  <c:v>44888</c:v>
                </c:pt>
                <c:pt idx="561">
                  <c:v>44889</c:v>
                </c:pt>
                <c:pt idx="562">
                  <c:v>44890</c:v>
                </c:pt>
                <c:pt idx="563">
                  <c:v>44893</c:v>
                </c:pt>
                <c:pt idx="564">
                  <c:v>44894</c:v>
                </c:pt>
                <c:pt idx="565">
                  <c:v>44895</c:v>
                </c:pt>
                <c:pt idx="566">
                  <c:v>44896</c:v>
                </c:pt>
                <c:pt idx="567">
                  <c:v>44897</c:v>
                </c:pt>
                <c:pt idx="568">
                  <c:v>44900</c:v>
                </c:pt>
                <c:pt idx="569">
                  <c:v>44901</c:v>
                </c:pt>
                <c:pt idx="570">
                  <c:v>44902</c:v>
                </c:pt>
                <c:pt idx="571">
                  <c:v>44903</c:v>
                </c:pt>
                <c:pt idx="572">
                  <c:v>44904</c:v>
                </c:pt>
                <c:pt idx="573">
                  <c:v>44907</c:v>
                </c:pt>
                <c:pt idx="574">
                  <c:v>44908</c:v>
                </c:pt>
                <c:pt idx="575">
                  <c:v>44909</c:v>
                </c:pt>
                <c:pt idx="576">
                  <c:v>44910</c:v>
                </c:pt>
                <c:pt idx="577">
                  <c:v>44911</c:v>
                </c:pt>
                <c:pt idx="578">
                  <c:v>44914</c:v>
                </c:pt>
                <c:pt idx="579">
                  <c:v>44915</c:v>
                </c:pt>
                <c:pt idx="580">
                  <c:v>44916</c:v>
                </c:pt>
                <c:pt idx="581">
                  <c:v>44917</c:v>
                </c:pt>
                <c:pt idx="582">
                  <c:v>44918</c:v>
                </c:pt>
                <c:pt idx="583">
                  <c:v>44921</c:v>
                </c:pt>
                <c:pt idx="584">
                  <c:v>44922</c:v>
                </c:pt>
                <c:pt idx="585">
                  <c:v>44923</c:v>
                </c:pt>
                <c:pt idx="586">
                  <c:v>44924</c:v>
                </c:pt>
                <c:pt idx="587">
                  <c:v>44925</c:v>
                </c:pt>
                <c:pt idx="588">
                  <c:v>44928</c:v>
                </c:pt>
                <c:pt idx="589">
                  <c:v>44929</c:v>
                </c:pt>
                <c:pt idx="590">
                  <c:v>44930</c:v>
                </c:pt>
                <c:pt idx="591">
                  <c:v>44931</c:v>
                </c:pt>
                <c:pt idx="592">
                  <c:v>44932</c:v>
                </c:pt>
                <c:pt idx="593">
                  <c:v>44935</c:v>
                </c:pt>
                <c:pt idx="594">
                  <c:v>44936</c:v>
                </c:pt>
                <c:pt idx="595">
                  <c:v>44937</c:v>
                </c:pt>
                <c:pt idx="596">
                  <c:v>44938</c:v>
                </c:pt>
                <c:pt idx="597">
                  <c:v>44939</c:v>
                </c:pt>
                <c:pt idx="598">
                  <c:v>44942</c:v>
                </c:pt>
                <c:pt idx="599">
                  <c:v>44943</c:v>
                </c:pt>
                <c:pt idx="600">
                  <c:v>44944</c:v>
                </c:pt>
                <c:pt idx="601">
                  <c:v>44945</c:v>
                </c:pt>
                <c:pt idx="602">
                  <c:v>44946</c:v>
                </c:pt>
                <c:pt idx="603">
                  <c:v>44949</c:v>
                </c:pt>
                <c:pt idx="604">
                  <c:v>44950</c:v>
                </c:pt>
                <c:pt idx="605">
                  <c:v>44951</c:v>
                </c:pt>
                <c:pt idx="606">
                  <c:v>44953</c:v>
                </c:pt>
                <c:pt idx="607">
                  <c:v>44956</c:v>
                </c:pt>
                <c:pt idx="608">
                  <c:v>44957</c:v>
                </c:pt>
                <c:pt idx="609">
                  <c:v>44958</c:v>
                </c:pt>
                <c:pt idx="610">
                  <c:v>44959</c:v>
                </c:pt>
                <c:pt idx="611">
                  <c:v>44960</c:v>
                </c:pt>
                <c:pt idx="612">
                  <c:v>44963</c:v>
                </c:pt>
                <c:pt idx="613">
                  <c:v>44964</c:v>
                </c:pt>
                <c:pt idx="614">
                  <c:v>44965</c:v>
                </c:pt>
                <c:pt idx="615">
                  <c:v>44966</c:v>
                </c:pt>
                <c:pt idx="616">
                  <c:v>44967</c:v>
                </c:pt>
                <c:pt idx="617">
                  <c:v>44970</c:v>
                </c:pt>
                <c:pt idx="618">
                  <c:v>44971</c:v>
                </c:pt>
                <c:pt idx="619">
                  <c:v>44972</c:v>
                </c:pt>
                <c:pt idx="620">
                  <c:v>44973</c:v>
                </c:pt>
                <c:pt idx="621">
                  <c:v>44974</c:v>
                </c:pt>
                <c:pt idx="622">
                  <c:v>44977</c:v>
                </c:pt>
                <c:pt idx="623">
                  <c:v>44978</c:v>
                </c:pt>
                <c:pt idx="624">
                  <c:v>44979</c:v>
                </c:pt>
                <c:pt idx="625">
                  <c:v>44980</c:v>
                </c:pt>
                <c:pt idx="626">
                  <c:v>44981</c:v>
                </c:pt>
                <c:pt idx="627">
                  <c:v>44984</c:v>
                </c:pt>
                <c:pt idx="628">
                  <c:v>44985</c:v>
                </c:pt>
                <c:pt idx="629">
                  <c:v>44986</c:v>
                </c:pt>
                <c:pt idx="630">
                  <c:v>44987</c:v>
                </c:pt>
                <c:pt idx="631">
                  <c:v>44988</c:v>
                </c:pt>
                <c:pt idx="632">
                  <c:v>44991</c:v>
                </c:pt>
                <c:pt idx="633">
                  <c:v>44993</c:v>
                </c:pt>
                <c:pt idx="634">
                  <c:v>44994</c:v>
                </c:pt>
                <c:pt idx="635">
                  <c:v>44995</c:v>
                </c:pt>
                <c:pt idx="636">
                  <c:v>44998</c:v>
                </c:pt>
                <c:pt idx="637">
                  <c:v>44999</c:v>
                </c:pt>
                <c:pt idx="638">
                  <c:v>45000</c:v>
                </c:pt>
                <c:pt idx="639">
                  <c:v>45001</c:v>
                </c:pt>
                <c:pt idx="640">
                  <c:v>45002</c:v>
                </c:pt>
                <c:pt idx="641">
                  <c:v>45005</c:v>
                </c:pt>
                <c:pt idx="642">
                  <c:v>45006</c:v>
                </c:pt>
                <c:pt idx="643">
                  <c:v>45007</c:v>
                </c:pt>
                <c:pt idx="644">
                  <c:v>45008</c:v>
                </c:pt>
                <c:pt idx="645">
                  <c:v>45009</c:v>
                </c:pt>
                <c:pt idx="646">
                  <c:v>45012</c:v>
                </c:pt>
                <c:pt idx="647">
                  <c:v>45013</c:v>
                </c:pt>
                <c:pt idx="648">
                  <c:v>45014</c:v>
                </c:pt>
                <c:pt idx="649">
                  <c:v>45016</c:v>
                </c:pt>
                <c:pt idx="650">
                  <c:v>45019</c:v>
                </c:pt>
                <c:pt idx="651">
                  <c:v>45021</c:v>
                </c:pt>
                <c:pt idx="652">
                  <c:v>45022</c:v>
                </c:pt>
                <c:pt idx="653">
                  <c:v>45026</c:v>
                </c:pt>
                <c:pt idx="654">
                  <c:v>45027</c:v>
                </c:pt>
                <c:pt idx="655">
                  <c:v>45028</c:v>
                </c:pt>
                <c:pt idx="656">
                  <c:v>45029</c:v>
                </c:pt>
                <c:pt idx="657">
                  <c:v>45033</c:v>
                </c:pt>
                <c:pt idx="658">
                  <c:v>45034</c:v>
                </c:pt>
                <c:pt idx="659">
                  <c:v>45035</c:v>
                </c:pt>
                <c:pt idx="660">
                  <c:v>45036</c:v>
                </c:pt>
                <c:pt idx="661">
                  <c:v>45037</c:v>
                </c:pt>
                <c:pt idx="662">
                  <c:v>45040</c:v>
                </c:pt>
                <c:pt idx="663">
                  <c:v>45041</c:v>
                </c:pt>
                <c:pt idx="664">
                  <c:v>45042</c:v>
                </c:pt>
                <c:pt idx="665">
                  <c:v>45043</c:v>
                </c:pt>
                <c:pt idx="666">
                  <c:v>45044</c:v>
                </c:pt>
                <c:pt idx="667">
                  <c:v>45048</c:v>
                </c:pt>
                <c:pt idx="668">
                  <c:v>45049</c:v>
                </c:pt>
                <c:pt idx="669">
                  <c:v>45050</c:v>
                </c:pt>
                <c:pt idx="670">
                  <c:v>45051</c:v>
                </c:pt>
                <c:pt idx="671">
                  <c:v>45054</c:v>
                </c:pt>
                <c:pt idx="672">
                  <c:v>45055</c:v>
                </c:pt>
                <c:pt idx="673">
                  <c:v>45056</c:v>
                </c:pt>
                <c:pt idx="674">
                  <c:v>45057</c:v>
                </c:pt>
                <c:pt idx="675">
                  <c:v>45058</c:v>
                </c:pt>
                <c:pt idx="676">
                  <c:v>45061</c:v>
                </c:pt>
                <c:pt idx="677">
                  <c:v>45062</c:v>
                </c:pt>
                <c:pt idx="678">
                  <c:v>45063</c:v>
                </c:pt>
                <c:pt idx="679">
                  <c:v>45064</c:v>
                </c:pt>
                <c:pt idx="680">
                  <c:v>45065</c:v>
                </c:pt>
                <c:pt idx="681">
                  <c:v>45068</c:v>
                </c:pt>
                <c:pt idx="682">
                  <c:v>45069</c:v>
                </c:pt>
                <c:pt idx="683">
                  <c:v>45070</c:v>
                </c:pt>
                <c:pt idx="684">
                  <c:v>45071</c:v>
                </c:pt>
                <c:pt idx="685">
                  <c:v>45072</c:v>
                </c:pt>
                <c:pt idx="686">
                  <c:v>45075</c:v>
                </c:pt>
                <c:pt idx="687">
                  <c:v>45076</c:v>
                </c:pt>
                <c:pt idx="688">
                  <c:v>45077</c:v>
                </c:pt>
                <c:pt idx="689">
                  <c:v>45078</c:v>
                </c:pt>
                <c:pt idx="690">
                  <c:v>45079</c:v>
                </c:pt>
                <c:pt idx="691">
                  <c:v>45082</c:v>
                </c:pt>
                <c:pt idx="692">
                  <c:v>45083</c:v>
                </c:pt>
                <c:pt idx="693">
                  <c:v>45084</c:v>
                </c:pt>
                <c:pt idx="694">
                  <c:v>45085</c:v>
                </c:pt>
                <c:pt idx="695">
                  <c:v>45086</c:v>
                </c:pt>
                <c:pt idx="696">
                  <c:v>45089</c:v>
                </c:pt>
                <c:pt idx="697">
                  <c:v>45090</c:v>
                </c:pt>
                <c:pt idx="698">
                  <c:v>45091</c:v>
                </c:pt>
                <c:pt idx="699">
                  <c:v>45092</c:v>
                </c:pt>
                <c:pt idx="700">
                  <c:v>45093</c:v>
                </c:pt>
                <c:pt idx="701">
                  <c:v>45096</c:v>
                </c:pt>
                <c:pt idx="702">
                  <c:v>45097</c:v>
                </c:pt>
                <c:pt idx="703">
                  <c:v>45098</c:v>
                </c:pt>
                <c:pt idx="704">
                  <c:v>45099</c:v>
                </c:pt>
                <c:pt idx="705">
                  <c:v>45100</c:v>
                </c:pt>
                <c:pt idx="706">
                  <c:v>45103</c:v>
                </c:pt>
                <c:pt idx="707">
                  <c:v>45104</c:v>
                </c:pt>
                <c:pt idx="708">
                  <c:v>45105</c:v>
                </c:pt>
                <c:pt idx="709">
                  <c:v>45107</c:v>
                </c:pt>
                <c:pt idx="710">
                  <c:v>45110</c:v>
                </c:pt>
                <c:pt idx="711">
                  <c:v>45111</c:v>
                </c:pt>
                <c:pt idx="712">
                  <c:v>45112</c:v>
                </c:pt>
                <c:pt idx="713">
                  <c:v>45113</c:v>
                </c:pt>
                <c:pt idx="714">
                  <c:v>45114</c:v>
                </c:pt>
                <c:pt idx="715">
                  <c:v>45117</c:v>
                </c:pt>
                <c:pt idx="716">
                  <c:v>45118</c:v>
                </c:pt>
                <c:pt idx="717">
                  <c:v>45119</c:v>
                </c:pt>
                <c:pt idx="718">
                  <c:v>45120</c:v>
                </c:pt>
                <c:pt idx="719">
                  <c:v>45121</c:v>
                </c:pt>
                <c:pt idx="720">
                  <c:v>45124</c:v>
                </c:pt>
                <c:pt idx="721">
                  <c:v>45125</c:v>
                </c:pt>
                <c:pt idx="722">
                  <c:v>45126</c:v>
                </c:pt>
                <c:pt idx="723">
                  <c:v>45127</c:v>
                </c:pt>
                <c:pt idx="724">
                  <c:v>45128</c:v>
                </c:pt>
                <c:pt idx="725">
                  <c:v>45131</c:v>
                </c:pt>
                <c:pt idx="726">
                  <c:v>45132</c:v>
                </c:pt>
                <c:pt idx="727">
                  <c:v>45133</c:v>
                </c:pt>
                <c:pt idx="728">
                  <c:v>45134</c:v>
                </c:pt>
                <c:pt idx="729">
                  <c:v>45135</c:v>
                </c:pt>
                <c:pt idx="730">
                  <c:v>45138</c:v>
                </c:pt>
                <c:pt idx="731">
                  <c:v>45139</c:v>
                </c:pt>
                <c:pt idx="732">
                  <c:v>45140</c:v>
                </c:pt>
                <c:pt idx="733">
                  <c:v>45141</c:v>
                </c:pt>
                <c:pt idx="734">
                  <c:v>45142</c:v>
                </c:pt>
                <c:pt idx="735">
                  <c:v>45145</c:v>
                </c:pt>
                <c:pt idx="736">
                  <c:v>45146</c:v>
                </c:pt>
                <c:pt idx="737">
                  <c:v>45147</c:v>
                </c:pt>
                <c:pt idx="738">
                  <c:v>45148</c:v>
                </c:pt>
                <c:pt idx="739">
                  <c:v>45149</c:v>
                </c:pt>
                <c:pt idx="740">
                  <c:v>45152</c:v>
                </c:pt>
                <c:pt idx="741">
                  <c:v>45154</c:v>
                </c:pt>
                <c:pt idx="742">
                  <c:v>45155</c:v>
                </c:pt>
                <c:pt idx="743">
                  <c:v>45156</c:v>
                </c:pt>
                <c:pt idx="744">
                  <c:v>45159</c:v>
                </c:pt>
                <c:pt idx="745">
                  <c:v>45160</c:v>
                </c:pt>
                <c:pt idx="746">
                  <c:v>45161</c:v>
                </c:pt>
                <c:pt idx="747">
                  <c:v>45162</c:v>
                </c:pt>
                <c:pt idx="748">
                  <c:v>45163</c:v>
                </c:pt>
                <c:pt idx="749">
                  <c:v>45166</c:v>
                </c:pt>
                <c:pt idx="750">
                  <c:v>45167</c:v>
                </c:pt>
                <c:pt idx="751">
                  <c:v>45168</c:v>
                </c:pt>
                <c:pt idx="752">
                  <c:v>45169</c:v>
                </c:pt>
                <c:pt idx="753">
                  <c:v>45170</c:v>
                </c:pt>
                <c:pt idx="754">
                  <c:v>45173</c:v>
                </c:pt>
                <c:pt idx="755">
                  <c:v>45174</c:v>
                </c:pt>
                <c:pt idx="756">
                  <c:v>45175</c:v>
                </c:pt>
                <c:pt idx="757">
                  <c:v>45176</c:v>
                </c:pt>
                <c:pt idx="758">
                  <c:v>45177</c:v>
                </c:pt>
                <c:pt idx="759">
                  <c:v>45180</c:v>
                </c:pt>
                <c:pt idx="760">
                  <c:v>45181</c:v>
                </c:pt>
                <c:pt idx="761">
                  <c:v>45182</c:v>
                </c:pt>
                <c:pt idx="762">
                  <c:v>45183</c:v>
                </c:pt>
                <c:pt idx="763">
                  <c:v>45184</c:v>
                </c:pt>
                <c:pt idx="764">
                  <c:v>45187</c:v>
                </c:pt>
                <c:pt idx="765">
                  <c:v>45189</c:v>
                </c:pt>
                <c:pt idx="766">
                  <c:v>45190</c:v>
                </c:pt>
                <c:pt idx="767">
                  <c:v>45191</c:v>
                </c:pt>
                <c:pt idx="768">
                  <c:v>45194</c:v>
                </c:pt>
                <c:pt idx="769">
                  <c:v>45195</c:v>
                </c:pt>
                <c:pt idx="770">
                  <c:v>45196</c:v>
                </c:pt>
                <c:pt idx="771">
                  <c:v>45197</c:v>
                </c:pt>
                <c:pt idx="772">
                  <c:v>45198</c:v>
                </c:pt>
                <c:pt idx="773">
                  <c:v>45202</c:v>
                </c:pt>
                <c:pt idx="774">
                  <c:v>45203</c:v>
                </c:pt>
                <c:pt idx="775">
                  <c:v>45204</c:v>
                </c:pt>
                <c:pt idx="776">
                  <c:v>45205</c:v>
                </c:pt>
                <c:pt idx="777">
                  <c:v>45208</c:v>
                </c:pt>
                <c:pt idx="778">
                  <c:v>45209</c:v>
                </c:pt>
                <c:pt idx="779">
                  <c:v>45210</c:v>
                </c:pt>
                <c:pt idx="780">
                  <c:v>45211</c:v>
                </c:pt>
                <c:pt idx="781">
                  <c:v>45212</c:v>
                </c:pt>
                <c:pt idx="782">
                  <c:v>45215</c:v>
                </c:pt>
                <c:pt idx="783">
                  <c:v>45216</c:v>
                </c:pt>
                <c:pt idx="784">
                  <c:v>45217</c:v>
                </c:pt>
                <c:pt idx="785">
                  <c:v>45218</c:v>
                </c:pt>
                <c:pt idx="786">
                  <c:v>45219</c:v>
                </c:pt>
                <c:pt idx="787">
                  <c:v>45222</c:v>
                </c:pt>
                <c:pt idx="788">
                  <c:v>45224</c:v>
                </c:pt>
                <c:pt idx="789">
                  <c:v>45225</c:v>
                </c:pt>
                <c:pt idx="790">
                  <c:v>45226</c:v>
                </c:pt>
                <c:pt idx="791">
                  <c:v>45229</c:v>
                </c:pt>
                <c:pt idx="792">
                  <c:v>45230</c:v>
                </c:pt>
                <c:pt idx="793">
                  <c:v>45231</c:v>
                </c:pt>
                <c:pt idx="794">
                  <c:v>45232</c:v>
                </c:pt>
                <c:pt idx="795">
                  <c:v>45233</c:v>
                </c:pt>
                <c:pt idx="796">
                  <c:v>45236</c:v>
                </c:pt>
                <c:pt idx="797">
                  <c:v>45237</c:v>
                </c:pt>
                <c:pt idx="798">
                  <c:v>45238</c:v>
                </c:pt>
                <c:pt idx="799">
                  <c:v>45239</c:v>
                </c:pt>
                <c:pt idx="800">
                  <c:v>45240</c:v>
                </c:pt>
                <c:pt idx="801">
                  <c:v>45242</c:v>
                </c:pt>
                <c:pt idx="802">
                  <c:v>45243</c:v>
                </c:pt>
                <c:pt idx="803">
                  <c:v>45245</c:v>
                </c:pt>
                <c:pt idx="804">
                  <c:v>45246</c:v>
                </c:pt>
                <c:pt idx="805">
                  <c:v>45247</c:v>
                </c:pt>
                <c:pt idx="806">
                  <c:v>45250</c:v>
                </c:pt>
                <c:pt idx="807">
                  <c:v>45251</c:v>
                </c:pt>
                <c:pt idx="808">
                  <c:v>45252</c:v>
                </c:pt>
                <c:pt idx="809">
                  <c:v>45253</c:v>
                </c:pt>
                <c:pt idx="810">
                  <c:v>45254</c:v>
                </c:pt>
                <c:pt idx="811">
                  <c:v>45258</c:v>
                </c:pt>
                <c:pt idx="812">
                  <c:v>45259</c:v>
                </c:pt>
                <c:pt idx="813">
                  <c:v>45260</c:v>
                </c:pt>
                <c:pt idx="814">
                  <c:v>45261</c:v>
                </c:pt>
                <c:pt idx="815">
                  <c:v>45264</c:v>
                </c:pt>
                <c:pt idx="816">
                  <c:v>45265</c:v>
                </c:pt>
                <c:pt idx="817">
                  <c:v>45266</c:v>
                </c:pt>
                <c:pt idx="818">
                  <c:v>45267</c:v>
                </c:pt>
                <c:pt idx="819">
                  <c:v>45268</c:v>
                </c:pt>
                <c:pt idx="820">
                  <c:v>45271</c:v>
                </c:pt>
                <c:pt idx="821">
                  <c:v>45272</c:v>
                </c:pt>
                <c:pt idx="822">
                  <c:v>45273</c:v>
                </c:pt>
                <c:pt idx="823">
                  <c:v>45274</c:v>
                </c:pt>
                <c:pt idx="824">
                  <c:v>45275</c:v>
                </c:pt>
                <c:pt idx="825">
                  <c:v>45278</c:v>
                </c:pt>
                <c:pt idx="826">
                  <c:v>45279</c:v>
                </c:pt>
                <c:pt idx="827">
                  <c:v>45280</c:v>
                </c:pt>
                <c:pt idx="828">
                  <c:v>45281</c:v>
                </c:pt>
                <c:pt idx="829">
                  <c:v>45282</c:v>
                </c:pt>
                <c:pt idx="830">
                  <c:v>45286</c:v>
                </c:pt>
                <c:pt idx="831">
                  <c:v>45287</c:v>
                </c:pt>
                <c:pt idx="832">
                  <c:v>45288</c:v>
                </c:pt>
                <c:pt idx="833">
                  <c:v>45289</c:v>
                </c:pt>
                <c:pt idx="834">
                  <c:v>45292</c:v>
                </c:pt>
                <c:pt idx="835">
                  <c:v>45293</c:v>
                </c:pt>
                <c:pt idx="836">
                  <c:v>45294</c:v>
                </c:pt>
                <c:pt idx="837">
                  <c:v>45295</c:v>
                </c:pt>
                <c:pt idx="838">
                  <c:v>45296</c:v>
                </c:pt>
                <c:pt idx="839">
                  <c:v>45299</c:v>
                </c:pt>
                <c:pt idx="840">
                  <c:v>45300</c:v>
                </c:pt>
                <c:pt idx="841">
                  <c:v>45301</c:v>
                </c:pt>
                <c:pt idx="842">
                  <c:v>45302</c:v>
                </c:pt>
                <c:pt idx="843">
                  <c:v>45303</c:v>
                </c:pt>
                <c:pt idx="844">
                  <c:v>45306</c:v>
                </c:pt>
                <c:pt idx="845">
                  <c:v>45307</c:v>
                </c:pt>
                <c:pt idx="846">
                  <c:v>45308</c:v>
                </c:pt>
                <c:pt idx="847">
                  <c:v>45309</c:v>
                </c:pt>
                <c:pt idx="848">
                  <c:v>45310</c:v>
                </c:pt>
                <c:pt idx="849">
                  <c:v>45311</c:v>
                </c:pt>
                <c:pt idx="850">
                  <c:v>45314</c:v>
                </c:pt>
                <c:pt idx="851">
                  <c:v>45315</c:v>
                </c:pt>
                <c:pt idx="852">
                  <c:v>45316</c:v>
                </c:pt>
                <c:pt idx="853">
                  <c:v>45320</c:v>
                </c:pt>
                <c:pt idx="854">
                  <c:v>45321</c:v>
                </c:pt>
                <c:pt idx="855">
                  <c:v>45322</c:v>
                </c:pt>
                <c:pt idx="856">
                  <c:v>45323</c:v>
                </c:pt>
                <c:pt idx="857">
                  <c:v>45324</c:v>
                </c:pt>
                <c:pt idx="858">
                  <c:v>45327</c:v>
                </c:pt>
                <c:pt idx="859">
                  <c:v>45328</c:v>
                </c:pt>
                <c:pt idx="860">
                  <c:v>45329</c:v>
                </c:pt>
                <c:pt idx="861">
                  <c:v>45330</c:v>
                </c:pt>
                <c:pt idx="862">
                  <c:v>45331</c:v>
                </c:pt>
                <c:pt idx="863">
                  <c:v>45334</c:v>
                </c:pt>
                <c:pt idx="864">
                  <c:v>45335</c:v>
                </c:pt>
                <c:pt idx="865">
                  <c:v>45336</c:v>
                </c:pt>
                <c:pt idx="866">
                  <c:v>45337</c:v>
                </c:pt>
                <c:pt idx="867">
                  <c:v>45338</c:v>
                </c:pt>
                <c:pt idx="868">
                  <c:v>45341</c:v>
                </c:pt>
                <c:pt idx="869">
                  <c:v>45342</c:v>
                </c:pt>
                <c:pt idx="870">
                  <c:v>45343</c:v>
                </c:pt>
                <c:pt idx="871">
                  <c:v>45344</c:v>
                </c:pt>
                <c:pt idx="872">
                  <c:v>45345</c:v>
                </c:pt>
                <c:pt idx="873">
                  <c:v>45348</c:v>
                </c:pt>
                <c:pt idx="874">
                  <c:v>45349</c:v>
                </c:pt>
                <c:pt idx="875">
                  <c:v>45350</c:v>
                </c:pt>
                <c:pt idx="876">
                  <c:v>45351</c:v>
                </c:pt>
                <c:pt idx="877">
                  <c:v>45352</c:v>
                </c:pt>
                <c:pt idx="878">
                  <c:v>45353</c:v>
                </c:pt>
                <c:pt idx="879">
                  <c:v>45355</c:v>
                </c:pt>
                <c:pt idx="880">
                  <c:v>45356</c:v>
                </c:pt>
                <c:pt idx="881">
                  <c:v>45357</c:v>
                </c:pt>
                <c:pt idx="882">
                  <c:v>45358</c:v>
                </c:pt>
                <c:pt idx="883">
                  <c:v>45362</c:v>
                </c:pt>
                <c:pt idx="884">
                  <c:v>45363</c:v>
                </c:pt>
                <c:pt idx="885">
                  <c:v>45364</c:v>
                </c:pt>
                <c:pt idx="886">
                  <c:v>45365</c:v>
                </c:pt>
                <c:pt idx="887">
                  <c:v>45366</c:v>
                </c:pt>
                <c:pt idx="888">
                  <c:v>45369</c:v>
                </c:pt>
                <c:pt idx="889">
                  <c:v>45370</c:v>
                </c:pt>
                <c:pt idx="890">
                  <c:v>45371</c:v>
                </c:pt>
                <c:pt idx="891">
                  <c:v>45372</c:v>
                </c:pt>
                <c:pt idx="892">
                  <c:v>45373</c:v>
                </c:pt>
                <c:pt idx="893">
                  <c:v>45377</c:v>
                </c:pt>
                <c:pt idx="894">
                  <c:v>45378</c:v>
                </c:pt>
                <c:pt idx="895">
                  <c:v>45379</c:v>
                </c:pt>
                <c:pt idx="896">
                  <c:v>45383</c:v>
                </c:pt>
                <c:pt idx="897">
                  <c:v>45384</c:v>
                </c:pt>
                <c:pt idx="898">
                  <c:v>45385</c:v>
                </c:pt>
                <c:pt idx="899">
                  <c:v>45386</c:v>
                </c:pt>
                <c:pt idx="900">
                  <c:v>45387</c:v>
                </c:pt>
                <c:pt idx="901">
                  <c:v>45390</c:v>
                </c:pt>
                <c:pt idx="902">
                  <c:v>45391</c:v>
                </c:pt>
                <c:pt idx="903">
                  <c:v>45392</c:v>
                </c:pt>
                <c:pt idx="904">
                  <c:v>45394</c:v>
                </c:pt>
                <c:pt idx="905">
                  <c:v>45397</c:v>
                </c:pt>
                <c:pt idx="906">
                  <c:v>45398</c:v>
                </c:pt>
                <c:pt idx="907">
                  <c:v>45400</c:v>
                </c:pt>
                <c:pt idx="908">
                  <c:v>45401</c:v>
                </c:pt>
                <c:pt idx="909">
                  <c:v>45404</c:v>
                </c:pt>
                <c:pt idx="910">
                  <c:v>45405</c:v>
                </c:pt>
                <c:pt idx="911">
                  <c:v>45406</c:v>
                </c:pt>
                <c:pt idx="912">
                  <c:v>45407</c:v>
                </c:pt>
                <c:pt idx="913">
                  <c:v>45408</c:v>
                </c:pt>
                <c:pt idx="914">
                  <c:v>45411</c:v>
                </c:pt>
                <c:pt idx="915">
                  <c:v>45412</c:v>
                </c:pt>
                <c:pt idx="916">
                  <c:v>45414</c:v>
                </c:pt>
                <c:pt idx="917">
                  <c:v>45415</c:v>
                </c:pt>
                <c:pt idx="918">
                  <c:v>45418</c:v>
                </c:pt>
                <c:pt idx="919">
                  <c:v>45419</c:v>
                </c:pt>
                <c:pt idx="920">
                  <c:v>45420</c:v>
                </c:pt>
                <c:pt idx="921">
                  <c:v>45421</c:v>
                </c:pt>
                <c:pt idx="922">
                  <c:v>45422</c:v>
                </c:pt>
                <c:pt idx="923">
                  <c:v>45425</c:v>
                </c:pt>
                <c:pt idx="924">
                  <c:v>45426</c:v>
                </c:pt>
                <c:pt idx="925">
                  <c:v>45427</c:v>
                </c:pt>
                <c:pt idx="926">
                  <c:v>45428</c:v>
                </c:pt>
                <c:pt idx="927">
                  <c:v>45429</c:v>
                </c:pt>
                <c:pt idx="928">
                  <c:v>45430</c:v>
                </c:pt>
                <c:pt idx="929">
                  <c:v>45433</c:v>
                </c:pt>
                <c:pt idx="930">
                  <c:v>45434</c:v>
                </c:pt>
                <c:pt idx="931">
                  <c:v>45435</c:v>
                </c:pt>
                <c:pt idx="932">
                  <c:v>45436</c:v>
                </c:pt>
                <c:pt idx="933">
                  <c:v>45439</c:v>
                </c:pt>
                <c:pt idx="934">
                  <c:v>45440</c:v>
                </c:pt>
                <c:pt idx="935">
                  <c:v>45441</c:v>
                </c:pt>
                <c:pt idx="936">
                  <c:v>45442</c:v>
                </c:pt>
                <c:pt idx="937">
                  <c:v>45443</c:v>
                </c:pt>
                <c:pt idx="938">
                  <c:v>45446</c:v>
                </c:pt>
                <c:pt idx="939">
                  <c:v>45447</c:v>
                </c:pt>
                <c:pt idx="940">
                  <c:v>45448</c:v>
                </c:pt>
                <c:pt idx="941">
                  <c:v>45449</c:v>
                </c:pt>
                <c:pt idx="942">
                  <c:v>45450</c:v>
                </c:pt>
                <c:pt idx="943">
                  <c:v>45453</c:v>
                </c:pt>
                <c:pt idx="944">
                  <c:v>45454</c:v>
                </c:pt>
                <c:pt idx="945">
                  <c:v>45455</c:v>
                </c:pt>
                <c:pt idx="946">
                  <c:v>45456</c:v>
                </c:pt>
                <c:pt idx="947">
                  <c:v>45457</c:v>
                </c:pt>
                <c:pt idx="948">
                  <c:v>45461</c:v>
                </c:pt>
                <c:pt idx="949">
                  <c:v>45462</c:v>
                </c:pt>
                <c:pt idx="950">
                  <c:v>45463</c:v>
                </c:pt>
                <c:pt idx="951">
                  <c:v>45464</c:v>
                </c:pt>
                <c:pt idx="952">
                  <c:v>45467</c:v>
                </c:pt>
                <c:pt idx="953">
                  <c:v>45468</c:v>
                </c:pt>
                <c:pt idx="954">
                  <c:v>45469</c:v>
                </c:pt>
                <c:pt idx="955">
                  <c:v>45470</c:v>
                </c:pt>
                <c:pt idx="956">
                  <c:v>45471</c:v>
                </c:pt>
                <c:pt idx="957">
                  <c:v>45474</c:v>
                </c:pt>
                <c:pt idx="958">
                  <c:v>45475</c:v>
                </c:pt>
                <c:pt idx="959">
                  <c:v>45476</c:v>
                </c:pt>
                <c:pt idx="960">
                  <c:v>45477</c:v>
                </c:pt>
                <c:pt idx="961">
                  <c:v>45478</c:v>
                </c:pt>
                <c:pt idx="962">
                  <c:v>45481</c:v>
                </c:pt>
                <c:pt idx="963">
                  <c:v>45482</c:v>
                </c:pt>
                <c:pt idx="964">
                  <c:v>45483</c:v>
                </c:pt>
                <c:pt idx="965">
                  <c:v>45484</c:v>
                </c:pt>
                <c:pt idx="966">
                  <c:v>45485</c:v>
                </c:pt>
                <c:pt idx="967">
                  <c:v>45488</c:v>
                </c:pt>
                <c:pt idx="968">
                  <c:v>45489</c:v>
                </c:pt>
                <c:pt idx="969">
                  <c:v>45491</c:v>
                </c:pt>
                <c:pt idx="970">
                  <c:v>45492</c:v>
                </c:pt>
                <c:pt idx="971">
                  <c:v>45495</c:v>
                </c:pt>
                <c:pt idx="972">
                  <c:v>45496</c:v>
                </c:pt>
                <c:pt idx="973">
                  <c:v>45497</c:v>
                </c:pt>
                <c:pt idx="974">
                  <c:v>45498</c:v>
                </c:pt>
                <c:pt idx="975">
                  <c:v>45499</c:v>
                </c:pt>
                <c:pt idx="976">
                  <c:v>45502</c:v>
                </c:pt>
                <c:pt idx="977">
                  <c:v>45503</c:v>
                </c:pt>
                <c:pt idx="978">
                  <c:v>45504</c:v>
                </c:pt>
                <c:pt idx="979">
                  <c:v>45505</c:v>
                </c:pt>
                <c:pt idx="980">
                  <c:v>45506</c:v>
                </c:pt>
                <c:pt idx="981">
                  <c:v>45509</c:v>
                </c:pt>
                <c:pt idx="982">
                  <c:v>45510</c:v>
                </c:pt>
                <c:pt idx="983">
                  <c:v>45511</c:v>
                </c:pt>
                <c:pt idx="984">
                  <c:v>45512</c:v>
                </c:pt>
                <c:pt idx="985">
                  <c:v>45513</c:v>
                </c:pt>
                <c:pt idx="986">
                  <c:v>45516</c:v>
                </c:pt>
                <c:pt idx="987">
                  <c:v>45517</c:v>
                </c:pt>
                <c:pt idx="988">
                  <c:v>45518</c:v>
                </c:pt>
                <c:pt idx="989">
                  <c:v>45520</c:v>
                </c:pt>
                <c:pt idx="990">
                  <c:v>45523</c:v>
                </c:pt>
                <c:pt idx="991">
                  <c:v>45524</c:v>
                </c:pt>
                <c:pt idx="992">
                  <c:v>45525</c:v>
                </c:pt>
                <c:pt idx="993">
                  <c:v>45526</c:v>
                </c:pt>
                <c:pt idx="994">
                  <c:v>45527</c:v>
                </c:pt>
                <c:pt idx="995">
                  <c:v>45530</c:v>
                </c:pt>
                <c:pt idx="996">
                  <c:v>45531</c:v>
                </c:pt>
                <c:pt idx="997">
                  <c:v>45532</c:v>
                </c:pt>
                <c:pt idx="998">
                  <c:v>45533</c:v>
                </c:pt>
                <c:pt idx="999">
                  <c:v>45534</c:v>
                </c:pt>
                <c:pt idx="1000">
                  <c:v>45537</c:v>
                </c:pt>
                <c:pt idx="1001">
                  <c:v>45538</c:v>
                </c:pt>
                <c:pt idx="1002">
                  <c:v>45539</c:v>
                </c:pt>
                <c:pt idx="1003">
                  <c:v>45540</c:v>
                </c:pt>
                <c:pt idx="1004">
                  <c:v>45541</c:v>
                </c:pt>
                <c:pt idx="1005">
                  <c:v>45544</c:v>
                </c:pt>
                <c:pt idx="1006">
                  <c:v>45545</c:v>
                </c:pt>
                <c:pt idx="1007">
                  <c:v>45546</c:v>
                </c:pt>
                <c:pt idx="1008">
                  <c:v>45547</c:v>
                </c:pt>
                <c:pt idx="1009">
                  <c:v>45548</c:v>
                </c:pt>
                <c:pt idx="1010">
                  <c:v>45551</c:v>
                </c:pt>
                <c:pt idx="1011">
                  <c:v>45552</c:v>
                </c:pt>
                <c:pt idx="1012">
                  <c:v>45553</c:v>
                </c:pt>
                <c:pt idx="1013">
                  <c:v>45554</c:v>
                </c:pt>
                <c:pt idx="1014">
                  <c:v>45555</c:v>
                </c:pt>
                <c:pt idx="1015">
                  <c:v>45558</c:v>
                </c:pt>
                <c:pt idx="1016">
                  <c:v>45559</c:v>
                </c:pt>
                <c:pt idx="1017">
                  <c:v>45560</c:v>
                </c:pt>
                <c:pt idx="1018">
                  <c:v>45561</c:v>
                </c:pt>
                <c:pt idx="1019">
                  <c:v>45562</c:v>
                </c:pt>
                <c:pt idx="1020">
                  <c:v>45565</c:v>
                </c:pt>
                <c:pt idx="1021">
                  <c:v>45566</c:v>
                </c:pt>
                <c:pt idx="1022">
                  <c:v>45568</c:v>
                </c:pt>
                <c:pt idx="1023">
                  <c:v>45569</c:v>
                </c:pt>
                <c:pt idx="1024">
                  <c:v>45572</c:v>
                </c:pt>
                <c:pt idx="1025">
                  <c:v>45573</c:v>
                </c:pt>
                <c:pt idx="1026">
                  <c:v>45574</c:v>
                </c:pt>
                <c:pt idx="1027">
                  <c:v>45575</c:v>
                </c:pt>
                <c:pt idx="1028">
                  <c:v>45576</c:v>
                </c:pt>
                <c:pt idx="1029">
                  <c:v>45579</c:v>
                </c:pt>
                <c:pt idx="1030">
                  <c:v>45580</c:v>
                </c:pt>
                <c:pt idx="1031">
                  <c:v>45581</c:v>
                </c:pt>
                <c:pt idx="1032">
                  <c:v>45582</c:v>
                </c:pt>
                <c:pt idx="1033">
                  <c:v>45583</c:v>
                </c:pt>
                <c:pt idx="1034">
                  <c:v>45586</c:v>
                </c:pt>
                <c:pt idx="1035">
                  <c:v>45587</c:v>
                </c:pt>
                <c:pt idx="1036">
                  <c:v>45588</c:v>
                </c:pt>
                <c:pt idx="1037">
                  <c:v>45589</c:v>
                </c:pt>
                <c:pt idx="1038">
                  <c:v>45590</c:v>
                </c:pt>
                <c:pt idx="1039">
                  <c:v>45593</c:v>
                </c:pt>
                <c:pt idx="1040">
                  <c:v>45594</c:v>
                </c:pt>
                <c:pt idx="1041">
                  <c:v>45595</c:v>
                </c:pt>
                <c:pt idx="1042">
                  <c:v>45596</c:v>
                </c:pt>
                <c:pt idx="1043">
                  <c:v>45597</c:v>
                </c:pt>
                <c:pt idx="1044">
                  <c:v>45600</c:v>
                </c:pt>
                <c:pt idx="1045">
                  <c:v>45601</c:v>
                </c:pt>
                <c:pt idx="1046">
                  <c:v>45602</c:v>
                </c:pt>
                <c:pt idx="1047">
                  <c:v>45603</c:v>
                </c:pt>
                <c:pt idx="1048">
                  <c:v>45604</c:v>
                </c:pt>
                <c:pt idx="1049">
                  <c:v>45607</c:v>
                </c:pt>
                <c:pt idx="1050">
                  <c:v>45608</c:v>
                </c:pt>
                <c:pt idx="1051">
                  <c:v>45609</c:v>
                </c:pt>
                <c:pt idx="1052">
                  <c:v>45610</c:v>
                </c:pt>
                <c:pt idx="1053">
                  <c:v>45614</c:v>
                </c:pt>
                <c:pt idx="1054">
                  <c:v>45615</c:v>
                </c:pt>
                <c:pt idx="1055">
                  <c:v>45617</c:v>
                </c:pt>
                <c:pt idx="1056">
                  <c:v>45618</c:v>
                </c:pt>
                <c:pt idx="1057">
                  <c:v>45621</c:v>
                </c:pt>
                <c:pt idx="1058">
                  <c:v>45622</c:v>
                </c:pt>
                <c:pt idx="1059">
                  <c:v>45623</c:v>
                </c:pt>
                <c:pt idx="1060">
                  <c:v>45624</c:v>
                </c:pt>
                <c:pt idx="1061">
                  <c:v>45625</c:v>
                </c:pt>
                <c:pt idx="1062">
                  <c:v>45628</c:v>
                </c:pt>
                <c:pt idx="1063">
                  <c:v>45629</c:v>
                </c:pt>
                <c:pt idx="1064">
                  <c:v>45630</c:v>
                </c:pt>
                <c:pt idx="1065">
                  <c:v>45631</c:v>
                </c:pt>
                <c:pt idx="1066">
                  <c:v>45632</c:v>
                </c:pt>
                <c:pt idx="1067">
                  <c:v>45635</c:v>
                </c:pt>
                <c:pt idx="1068">
                  <c:v>45636</c:v>
                </c:pt>
                <c:pt idx="1069">
                  <c:v>45637</c:v>
                </c:pt>
                <c:pt idx="1070">
                  <c:v>45638</c:v>
                </c:pt>
                <c:pt idx="1071">
                  <c:v>45639</c:v>
                </c:pt>
                <c:pt idx="1072">
                  <c:v>45642</c:v>
                </c:pt>
                <c:pt idx="1073">
                  <c:v>45643</c:v>
                </c:pt>
                <c:pt idx="1074">
                  <c:v>45644</c:v>
                </c:pt>
                <c:pt idx="1075">
                  <c:v>45645</c:v>
                </c:pt>
                <c:pt idx="1076">
                  <c:v>45646</c:v>
                </c:pt>
                <c:pt idx="1077">
                  <c:v>45649</c:v>
                </c:pt>
                <c:pt idx="1078">
                  <c:v>45650</c:v>
                </c:pt>
                <c:pt idx="1079">
                  <c:v>45652</c:v>
                </c:pt>
                <c:pt idx="1080">
                  <c:v>45653</c:v>
                </c:pt>
                <c:pt idx="1081">
                  <c:v>45656</c:v>
                </c:pt>
                <c:pt idx="1082">
                  <c:v>45657</c:v>
                </c:pt>
                <c:pt idx="1083">
                  <c:v>45658</c:v>
                </c:pt>
                <c:pt idx="1084">
                  <c:v>45659</c:v>
                </c:pt>
                <c:pt idx="1085">
                  <c:v>45660</c:v>
                </c:pt>
                <c:pt idx="1086">
                  <c:v>45663</c:v>
                </c:pt>
                <c:pt idx="1087">
                  <c:v>45664</c:v>
                </c:pt>
                <c:pt idx="1088">
                  <c:v>45665</c:v>
                </c:pt>
                <c:pt idx="1089">
                  <c:v>45666</c:v>
                </c:pt>
                <c:pt idx="1090">
                  <c:v>45667</c:v>
                </c:pt>
                <c:pt idx="1091">
                  <c:v>45670</c:v>
                </c:pt>
                <c:pt idx="1092">
                  <c:v>45671</c:v>
                </c:pt>
                <c:pt idx="1093">
                  <c:v>45672</c:v>
                </c:pt>
                <c:pt idx="1094">
                  <c:v>45673</c:v>
                </c:pt>
                <c:pt idx="1095">
                  <c:v>45674</c:v>
                </c:pt>
                <c:pt idx="1096">
                  <c:v>45677</c:v>
                </c:pt>
                <c:pt idx="1097">
                  <c:v>45678</c:v>
                </c:pt>
                <c:pt idx="1098">
                  <c:v>45679</c:v>
                </c:pt>
                <c:pt idx="1099">
                  <c:v>45680</c:v>
                </c:pt>
                <c:pt idx="1100">
                  <c:v>45681</c:v>
                </c:pt>
                <c:pt idx="1101">
                  <c:v>45684</c:v>
                </c:pt>
                <c:pt idx="1102">
                  <c:v>45685</c:v>
                </c:pt>
                <c:pt idx="1103">
                  <c:v>45686</c:v>
                </c:pt>
                <c:pt idx="1104">
                  <c:v>45687</c:v>
                </c:pt>
                <c:pt idx="1105">
                  <c:v>45688</c:v>
                </c:pt>
                <c:pt idx="1106">
                  <c:v>45689</c:v>
                </c:pt>
                <c:pt idx="1107">
                  <c:v>45691</c:v>
                </c:pt>
                <c:pt idx="1108">
                  <c:v>45692</c:v>
                </c:pt>
                <c:pt idx="1109">
                  <c:v>45693</c:v>
                </c:pt>
                <c:pt idx="1110">
                  <c:v>45694</c:v>
                </c:pt>
                <c:pt idx="1111">
                  <c:v>45695</c:v>
                </c:pt>
                <c:pt idx="1112">
                  <c:v>45698</c:v>
                </c:pt>
                <c:pt idx="1113">
                  <c:v>45699</c:v>
                </c:pt>
                <c:pt idx="1114">
                  <c:v>45700</c:v>
                </c:pt>
                <c:pt idx="1115">
                  <c:v>45701</c:v>
                </c:pt>
                <c:pt idx="1116">
                  <c:v>45702</c:v>
                </c:pt>
                <c:pt idx="1117">
                  <c:v>45705</c:v>
                </c:pt>
                <c:pt idx="1118">
                  <c:v>45706</c:v>
                </c:pt>
                <c:pt idx="1119">
                  <c:v>45707</c:v>
                </c:pt>
                <c:pt idx="1120">
                  <c:v>45708</c:v>
                </c:pt>
                <c:pt idx="1121">
                  <c:v>45709</c:v>
                </c:pt>
                <c:pt idx="1122">
                  <c:v>45712</c:v>
                </c:pt>
                <c:pt idx="1123">
                  <c:v>45713</c:v>
                </c:pt>
                <c:pt idx="1124">
                  <c:v>45715</c:v>
                </c:pt>
                <c:pt idx="1125">
                  <c:v>45716</c:v>
                </c:pt>
                <c:pt idx="1126">
                  <c:v>45719</c:v>
                </c:pt>
                <c:pt idx="1127">
                  <c:v>45720</c:v>
                </c:pt>
                <c:pt idx="1128">
                  <c:v>45721</c:v>
                </c:pt>
                <c:pt idx="1129">
                  <c:v>45722</c:v>
                </c:pt>
                <c:pt idx="1130">
                  <c:v>45723</c:v>
                </c:pt>
                <c:pt idx="1131">
                  <c:v>45726</c:v>
                </c:pt>
                <c:pt idx="1132">
                  <c:v>45727</c:v>
                </c:pt>
                <c:pt idx="1133">
                  <c:v>45728</c:v>
                </c:pt>
                <c:pt idx="1134">
                  <c:v>45729</c:v>
                </c:pt>
                <c:pt idx="1135">
                  <c:v>45733</c:v>
                </c:pt>
                <c:pt idx="1136">
                  <c:v>45734</c:v>
                </c:pt>
                <c:pt idx="1137">
                  <c:v>45735</c:v>
                </c:pt>
                <c:pt idx="1138">
                  <c:v>45736</c:v>
                </c:pt>
                <c:pt idx="1139">
                  <c:v>45737</c:v>
                </c:pt>
                <c:pt idx="1140">
                  <c:v>45740</c:v>
                </c:pt>
                <c:pt idx="1141">
                  <c:v>45741</c:v>
                </c:pt>
                <c:pt idx="1142">
                  <c:v>45742</c:v>
                </c:pt>
                <c:pt idx="1143">
                  <c:v>45743</c:v>
                </c:pt>
                <c:pt idx="1144">
                  <c:v>45744</c:v>
                </c:pt>
                <c:pt idx="1145">
                  <c:v>45748</c:v>
                </c:pt>
                <c:pt idx="1146">
                  <c:v>45749</c:v>
                </c:pt>
                <c:pt idx="1147">
                  <c:v>45750</c:v>
                </c:pt>
                <c:pt idx="1148">
                  <c:v>45751</c:v>
                </c:pt>
                <c:pt idx="1149">
                  <c:v>45754</c:v>
                </c:pt>
                <c:pt idx="1150">
                  <c:v>45755</c:v>
                </c:pt>
                <c:pt idx="1151">
                  <c:v>45756</c:v>
                </c:pt>
                <c:pt idx="1152">
                  <c:v>45758</c:v>
                </c:pt>
                <c:pt idx="1153">
                  <c:v>45762</c:v>
                </c:pt>
                <c:pt idx="1154">
                  <c:v>45763</c:v>
                </c:pt>
                <c:pt idx="1155">
                  <c:v>45764</c:v>
                </c:pt>
                <c:pt idx="1156">
                  <c:v>45768</c:v>
                </c:pt>
                <c:pt idx="1157">
                  <c:v>45769</c:v>
                </c:pt>
                <c:pt idx="1158">
                  <c:v>45770</c:v>
                </c:pt>
                <c:pt idx="1159">
                  <c:v>45771</c:v>
                </c:pt>
                <c:pt idx="1160">
                  <c:v>45772</c:v>
                </c:pt>
                <c:pt idx="1161">
                  <c:v>45775</c:v>
                </c:pt>
                <c:pt idx="1162">
                  <c:v>45776</c:v>
                </c:pt>
                <c:pt idx="1163">
                  <c:v>45777</c:v>
                </c:pt>
                <c:pt idx="1164">
                  <c:v>45779</c:v>
                </c:pt>
                <c:pt idx="1165">
                  <c:v>45782</c:v>
                </c:pt>
                <c:pt idx="1166">
                  <c:v>45783</c:v>
                </c:pt>
                <c:pt idx="1167">
                  <c:v>45784</c:v>
                </c:pt>
                <c:pt idx="1168">
                  <c:v>45785</c:v>
                </c:pt>
                <c:pt idx="1169">
                  <c:v>45786</c:v>
                </c:pt>
                <c:pt idx="1170">
                  <c:v>45789</c:v>
                </c:pt>
                <c:pt idx="1171">
                  <c:v>45790</c:v>
                </c:pt>
                <c:pt idx="1172">
                  <c:v>45791</c:v>
                </c:pt>
                <c:pt idx="1173">
                  <c:v>45792</c:v>
                </c:pt>
                <c:pt idx="1174">
                  <c:v>45793</c:v>
                </c:pt>
                <c:pt idx="1175">
                  <c:v>45796</c:v>
                </c:pt>
                <c:pt idx="1176">
                  <c:v>45797</c:v>
                </c:pt>
                <c:pt idx="1177">
                  <c:v>45798</c:v>
                </c:pt>
                <c:pt idx="1178">
                  <c:v>45799</c:v>
                </c:pt>
                <c:pt idx="1179">
                  <c:v>45800</c:v>
                </c:pt>
                <c:pt idx="1180">
                  <c:v>45803</c:v>
                </c:pt>
                <c:pt idx="1181">
                  <c:v>45804</c:v>
                </c:pt>
                <c:pt idx="1182">
                  <c:v>45805</c:v>
                </c:pt>
                <c:pt idx="1183">
                  <c:v>45806</c:v>
                </c:pt>
                <c:pt idx="1184">
                  <c:v>45807</c:v>
                </c:pt>
                <c:pt idx="1185">
                  <c:v>45810</c:v>
                </c:pt>
                <c:pt idx="1186">
                  <c:v>45811</c:v>
                </c:pt>
                <c:pt idx="1187">
                  <c:v>45812</c:v>
                </c:pt>
                <c:pt idx="1188">
                  <c:v>45813</c:v>
                </c:pt>
                <c:pt idx="1189">
                  <c:v>45814</c:v>
                </c:pt>
                <c:pt idx="1190">
                  <c:v>45817</c:v>
                </c:pt>
                <c:pt idx="1191">
                  <c:v>45818</c:v>
                </c:pt>
                <c:pt idx="1192">
                  <c:v>45819</c:v>
                </c:pt>
                <c:pt idx="1193">
                  <c:v>45820</c:v>
                </c:pt>
                <c:pt idx="1194">
                  <c:v>45821</c:v>
                </c:pt>
                <c:pt idx="1195">
                  <c:v>45824</c:v>
                </c:pt>
                <c:pt idx="1196">
                  <c:v>45825</c:v>
                </c:pt>
                <c:pt idx="1197">
                  <c:v>45826</c:v>
                </c:pt>
                <c:pt idx="1198">
                  <c:v>45827</c:v>
                </c:pt>
                <c:pt idx="1199">
                  <c:v>45828</c:v>
                </c:pt>
                <c:pt idx="1200">
                  <c:v>45831</c:v>
                </c:pt>
                <c:pt idx="1201">
                  <c:v>45832</c:v>
                </c:pt>
                <c:pt idx="1202">
                  <c:v>45833</c:v>
                </c:pt>
                <c:pt idx="1203">
                  <c:v>45834</c:v>
                </c:pt>
                <c:pt idx="1204">
                  <c:v>45835</c:v>
                </c:pt>
                <c:pt idx="1205">
                  <c:v>45838</c:v>
                </c:pt>
                <c:pt idx="1206">
                  <c:v>45839</c:v>
                </c:pt>
                <c:pt idx="1207">
                  <c:v>45840</c:v>
                </c:pt>
                <c:pt idx="1208">
                  <c:v>45841</c:v>
                </c:pt>
                <c:pt idx="1209">
                  <c:v>45842</c:v>
                </c:pt>
                <c:pt idx="1210">
                  <c:v>45845</c:v>
                </c:pt>
                <c:pt idx="1211">
                  <c:v>45846</c:v>
                </c:pt>
                <c:pt idx="1212">
                  <c:v>45847</c:v>
                </c:pt>
                <c:pt idx="1213">
                  <c:v>45848</c:v>
                </c:pt>
                <c:pt idx="1214">
                  <c:v>45849</c:v>
                </c:pt>
                <c:pt idx="1215">
                  <c:v>45852</c:v>
                </c:pt>
                <c:pt idx="1216">
                  <c:v>45853</c:v>
                </c:pt>
                <c:pt idx="1217">
                  <c:v>45854</c:v>
                </c:pt>
                <c:pt idx="1218">
                  <c:v>45855</c:v>
                </c:pt>
                <c:pt idx="1219">
                  <c:v>45856</c:v>
                </c:pt>
                <c:pt idx="1220">
                  <c:v>45859</c:v>
                </c:pt>
                <c:pt idx="1221">
                  <c:v>45860</c:v>
                </c:pt>
                <c:pt idx="1222">
                  <c:v>45861</c:v>
                </c:pt>
                <c:pt idx="1223">
                  <c:v>45862</c:v>
                </c:pt>
                <c:pt idx="1224">
                  <c:v>45863</c:v>
                </c:pt>
                <c:pt idx="1225">
                  <c:v>45866</c:v>
                </c:pt>
                <c:pt idx="1226">
                  <c:v>45867</c:v>
                </c:pt>
                <c:pt idx="1227">
                  <c:v>45868</c:v>
                </c:pt>
                <c:pt idx="1228">
                  <c:v>45869</c:v>
                </c:pt>
                <c:pt idx="1229">
                  <c:v>45870</c:v>
                </c:pt>
                <c:pt idx="1230">
                  <c:v>45873</c:v>
                </c:pt>
                <c:pt idx="1231">
                  <c:v>45874</c:v>
                </c:pt>
                <c:pt idx="1232">
                  <c:v>45875</c:v>
                </c:pt>
                <c:pt idx="1233">
                  <c:v>45876</c:v>
                </c:pt>
                <c:pt idx="1234">
                  <c:v>45877</c:v>
                </c:pt>
                <c:pt idx="1235">
                  <c:v>45880</c:v>
                </c:pt>
                <c:pt idx="1236">
                  <c:v>45881</c:v>
                </c:pt>
                <c:pt idx="1237">
                  <c:v>45882</c:v>
                </c:pt>
                <c:pt idx="1238">
                  <c:v>45883</c:v>
                </c:pt>
                <c:pt idx="1239">
                  <c:v>45887</c:v>
                </c:pt>
                <c:pt idx="1240">
                  <c:v>45888</c:v>
                </c:pt>
                <c:pt idx="1241">
                  <c:v>45889</c:v>
                </c:pt>
              </c:numCache>
            </c:numRef>
          </c:cat>
          <c:val>
            <c:numRef>
              <c:f>'[1]TAMO Historical Data (6)'!$B$2:$B$1243</c:f>
              <c:numCache>
                <c:formatCode>General</c:formatCode>
                <c:ptCount val="1242"/>
                <c:pt idx="0">
                  <c:v>43.53</c:v>
                </c:pt>
                <c:pt idx="1">
                  <c:v>48.65</c:v>
                </c:pt>
                <c:pt idx="2">
                  <c:v>31.3</c:v>
                </c:pt>
                <c:pt idx="3">
                  <c:v>90.27</c:v>
                </c:pt>
                <c:pt idx="4">
                  <c:v>197.52</c:v>
                </c:pt>
                <c:pt idx="5">
                  <c:v>181.38</c:v>
                </c:pt>
                <c:pt idx="6">
                  <c:v>95.2</c:v>
                </c:pt>
                <c:pt idx="7">
                  <c:v>160.56</c:v>
                </c:pt>
                <c:pt idx="8">
                  <c:v>58.81</c:v>
                </c:pt>
                <c:pt idx="9">
                  <c:v>74.95</c:v>
                </c:pt>
                <c:pt idx="10">
                  <c:v>110.16</c:v>
                </c:pt>
                <c:pt idx="11">
                  <c:v>95.57</c:v>
                </c:pt>
                <c:pt idx="12">
                  <c:v>82.62</c:v>
                </c:pt>
                <c:pt idx="13">
                  <c:v>76.3</c:v>
                </c:pt>
                <c:pt idx="14">
                  <c:v>105.36</c:v>
                </c:pt>
                <c:pt idx="15">
                  <c:v>79.61</c:v>
                </c:pt>
                <c:pt idx="16">
                  <c:v>65.14</c:v>
                </c:pt>
                <c:pt idx="17">
                  <c:v>84.51</c:v>
                </c:pt>
                <c:pt idx="18">
                  <c:v>42.89</c:v>
                </c:pt>
                <c:pt idx="19">
                  <c:v>85.06</c:v>
                </c:pt>
                <c:pt idx="20">
                  <c:v>48.12</c:v>
                </c:pt>
                <c:pt idx="21">
                  <c:v>46.27</c:v>
                </c:pt>
                <c:pt idx="22">
                  <c:v>64.739999999999995</c:v>
                </c:pt>
                <c:pt idx="23">
                  <c:v>87.3</c:v>
                </c:pt>
                <c:pt idx="24">
                  <c:v>74.98</c:v>
                </c:pt>
                <c:pt idx="25">
                  <c:v>62.42</c:v>
                </c:pt>
                <c:pt idx="26">
                  <c:v>65.040000000000006</c:v>
                </c:pt>
                <c:pt idx="27">
                  <c:v>61.83</c:v>
                </c:pt>
                <c:pt idx="28">
                  <c:v>63.37</c:v>
                </c:pt>
                <c:pt idx="29">
                  <c:v>48.86</c:v>
                </c:pt>
                <c:pt idx="30">
                  <c:v>40.49</c:v>
                </c:pt>
                <c:pt idx="31">
                  <c:v>55.27</c:v>
                </c:pt>
                <c:pt idx="32">
                  <c:v>162.05000000000001</c:v>
                </c:pt>
                <c:pt idx="33">
                  <c:v>68.27</c:v>
                </c:pt>
                <c:pt idx="34">
                  <c:v>40.94</c:v>
                </c:pt>
                <c:pt idx="35">
                  <c:v>37.1</c:v>
                </c:pt>
                <c:pt idx="36">
                  <c:v>39.28</c:v>
                </c:pt>
                <c:pt idx="37">
                  <c:v>38.97</c:v>
                </c:pt>
                <c:pt idx="38">
                  <c:v>45.79</c:v>
                </c:pt>
                <c:pt idx="39">
                  <c:v>64</c:v>
                </c:pt>
                <c:pt idx="40">
                  <c:v>62.55</c:v>
                </c:pt>
                <c:pt idx="41">
                  <c:v>33.159999999999997</c:v>
                </c:pt>
                <c:pt idx="42">
                  <c:v>27.47</c:v>
                </c:pt>
                <c:pt idx="43">
                  <c:v>39.25</c:v>
                </c:pt>
                <c:pt idx="44">
                  <c:v>48.81</c:v>
                </c:pt>
                <c:pt idx="45">
                  <c:v>68.709999999999994</c:v>
                </c:pt>
                <c:pt idx="46">
                  <c:v>88.53</c:v>
                </c:pt>
                <c:pt idx="47">
                  <c:v>56.86</c:v>
                </c:pt>
                <c:pt idx="48">
                  <c:v>152.36000000000001</c:v>
                </c:pt>
                <c:pt idx="49">
                  <c:v>66.63</c:v>
                </c:pt>
                <c:pt idx="50">
                  <c:v>51.13</c:v>
                </c:pt>
                <c:pt idx="51">
                  <c:v>40.39</c:v>
                </c:pt>
                <c:pt idx="52">
                  <c:v>52.07</c:v>
                </c:pt>
                <c:pt idx="53">
                  <c:v>44.68</c:v>
                </c:pt>
                <c:pt idx="54">
                  <c:v>38.93</c:v>
                </c:pt>
                <c:pt idx="55">
                  <c:v>67.97</c:v>
                </c:pt>
                <c:pt idx="56">
                  <c:v>40.28</c:v>
                </c:pt>
                <c:pt idx="57">
                  <c:v>68.790000000000006</c:v>
                </c:pt>
                <c:pt idx="58">
                  <c:v>78.58</c:v>
                </c:pt>
                <c:pt idx="59">
                  <c:v>56.15</c:v>
                </c:pt>
                <c:pt idx="60">
                  <c:v>32.57</c:v>
                </c:pt>
                <c:pt idx="61">
                  <c:v>82.64</c:v>
                </c:pt>
                <c:pt idx="62">
                  <c:v>171.8</c:v>
                </c:pt>
                <c:pt idx="63">
                  <c:v>109.45</c:v>
                </c:pt>
                <c:pt idx="64">
                  <c:v>66.94</c:v>
                </c:pt>
                <c:pt idx="65">
                  <c:v>54.57</c:v>
                </c:pt>
                <c:pt idx="66">
                  <c:v>47.7</c:v>
                </c:pt>
                <c:pt idx="67">
                  <c:v>54.37</c:v>
                </c:pt>
                <c:pt idx="68">
                  <c:v>39.090000000000003</c:v>
                </c:pt>
                <c:pt idx="69">
                  <c:v>125.93</c:v>
                </c:pt>
                <c:pt idx="70">
                  <c:v>48.88</c:v>
                </c:pt>
                <c:pt idx="71">
                  <c:v>88.11</c:v>
                </c:pt>
                <c:pt idx="72">
                  <c:v>33.33</c:v>
                </c:pt>
                <c:pt idx="73">
                  <c:v>48</c:v>
                </c:pt>
                <c:pt idx="74">
                  <c:v>29.8</c:v>
                </c:pt>
                <c:pt idx="75">
                  <c:v>42.14</c:v>
                </c:pt>
                <c:pt idx="76">
                  <c:v>40.299999999999997</c:v>
                </c:pt>
                <c:pt idx="77">
                  <c:v>38.369999999999997</c:v>
                </c:pt>
                <c:pt idx="78">
                  <c:v>43.07</c:v>
                </c:pt>
                <c:pt idx="79">
                  <c:v>33.19</c:v>
                </c:pt>
                <c:pt idx="80">
                  <c:v>41.19</c:v>
                </c:pt>
                <c:pt idx="81">
                  <c:v>51.26</c:v>
                </c:pt>
                <c:pt idx="82">
                  <c:v>34.1</c:v>
                </c:pt>
                <c:pt idx="83">
                  <c:v>46.07</c:v>
                </c:pt>
                <c:pt idx="84">
                  <c:v>75.58</c:v>
                </c:pt>
                <c:pt idx="85">
                  <c:v>110.01</c:v>
                </c:pt>
                <c:pt idx="86">
                  <c:v>56.93</c:v>
                </c:pt>
                <c:pt idx="87">
                  <c:v>73.83</c:v>
                </c:pt>
                <c:pt idx="88">
                  <c:v>98.01</c:v>
                </c:pt>
                <c:pt idx="89">
                  <c:v>71.319999999999993</c:v>
                </c:pt>
                <c:pt idx="90">
                  <c:v>38.58</c:v>
                </c:pt>
                <c:pt idx="91">
                  <c:v>48.98</c:v>
                </c:pt>
                <c:pt idx="92">
                  <c:v>27.33</c:v>
                </c:pt>
                <c:pt idx="93">
                  <c:v>63.98</c:v>
                </c:pt>
                <c:pt idx="94">
                  <c:v>75.75</c:v>
                </c:pt>
                <c:pt idx="95">
                  <c:v>75.62</c:v>
                </c:pt>
                <c:pt idx="96">
                  <c:v>66.02</c:v>
                </c:pt>
                <c:pt idx="97">
                  <c:v>53.99</c:v>
                </c:pt>
                <c:pt idx="98">
                  <c:v>182.48</c:v>
                </c:pt>
                <c:pt idx="99">
                  <c:v>390.58</c:v>
                </c:pt>
                <c:pt idx="100">
                  <c:v>164.65</c:v>
                </c:pt>
                <c:pt idx="101">
                  <c:v>86.82</c:v>
                </c:pt>
                <c:pt idx="102">
                  <c:v>250.04</c:v>
                </c:pt>
                <c:pt idx="103">
                  <c:v>173.38</c:v>
                </c:pt>
                <c:pt idx="104">
                  <c:v>136.86000000000001</c:v>
                </c:pt>
                <c:pt idx="105">
                  <c:v>205.15</c:v>
                </c:pt>
                <c:pt idx="106">
                  <c:v>283.61</c:v>
                </c:pt>
                <c:pt idx="107">
                  <c:v>316.01</c:v>
                </c:pt>
                <c:pt idx="108">
                  <c:v>164.35</c:v>
                </c:pt>
                <c:pt idx="109">
                  <c:v>126.59</c:v>
                </c:pt>
                <c:pt idx="110">
                  <c:v>129.16</c:v>
                </c:pt>
                <c:pt idx="111">
                  <c:v>138.44</c:v>
                </c:pt>
                <c:pt idx="112">
                  <c:v>165.66</c:v>
                </c:pt>
                <c:pt idx="113">
                  <c:v>251.97</c:v>
                </c:pt>
                <c:pt idx="114">
                  <c:v>224.19</c:v>
                </c:pt>
                <c:pt idx="115">
                  <c:v>121.03</c:v>
                </c:pt>
                <c:pt idx="116">
                  <c:v>103.51</c:v>
                </c:pt>
                <c:pt idx="117">
                  <c:v>102.12</c:v>
                </c:pt>
                <c:pt idx="118">
                  <c:v>105.98</c:v>
                </c:pt>
                <c:pt idx="119">
                  <c:v>93.47</c:v>
                </c:pt>
                <c:pt idx="120">
                  <c:v>55.26</c:v>
                </c:pt>
                <c:pt idx="121">
                  <c:v>64.09</c:v>
                </c:pt>
                <c:pt idx="122">
                  <c:v>78.680000000000007</c:v>
                </c:pt>
                <c:pt idx="123">
                  <c:v>65.94</c:v>
                </c:pt>
                <c:pt idx="124">
                  <c:v>52.15</c:v>
                </c:pt>
                <c:pt idx="125">
                  <c:v>49.2</c:v>
                </c:pt>
                <c:pt idx="126">
                  <c:v>80.27</c:v>
                </c:pt>
                <c:pt idx="127">
                  <c:v>57.72</c:v>
                </c:pt>
                <c:pt idx="128">
                  <c:v>133.31</c:v>
                </c:pt>
                <c:pt idx="129">
                  <c:v>50.82</c:v>
                </c:pt>
                <c:pt idx="130">
                  <c:v>64.510000000000005</c:v>
                </c:pt>
                <c:pt idx="131">
                  <c:v>91.9</c:v>
                </c:pt>
                <c:pt idx="132">
                  <c:v>61.19</c:v>
                </c:pt>
                <c:pt idx="133">
                  <c:v>127.71</c:v>
                </c:pt>
                <c:pt idx="134">
                  <c:v>92.01</c:v>
                </c:pt>
                <c:pt idx="135">
                  <c:v>59.86</c:v>
                </c:pt>
                <c:pt idx="136">
                  <c:v>86.74</c:v>
                </c:pt>
                <c:pt idx="137">
                  <c:v>81.93</c:v>
                </c:pt>
                <c:pt idx="138">
                  <c:v>74.7</c:v>
                </c:pt>
                <c:pt idx="139">
                  <c:v>58.64</c:v>
                </c:pt>
                <c:pt idx="140">
                  <c:v>48.36</c:v>
                </c:pt>
                <c:pt idx="141">
                  <c:v>45.08</c:v>
                </c:pt>
                <c:pt idx="142">
                  <c:v>39.270000000000003</c:v>
                </c:pt>
                <c:pt idx="143">
                  <c:v>47.26</c:v>
                </c:pt>
                <c:pt idx="144">
                  <c:v>73.73</c:v>
                </c:pt>
                <c:pt idx="145">
                  <c:v>109.93</c:v>
                </c:pt>
                <c:pt idx="146">
                  <c:v>56.39</c:v>
                </c:pt>
                <c:pt idx="147">
                  <c:v>60.24</c:v>
                </c:pt>
                <c:pt idx="148">
                  <c:v>61.52</c:v>
                </c:pt>
                <c:pt idx="149">
                  <c:v>84.53</c:v>
                </c:pt>
                <c:pt idx="150">
                  <c:v>80.92</c:v>
                </c:pt>
                <c:pt idx="151">
                  <c:v>45.26</c:v>
                </c:pt>
                <c:pt idx="152">
                  <c:v>58.57</c:v>
                </c:pt>
                <c:pt idx="153">
                  <c:v>44.09</c:v>
                </c:pt>
                <c:pt idx="154">
                  <c:v>66.180000000000007</c:v>
                </c:pt>
                <c:pt idx="155">
                  <c:v>63.03</c:v>
                </c:pt>
                <c:pt idx="156">
                  <c:v>39.07</c:v>
                </c:pt>
                <c:pt idx="157">
                  <c:v>62.46</c:v>
                </c:pt>
                <c:pt idx="158">
                  <c:v>75.459999999999994</c:v>
                </c:pt>
                <c:pt idx="159">
                  <c:v>105.34</c:v>
                </c:pt>
                <c:pt idx="160">
                  <c:v>116.87</c:v>
                </c:pt>
                <c:pt idx="161">
                  <c:v>75.260000000000005</c:v>
                </c:pt>
                <c:pt idx="162">
                  <c:v>75.33</c:v>
                </c:pt>
                <c:pt idx="163">
                  <c:v>65.790000000000006</c:v>
                </c:pt>
                <c:pt idx="164">
                  <c:v>56.74</c:v>
                </c:pt>
                <c:pt idx="165">
                  <c:v>61.02</c:v>
                </c:pt>
                <c:pt idx="166">
                  <c:v>58.16</c:v>
                </c:pt>
                <c:pt idx="167">
                  <c:v>30.58</c:v>
                </c:pt>
                <c:pt idx="168">
                  <c:v>35.04</c:v>
                </c:pt>
                <c:pt idx="169">
                  <c:v>44.67</c:v>
                </c:pt>
                <c:pt idx="170">
                  <c:v>36.65</c:v>
                </c:pt>
                <c:pt idx="171">
                  <c:v>36.119999999999997</c:v>
                </c:pt>
                <c:pt idx="172">
                  <c:v>35.380000000000003</c:v>
                </c:pt>
                <c:pt idx="173">
                  <c:v>38.64</c:v>
                </c:pt>
                <c:pt idx="174">
                  <c:v>29.35</c:v>
                </c:pt>
                <c:pt idx="175">
                  <c:v>45.03</c:v>
                </c:pt>
                <c:pt idx="176">
                  <c:v>41.59</c:v>
                </c:pt>
                <c:pt idx="177">
                  <c:v>53.26</c:v>
                </c:pt>
                <c:pt idx="178">
                  <c:v>58.47</c:v>
                </c:pt>
                <c:pt idx="179">
                  <c:v>111.58</c:v>
                </c:pt>
                <c:pt idx="180">
                  <c:v>81.31</c:v>
                </c:pt>
                <c:pt idx="181">
                  <c:v>51.16</c:v>
                </c:pt>
                <c:pt idx="182">
                  <c:v>86.15</c:v>
                </c:pt>
                <c:pt idx="183">
                  <c:v>119.41</c:v>
                </c:pt>
                <c:pt idx="184">
                  <c:v>54.04</c:v>
                </c:pt>
                <c:pt idx="185">
                  <c:v>40.36</c:v>
                </c:pt>
                <c:pt idx="186">
                  <c:v>31.96</c:v>
                </c:pt>
                <c:pt idx="187">
                  <c:v>37.380000000000003</c:v>
                </c:pt>
                <c:pt idx="188">
                  <c:v>28.64</c:v>
                </c:pt>
                <c:pt idx="189">
                  <c:v>49.48</c:v>
                </c:pt>
                <c:pt idx="190">
                  <c:v>26.62</c:v>
                </c:pt>
                <c:pt idx="191">
                  <c:v>30.92</c:v>
                </c:pt>
                <c:pt idx="192">
                  <c:v>32.6</c:v>
                </c:pt>
                <c:pt idx="193">
                  <c:v>26.32</c:v>
                </c:pt>
                <c:pt idx="194">
                  <c:v>21.41</c:v>
                </c:pt>
                <c:pt idx="195">
                  <c:v>41.28</c:v>
                </c:pt>
                <c:pt idx="196">
                  <c:v>64.989999999999995</c:v>
                </c:pt>
                <c:pt idx="197">
                  <c:v>44.11</c:v>
                </c:pt>
                <c:pt idx="198">
                  <c:v>59.33</c:v>
                </c:pt>
                <c:pt idx="199">
                  <c:v>24.35</c:v>
                </c:pt>
                <c:pt idx="200">
                  <c:v>36.44</c:v>
                </c:pt>
                <c:pt idx="201">
                  <c:v>38.479999999999997</c:v>
                </c:pt>
                <c:pt idx="202">
                  <c:v>35.53</c:v>
                </c:pt>
                <c:pt idx="203">
                  <c:v>27.55</c:v>
                </c:pt>
                <c:pt idx="204">
                  <c:v>29.24</c:v>
                </c:pt>
                <c:pt idx="205">
                  <c:v>49.44</c:v>
                </c:pt>
                <c:pt idx="206">
                  <c:v>29.12</c:v>
                </c:pt>
                <c:pt idx="207">
                  <c:v>26.71</c:v>
                </c:pt>
                <c:pt idx="208">
                  <c:v>25.74</c:v>
                </c:pt>
                <c:pt idx="209">
                  <c:v>15.58</c:v>
                </c:pt>
                <c:pt idx="210">
                  <c:v>22.43</c:v>
                </c:pt>
                <c:pt idx="211">
                  <c:v>17.84</c:v>
                </c:pt>
                <c:pt idx="212">
                  <c:v>22.46</c:v>
                </c:pt>
                <c:pt idx="213">
                  <c:v>18.28</c:v>
                </c:pt>
                <c:pt idx="214">
                  <c:v>27.94</c:v>
                </c:pt>
                <c:pt idx="215">
                  <c:v>18.3</c:v>
                </c:pt>
                <c:pt idx="216">
                  <c:v>18.399999999999999</c:v>
                </c:pt>
                <c:pt idx="217">
                  <c:v>164.08</c:v>
                </c:pt>
                <c:pt idx="218">
                  <c:v>112.18</c:v>
                </c:pt>
                <c:pt idx="219">
                  <c:v>87.36</c:v>
                </c:pt>
                <c:pt idx="220">
                  <c:v>48.81</c:v>
                </c:pt>
                <c:pt idx="221">
                  <c:v>32.28</c:v>
                </c:pt>
                <c:pt idx="222">
                  <c:v>25.74</c:v>
                </c:pt>
                <c:pt idx="223">
                  <c:v>21.86</c:v>
                </c:pt>
                <c:pt idx="224">
                  <c:v>23.62</c:v>
                </c:pt>
                <c:pt idx="225">
                  <c:v>25.15</c:v>
                </c:pt>
                <c:pt idx="226">
                  <c:v>21.35</c:v>
                </c:pt>
                <c:pt idx="227">
                  <c:v>27.67</c:v>
                </c:pt>
                <c:pt idx="228">
                  <c:v>21.34</c:v>
                </c:pt>
                <c:pt idx="229">
                  <c:v>33.44</c:v>
                </c:pt>
                <c:pt idx="230">
                  <c:v>27.5</c:v>
                </c:pt>
                <c:pt idx="231">
                  <c:v>55.13</c:v>
                </c:pt>
                <c:pt idx="232">
                  <c:v>36.14</c:v>
                </c:pt>
                <c:pt idx="233">
                  <c:v>57.73</c:v>
                </c:pt>
                <c:pt idx="234">
                  <c:v>30.59</c:v>
                </c:pt>
                <c:pt idx="235">
                  <c:v>19.27</c:v>
                </c:pt>
                <c:pt idx="236">
                  <c:v>31.06</c:v>
                </c:pt>
                <c:pt idx="237">
                  <c:v>26.19</c:v>
                </c:pt>
                <c:pt idx="238">
                  <c:v>20.7</c:v>
                </c:pt>
                <c:pt idx="239">
                  <c:v>16</c:v>
                </c:pt>
                <c:pt idx="240">
                  <c:v>16.989999999999998</c:v>
                </c:pt>
                <c:pt idx="241">
                  <c:v>15.17</c:v>
                </c:pt>
                <c:pt idx="242">
                  <c:v>20.8</c:v>
                </c:pt>
                <c:pt idx="243">
                  <c:v>33.65</c:v>
                </c:pt>
                <c:pt idx="244">
                  <c:v>34.92</c:v>
                </c:pt>
                <c:pt idx="245">
                  <c:v>14.35</c:v>
                </c:pt>
                <c:pt idx="246">
                  <c:v>25.54</c:v>
                </c:pt>
                <c:pt idx="247">
                  <c:v>18</c:v>
                </c:pt>
                <c:pt idx="248">
                  <c:v>32.58</c:v>
                </c:pt>
                <c:pt idx="249">
                  <c:v>24.5</c:v>
                </c:pt>
                <c:pt idx="250">
                  <c:v>37.590000000000003</c:v>
                </c:pt>
                <c:pt idx="251">
                  <c:v>31.54</c:v>
                </c:pt>
                <c:pt idx="252">
                  <c:v>17.86</c:v>
                </c:pt>
                <c:pt idx="253">
                  <c:v>13.48</c:v>
                </c:pt>
                <c:pt idx="254">
                  <c:v>17.22</c:v>
                </c:pt>
                <c:pt idx="255">
                  <c:v>36.950000000000003</c:v>
                </c:pt>
                <c:pt idx="256">
                  <c:v>33.1</c:v>
                </c:pt>
                <c:pt idx="257">
                  <c:v>14.91</c:v>
                </c:pt>
                <c:pt idx="258">
                  <c:v>16.59</c:v>
                </c:pt>
                <c:pt idx="259">
                  <c:v>16.62</c:v>
                </c:pt>
                <c:pt idx="260">
                  <c:v>14.33</c:v>
                </c:pt>
                <c:pt idx="261">
                  <c:v>14.92</c:v>
                </c:pt>
                <c:pt idx="262">
                  <c:v>34.020000000000003</c:v>
                </c:pt>
                <c:pt idx="263">
                  <c:v>16.34</c:v>
                </c:pt>
                <c:pt idx="264">
                  <c:v>23.23</c:v>
                </c:pt>
                <c:pt idx="265">
                  <c:v>26.81</c:v>
                </c:pt>
                <c:pt idx="266">
                  <c:v>26.25</c:v>
                </c:pt>
                <c:pt idx="267">
                  <c:v>24.97</c:v>
                </c:pt>
                <c:pt idx="268">
                  <c:v>19.63</c:v>
                </c:pt>
                <c:pt idx="269">
                  <c:v>19.440000000000001</c:v>
                </c:pt>
                <c:pt idx="270">
                  <c:v>29.55</c:v>
                </c:pt>
                <c:pt idx="271">
                  <c:v>52.7</c:v>
                </c:pt>
                <c:pt idx="272">
                  <c:v>28.9</c:v>
                </c:pt>
                <c:pt idx="273">
                  <c:v>56.31</c:v>
                </c:pt>
                <c:pt idx="274">
                  <c:v>28.5</c:v>
                </c:pt>
                <c:pt idx="275">
                  <c:v>19.739999999999998</c:v>
                </c:pt>
                <c:pt idx="276">
                  <c:v>30.27</c:v>
                </c:pt>
                <c:pt idx="277">
                  <c:v>29.88</c:v>
                </c:pt>
                <c:pt idx="278">
                  <c:v>29.55</c:v>
                </c:pt>
                <c:pt idx="279">
                  <c:v>31.86</c:v>
                </c:pt>
                <c:pt idx="280">
                  <c:v>25.27</c:v>
                </c:pt>
                <c:pt idx="281">
                  <c:v>163.24</c:v>
                </c:pt>
                <c:pt idx="282">
                  <c:v>93.73</c:v>
                </c:pt>
                <c:pt idx="283">
                  <c:v>113.41</c:v>
                </c:pt>
                <c:pt idx="284">
                  <c:v>97.35</c:v>
                </c:pt>
                <c:pt idx="285">
                  <c:v>197.95</c:v>
                </c:pt>
                <c:pt idx="286">
                  <c:v>103.63</c:v>
                </c:pt>
                <c:pt idx="287">
                  <c:v>72.319999999999993</c:v>
                </c:pt>
                <c:pt idx="288">
                  <c:v>57.43</c:v>
                </c:pt>
                <c:pt idx="289">
                  <c:v>55.44</c:v>
                </c:pt>
                <c:pt idx="290">
                  <c:v>52.61</c:v>
                </c:pt>
                <c:pt idx="291">
                  <c:v>42.74</c:v>
                </c:pt>
                <c:pt idx="292">
                  <c:v>33.11</c:v>
                </c:pt>
                <c:pt idx="293">
                  <c:v>58.03</c:v>
                </c:pt>
                <c:pt idx="294">
                  <c:v>30.36</c:v>
                </c:pt>
                <c:pt idx="295">
                  <c:v>25.18</c:v>
                </c:pt>
                <c:pt idx="296">
                  <c:v>31.05</c:v>
                </c:pt>
                <c:pt idx="297">
                  <c:v>34.32</c:v>
                </c:pt>
                <c:pt idx="298">
                  <c:v>51.58</c:v>
                </c:pt>
                <c:pt idx="299">
                  <c:v>22.95</c:v>
                </c:pt>
                <c:pt idx="300">
                  <c:v>5.53</c:v>
                </c:pt>
                <c:pt idx="301">
                  <c:v>31.74</c:v>
                </c:pt>
                <c:pt idx="302">
                  <c:v>50.46</c:v>
                </c:pt>
                <c:pt idx="303">
                  <c:v>26.62</c:v>
                </c:pt>
                <c:pt idx="304">
                  <c:v>29.26</c:v>
                </c:pt>
                <c:pt idx="305">
                  <c:v>20.73</c:v>
                </c:pt>
                <c:pt idx="306">
                  <c:v>18.02</c:v>
                </c:pt>
                <c:pt idx="307">
                  <c:v>55.9</c:v>
                </c:pt>
                <c:pt idx="308">
                  <c:v>48.46</c:v>
                </c:pt>
                <c:pt idx="309">
                  <c:v>47.2</c:v>
                </c:pt>
                <c:pt idx="310">
                  <c:v>40.04</c:v>
                </c:pt>
                <c:pt idx="311">
                  <c:v>27.55</c:v>
                </c:pt>
                <c:pt idx="312">
                  <c:v>20.92</c:v>
                </c:pt>
                <c:pt idx="313">
                  <c:v>15.34</c:v>
                </c:pt>
                <c:pt idx="314">
                  <c:v>51.79</c:v>
                </c:pt>
                <c:pt idx="315">
                  <c:v>42.82</c:v>
                </c:pt>
                <c:pt idx="316">
                  <c:v>35.47</c:v>
                </c:pt>
                <c:pt idx="317">
                  <c:v>28.26</c:v>
                </c:pt>
                <c:pt idx="318">
                  <c:v>21.01</c:v>
                </c:pt>
                <c:pt idx="319">
                  <c:v>20.95</c:v>
                </c:pt>
                <c:pt idx="320">
                  <c:v>17.47</c:v>
                </c:pt>
                <c:pt idx="321">
                  <c:v>21.28</c:v>
                </c:pt>
                <c:pt idx="322">
                  <c:v>20.58</c:v>
                </c:pt>
                <c:pt idx="323">
                  <c:v>16.95</c:v>
                </c:pt>
                <c:pt idx="324">
                  <c:v>14.57</c:v>
                </c:pt>
                <c:pt idx="325">
                  <c:v>21.92</c:v>
                </c:pt>
                <c:pt idx="326">
                  <c:v>17.72</c:v>
                </c:pt>
                <c:pt idx="327">
                  <c:v>16.260000000000002</c:v>
                </c:pt>
                <c:pt idx="328">
                  <c:v>13.58</c:v>
                </c:pt>
                <c:pt idx="329">
                  <c:v>27.34</c:v>
                </c:pt>
                <c:pt idx="330">
                  <c:v>33.01</c:v>
                </c:pt>
                <c:pt idx="331">
                  <c:v>18.84</c:v>
                </c:pt>
                <c:pt idx="332">
                  <c:v>22.73</c:v>
                </c:pt>
                <c:pt idx="333">
                  <c:v>12.12</c:v>
                </c:pt>
                <c:pt idx="334">
                  <c:v>15.49</c:v>
                </c:pt>
                <c:pt idx="335">
                  <c:v>12.56</c:v>
                </c:pt>
                <c:pt idx="336">
                  <c:v>22.86</c:v>
                </c:pt>
                <c:pt idx="337">
                  <c:v>10.26</c:v>
                </c:pt>
                <c:pt idx="338">
                  <c:v>11.92</c:v>
                </c:pt>
                <c:pt idx="339">
                  <c:v>15.54</c:v>
                </c:pt>
                <c:pt idx="340">
                  <c:v>32.75</c:v>
                </c:pt>
                <c:pt idx="341">
                  <c:v>24.1</c:v>
                </c:pt>
                <c:pt idx="342">
                  <c:v>15.42</c:v>
                </c:pt>
                <c:pt idx="343">
                  <c:v>16.559999999999999</c:v>
                </c:pt>
                <c:pt idx="344">
                  <c:v>15.53</c:v>
                </c:pt>
                <c:pt idx="345">
                  <c:v>25.19</c:v>
                </c:pt>
                <c:pt idx="346">
                  <c:v>16.27</c:v>
                </c:pt>
                <c:pt idx="347">
                  <c:v>16.260000000000002</c:v>
                </c:pt>
                <c:pt idx="348">
                  <c:v>27.57</c:v>
                </c:pt>
                <c:pt idx="349">
                  <c:v>12.66</c:v>
                </c:pt>
                <c:pt idx="350">
                  <c:v>27.94</c:v>
                </c:pt>
                <c:pt idx="351">
                  <c:v>19.350000000000001</c:v>
                </c:pt>
                <c:pt idx="352">
                  <c:v>21.8</c:v>
                </c:pt>
                <c:pt idx="353">
                  <c:v>18.36</c:v>
                </c:pt>
                <c:pt idx="354">
                  <c:v>17.95</c:v>
                </c:pt>
                <c:pt idx="355">
                  <c:v>25.23</c:v>
                </c:pt>
                <c:pt idx="356">
                  <c:v>22.57</c:v>
                </c:pt>
                <c:pt idx="357">
                  <c:v>26.68</c:v>
                </c:pt>
                <c:pt idx="358">
                  <c:v>21.78</c:v>
                </c:pt>
                <c:pt idx="359">
                  <c:v>27.31</c:v>
                </c:pt>
                <c:pt idx="360">
                  <c:v>48.03</c:v>
                </c:pt>
                <c:pt idx="361">
                  <c:v>14.31</c:v>
                </c:pt>
                <c:pt idx="362">
                  <c:v>15.25</c:v>
                </c:pt>
                <c:pt idx="363">
                  <c:v>12.66</c:v>
                </c:pt>
                <c:pt idx="364">
                  <c:v>13.39</c:v>
                </c:pt>
                <c:pt idx="365">
                  <c:v>23.38</c:v>
                </c:pt>
                <c:pt idx="366">
                  <c:v>12.43</c:v>
                </c:pt>
                <c:pt idx="367">
                  <c:v>14.54</c:v>
                </c:pt>
                <c:pt idx="368">
                  <c:v>13.53</c:v>
                </c:pt>
                <c:pt idx="369">
                  <c:v>22.16</c:v>
                </c:pt>
                <c:pt idx="370">
                  <c:v>30.62</c:v>
                </c:pt>
                <c:pt idx="371">
                  <c:v>20.18</c:v>
                </c:pt>
                <c:pt idx="372">
                  <c:v>27.94</c:v>
                </c:pt>
                <c:pt idx="373">
                  <c:v>15.48</c:v>
                </c:pt>
                <c:pt idx="374">
                  <c:v>22.59</c:v>
                </c:pt>
                <c:pt idx="375">
                  <c:v>27.96</c:v>
                </c:pt>
                <c:pt idx="376">
                  <c:v>17.7</c:v>
                </c:pt>
                <c:pt idx="377">
                  <c:v>57.27</c:v>
                </c:pt>
                <c:pt idx="378">
                  <c:v>48.88</c:v>
                </c:pt>
                <c:pt idx="379">
                  <c:v>34.479999999999997</c:v>
                </c:pt>
                <c:pt idx="380">
                  <c:v>25.79</c:v>
                </c:pt>
                <c:pt idx="381">
                  <c:v>29.6</c:v>
                </c:pt>
                <c:pt idx="382">
                  <c:v>38.770000000000003</c:v>
                </c:pt>
                <c:pt idx="383">
                  <c:v>44.84</c:v>
                </c:pt>
                <c:pt idx="384">
                  <c:v>55.54</c:v>
                </c:pt>
                <c:pt idx="385">
                  <c:v>48.38</c:v>
                </c:pt>
                <c:pt idx="386">
                  <c:v>59.78</c:v>
                </c:pt>
                <c:pt idx="387">
                  <c:v>51.51</c:v>
                </c:pt>
                <c:pt idx="388">
                  <c:v>40.72</c:v>
                </c:pt>
                <c:pt idx="389">
                  <c:v>47.71</c:v>
                </c:pt>
                <c:pt idx="390">
                  <c:v>27.19</c:v>
                </c:pt>
                <c:pt idx="391">
                  <c:v>26.7</c:v>
                </c:pt>
                <c:pt idx="392">
                  <c:v>18.27</c:v>
                </c:pt>
                <c:pt idx="393">
                  <c:v>30.44</c:v>
                </c:pt>
                <c:pt idx="394">
                  <c:v>25.47</c:v>
                </c:pt>
                <c:pt idx="395">
                  <c:v>17.11</c:v>
                </c:pt>
                <c:pt idx="396">
                  <c:v>15.1</c:v>
                </c:pt>
                <c:pt idx="397">
                  <c:v>16.760000000000002</c:v>
                </c:pt>
                <c:pt idx="398">
                  <c:v>18.71</c:v>
                </c:pt>
                <c:pt idx="399">
                  <c:v>18.149999999999999</c:v>
                </c:pt>
                <c:pt idx="400">
                  <c:v>14.25</c:v>
                </c:pt>
                <c:pt idx="401">
                  <c:v>19.38</c:v>
                </c:pt>
                <c:pt idx="402">
                  <c:v>18.66</c:v>
                </c:pt>
                <c:pt idx="403">
                  <c:v>28.53</c:v>
                </c:pt>
                <c:pt idx="404">
                  <c:v>24.97</c:v>
                </c:pt>
                <c:pt idx="405">
                  <c:v>19.95</c:v>
                </c:pt>
                <c:pt idx="406">
                  <c:v>16.32</c:v>
                </c:pt>
                <c:pt idx="407">
                  <c:v>14.34</c:v>
                </c:pt>
                <c:pt idx="408">
                  <c:v>22.7</c:v>
                </c:pt>
                <c:pt idx="409">
                  <c:v>16.82</c:v>
                </c:pt>
                <c:pt idx="410">
                  <c:v>15.3</c:v>
                </c:pt>
                <c:pt idx="411">
                  <c:v>12.67</c:v>
                </c:pt>
                <c:pt idx="412">
                  <c:v>19.64</c:v>
                </c:pt>
                <c:pt idx="413">
                  <c:v>14.12</c:v>
                </c:pt>
                <c:pt idx="414">
                  <c:v>14.36</c:v>
                </c:pt>
                <c:pt idx="415">
                  <c:v>14.73</c:v>
                </c:pt>
                <c:pt idx="416">
                  <c:v>13.58</c:v>
                </c:pt>
                <c:pt idx="417">
                  <c:v>13.7</c:v>
                </c:pt>
                <c:pt idx="418">
                  <c:v>13.88</c:v>
                </c:pt>
                <c:pt idx="419">
                  <c:v>21.99</c:v>
                </c:pt>
                <c:pt idx="420">
                  <c:v>18.95</c:v>
                </c:pt>
                <c:pt idx="421">
                  <c:v>14.93</c:v>
                </c:pt>
                <c:pt idx="422">
                  <c:v>12.24</c:v>
                </c:pt>
                <c:pt idx="423">
                  <c:v>25.14</c:v>
                </c:pt>
                <c:pt idx="424">
                  <c:v>18.079999999999998</c:v>
                </c:pt>
                <c:pt idx="425">
                  <c:v>16.54</c:v>
                </c:pt>
                <c:pt idx="426">
                  <c:v>29.22</c:v>
                </c:pt>
                <c:pt idx="427">
                  <c:v>33.51</c:v>
                </c:pt>
                <c:pt idx="428">
                  <c:v>71.430000000000007</c:v>
                </c:pt>
                <c:pt idx="429">
                  <c:v>24.94</c:v>
                </c:pt>
                <c:pt idx="430">
                  <c:v>24.65</c:v>
                </c:pt>
                <c:pt idx="431">
                  <c:v>20.49</c:v>
                </c:pt>
                <c:pt idx="432">
                  <c:v>17.71</c:v>
                </c:pt>
                <c:pt idx="433">
                  <c:v>23.5</c:v>
                </c:pt>
                <c:pt idx="434">
                  <c:v>16.350000000000001</c:v>
                </c:pt>
                <c:pt idx="435">
                  <c:v>14.53</c:v>
                </c:pt>
                <c:pt idx="436">
                  <c:v>13.54</c:v>
                </c:pt>
                <c:pt idx="437">
                  <c:v>17.71</c:v>
                </c:pt>
                <c:pt idx="438">
                  <c:v>16.87</c:v>
                </c:pt>
                <c:pt idx="439">
                  <c:v>18.5</c:v>
                </c:pt>
                <c:pt idx="440">
                  <c:v>22.31</c:v>
                </c:pt>
                <c:pt idx="441">
                  <c:v>11.93</c:v>
                </c:pt>
                <c:pt idx="442">
                  <c:v>12.74</c:v>
                </c:pt>
                <c:pt idx="443">
                  <c:v>12.78</c:v>
                </c:pt>
                <c:pt idx="444">
                  <c:v>11.9</c:v>
                </c:pt>
                <c:pt idx="445">
                  <c:v>11.15</c:v>
                </c:pt>
                <c:pt idx="446">
                  <c:v>12.84</c:v>
                </c:pt>
                <c:pt idx="447">
                  <c:v>13.04</c:v>
                </c:pt>
                <c:pt idx="448">
                  <c:v>11.91</c:v>
                </c:pt>
                <c:pt idx="449">
                  <c:v>17.440000000000001</c:v>
                </c:pt>
                <c:pt idx="450">
                  <c:v>19.63</c:v>
                </c:pt>
                <c:pt idx="451">
                  <c:v>15.19</c:v>
                </c:pt>
                <c:pt idx="452">
                  <c:v>22.26</c:v>
                </c:pt>
                <c:pt idx="453">
                  <c:v>24.82</c:v>
                </c:pt>
                <c:pt idx="454">
                  <c:v>17.05</c:v>
                </c:pt>
                <c:pt idx="455">
                  <c:v>14.74</c:v>
                </c:pt>
                <c:pt idx="456">
                  <c:v>12.43</c:v>
                </c:pt>
                <c:pt idx="457">
                  <c:v>26.51</c:v>
                </c:pt>
                <c:pt idx="458">
                  <c:v>14.81</c:v>
                </c:pt>
                <c:pt idx="459">
                  <c:v>12.02</c:v>
                </c:pt>
                <c:pt idx="460">
                  <c:v>13.24</c:v>
                </c:pt>
                <c:pt idx="461">
                  <c:v>13.1</c:v>
                </c:pt>
                <c:pt idx="462">
                  <c:v>20.12</c:v>
                </c:pt>
                <c:pt idx="463">
                  <c:v>14.73</c:v>
                </c:pt>
                <c:pt idx="464">
                  <c:v>11.53</c:v>
                </c:pt>
                <c:pt idx="465">
                  <c:v>16.77</c:v>
                </c:pt>
                <c:pt idx="466">
                  <c:v>12.2</c:v>
                </c:pt>
                <c:pt idx="467">
                  <c:v>17.62</c:v>
                </c:pt>
                <c:pt idx="468">
                  <c:v>23.73</c:v>
                </c:pt>
                <c:pt idx="469">
                  <c:v>12.62</c:v>
                </c:pt>
                <c:pt idx="470">
                  <c:v>9.52</c:v>
                </c:pt>
                <c:pt idx="471">
                  <c:v>10.18</c:v>
                </c:pt>
                <c:pt idx="472">
                  <c:v>10.74</c:v>
                </c:pt>
                <c:pt idx="473">
                  <c:v>15.77</c:v>
                </c:pt>
                <c:pt idx="474">
                  <c:v>21.19</c:v>
                </c:pt>
                <c:pt idx="475">
                  <c:v>11.55</c:v>
                </c:pt>
                <c:pt idx="476">
                  <c:v>17.149999999999999</c:v>
                </c:pt>
                <c:pt idx="477">
                  <c:v>10.93</c:v>
                </c:pt>
                <c:pt idx="478">
                  <c:v>10.34</c:v>
                </c:pt>
                <c:pt idx="479">
                  <c:v>12.51</c:v>
                </c:pt>
                <c:pt idx="480">
                  <c:v>11.56</c:v>
                </c:pt>
                <c:pt idx="481">
                  <c:v>10.08</c:v>
                </c:pt>
                <c:pt idx="482">
                  <c:v>36.380000000000003</c:v>
                </c:pt>
                <c:pt idx="483">
                  <c:v>16</c:v>
                </c:pt>
                <c:pt idx="484">
                  <c:v>43.08</c:v>
                </c:pt>
                <c:pt idx="485">
                  <c:v>19.07</c:v>
                </c:pt>
                <c:pt idx="486">
                  <c:v>19.13</c:v>
                </c:pt>
                <c:pt idx="487">
                  <c:v>18.54</c:v>
                </c:pt>
                <c:pt idx="488">
                  <c:v>11.92</c:v>
                </c:pt>
                <c:pt idx="489">
                  <c:v>10.56</c:v>
                </c:pt>
                <c:pt idx="490">
                  <c:v>13.36</c:v>
                </c:pt>
                <c:pt idx="491">
                  <c:v>12.78</c:v>
                </c:pt>
                <c:pt idx="492">
                  <c:v>13.48</c:v>
                </c:pt>
                <c:pt idx="493">
                  <c:v>16.8</c:v>
                </c:pt>
                <c:pt idx="494">
                  <c:v>15.95</c:v>
                </c:pt>
                <c:pt idx="495">
                  <c:v>12.07</c:v>
                </c:pt>
                <c:pt idx="496">
                  <c:v>16.64</c:v>
                </c:pt>
                <c:pt idx="497">
                  <c:v>15.05</c:v>
                </c:pt>
                <c:pt idx="498">
                  <c:v>17.78</c:v>
                </c:pt>
                <c:pt idx="499">
                  <c:v>12.21</c:v>
                </c:pt>
                <c:pt idx="500">
                  <c:v>11.26</c:v>
                </c:pt>
                <c:pt idx="501">
                  <c:v>11.25</c:v>
                </c:pt>
                <c:pt idx="502">
                  <c:v>11.65</c:v>
                </c:pt>
                <c:pt idx="503">
                  <c:v>14.42</c:v>
                </c:pt>
                <c:pt idx="504">
                  <c:v>13.39</c:v>
                </c:pt>
                <c:pt idx="505">
                  <c:v>10.81</c:v>
                </c:pt>
                <c:pt idx="506">
                  <c:v>9.3800000000000008</c:v>
                </c:pt>
                <c:pt idx="507">
                  <c:v>9.81</c:v>
                </c:pt>
                <c:pt idx="508">
                  <c:v>20.76</c:v>
                </c:pt>
                <c:pt idx="509">
                  <c:v>19.34</c:v>
                </c:pt>
                <c:pt idx="510">
                  <c:v>14.29</c:v>
                </c:pt>
                <c:pt idx="511">
                  <c:v>8.9600000000000009</c:v>
                </c:pt>
                <c:pt idx="512">
                  <c:v>10.66</c:v>
                </c:pt>
                <c:pt idx="513">
                  <c:v>10.36</c:v>
                </c:pt>
                <c:pt idx="514">
                  <c:v>10.36</c:v>
                </c:pt>
                <c:pt idx="515">
                  <c:v>20.99</c:v>
                </c:pt>
                <c:pt idx="516">
                  <c:v>15.24</c:v>
                </c:pt>
                <c:pt idx="517">
                  <c:v>17.559999999999999</c:v>
                </c:pt>
                <c:pt idx="518">
                  <c:v>10.83</c:v>
                </c:pt>
                <c:pt idx="519">
                  <c:v>13.6</c:v>
                </c:pt>
                <c:pt idx="520">
                  <c:v>13.44</c:v>
                </c:pt>
                <c:pt idx="521">
                  <c:v>33.229999999999997</c:v>
                </c:pt>
                <c:pt idx="522">
                  <c:v>21.93</c:v>
                </c:pt>
                <c:pt idx="523">
                  <c:v>18.11</c:v>
                </c:pt>
                <c:pt idx="524">
                  <c:v>20.73</c:v>
                </c:pt>
                <c:pt idx="525">
                  <c:v>20.95</c:v>
                </c:pt>
                <c:pt idx="526">
                  <c:v>20.329999999999998</c:v>
                </c:pt>
                <c:pt idx="527">
                  <c:v>12.76</c:v>
                </c:pt>
                <c:pt idx="528">
                  <c:v>12.77</c:v>
                </c:pt>
                <c:pt idx="529">
                  <c:v>10.67</c:v>
                </c:pt>
                <c:pt idx="530">
                  <c:v>32.909999999999997</c:v>
                </c:pt>
                <c:pt idx="531">
                  <c:v>14.64</c:v>
                </c:pt>
                <c:pt idx="532">
                  <c:v>14.29</c:v>
                </c:pt>
                <c:pt idx="533">
                  <c:v>12.58</c:v>
                </c:pt>
                <c:pt idx="534">
                  <c:v>12.88</c:v>
                </c:pt>
                <c:pt idx="535">
                  <c:v>9.5399999999999991</c:v>
                </c:pt>
                <c:pt idx="536">
                  <c:v>14.22</c:v>
                </c:pt>
                <c:pt idx="537">
                  <c:v>8.65</c:v>
                </c:pt>
                <c:pt idx="538">
                  <c:v>10.75</c:v>
                </c:pt>
                <c:pt idx="539">
                  <c:v>10.28</c:v>
                </c:pt>
                <c:pt idx="540">
                  <c:v>2.87</c:v>
                </c:pt>
                <c:pt idx="541">
                  <c:v>17.98</c:v>
                </c:pt>
                <c:pt idx="542">
                  <c:v>14.61</c:v>
                </c:pt>
                <c:pt idx="543">
                  <c:v>12.49</c:v>
                </c:pt>
                <c:pt idx="544">
                  <c:v>9.93</c:v>
                </c:pt>
                <c:pt idx="545">
                  <c:v>17.32</c:v>
                </c:pt>
                <c:pt idx="546">
                  <c:v>12.43</c:v>
                </c:pt>
                <c:pt idx="547">
                  <c:v>10.99</c:v>
                </c:pt>
                <c:pt idx="548">
                  <c:v>12.28</c:v>
                </c:pt>
                <c:pt idx="549">
                  <c:v>15.06</c:v>
                </c:pt>
                <c:pt idx="550">
                  <c:v>14.47</c:v>
                </c:pt>
                <c:pt idx="551">
                  <c:v>26.25</c:v>
                </c:pt>
                <c:pt idx="552">
                  <c:v>19.3</c:v>
                </c:pt>
                <c:pt idx="553">
                  <c:v>18</c:v>
                </c:pt>
                <c:pt idx="554">
                  <c:v>10.7</c:v>
                </c:pt>
                <c:pt idx="555">
                  <c:v>8.2100000000000009</c:v>
                </c:pt>
                <c:pt idx="556">
                  <c:v>15.62</c:v>
                </c:pt>
                <c:pt idx="557">
                  <c:v>9.85</c:v>
                </c:pt>
                <c:pt idx="558">
                  <c:v>9.5</c:v>
                </c:pt>
                <c:pt idx="559">
                  <c:v>6.41</c:v>
                </c:pt>
                <c:pt idx="560">
                  <c:v>6.57</c:v>
                </c:pt>
                <c:pt idx="561">
                  <c:v>6.77</c:v>
                </c:pt>
                <c:pt idx="562">
                  <c:v>18.760000000000002</c:v>
                </c:pt>
                <c:pt idx="563">
                  <c:v>10.7</c:v>
                </c:pt>
                <c:pt idx="564">
                  <c:v>8.6300000000000008</c:v>
                </c:pt>
                <c:pt idx="565">
                  <c:v>14.73</c:v>
                </c:pt>
                <c:pt idx="566">
                  <c:v>8.91</c:v>
                </c:pt>
                <c:pt idx="567">
                  <c:v>8.35</c:v>
                </c:pt>
                <c:pt idx="568">
                  <c:v>12.86</c:v>
                </c:pt>
                <c:pt idx="569">
                  <c:v>8.4600000000000009</c:v>
                </c:pt>
                <c:pt idx="570">
                  <c:v>12.13</c:v>
                </c:pt>
                <c:pt idx="571">
                  <c:v>9.5399999999999991</c:v>
                </c:pt>
                <c:pt idx="572">
                  <c:v>9.92</c:v>
                </c:pt>
                <c:pt idx="573">
                  <c:v>8.01</c:v>
                </c:pt>
                <c:pt idx="574">
                  <c:v>9.7200000000000006</c:v>
                </c:pt>
                <c:pt idx="575">
                  <c:v>6.31</c:v>
                </c:pt>
                <c:pt idx="576">
                  <c:v>7.54</c:v>
                </c:pt>
                <c:pt idx="577">
                  <c:v>50.95</c:v>
                </c:pt>
                <c:pt idx="578">
                  <c:v>9.81</c:v>
                </c:pt>
                <c:pt idx="579">
                  <c:v>12.34</c:v>
                </c:pt>
                <c:pt idx="580">
                  <c:v>11.61</c:v>
                </c:pt>
                <c:pt idx="581">
                  <c:v>14.91</c:v>
                </c:pt>
                <c:pt idx="582">
                  <c:v>19.899999999999999</c:v>
                </c:pt>
                <c:pt idx="583">
                  <c:v>16.98</c:v>
                </c:pt>
                <c:pt idx="584">
                  <c:v>14.37</c:v>
                </c:pt>
                <c:pt idx="585">
                  <c:v>8.44</c:v>
                </c:pt>
                <c:pt idx="586">
                  <c:v>15.63</c:v>
                </c:pt>
                <c:pt idx="587">
                  <c:v>9.1999999999999993</c:v>
                </c:pt>
                <c:pt idx="588">
                  <c:v>10.5</c:v>
                </c:pt>
                <c:pt idx="589">
                  <c:v>9.43</c:v>
                </c:pt>
                <c:pt idx="590">
                  <c:v>16.12</c:v>
                </c:pt>
                <c:pt idx="591">
                  <c:v>10.44</c:v>
                </c:pt>
                <c:pt idx="592">
                  <c:v>8.7200000000000006</c:v>
                </c:pt>
                <c:pt idx="593">
                  <c:v>14.69</c:v>
                </c:pt>
                <c:pt idx="594">
                  <c:v>54.02</c:v>
                </c:pt>
                <c:pt idx="595">
                  <c:v>22.22</c:v>
                </c:pt>
                <c:pt idx="596">
                  <c:v>12.48</c:v>
                </c:pt>
                <c:pt idx="597">
                  <c:v>10.45</c:v>
                </c:pt>
                <c:pt idx="598">
                  <c:v>11.46</c:v>
                </c:pt>
                <c:pt idx="599">
                  <c:v>12.34</c:v>
                </c:pt>
                <c:pt idx="600">
                  <c:v>13.31</c:v>
                </c:pt>
                <c:pt idx="601">
                  <c:v>13.13</c:v>
                </c:pt>
                <c:pt idx="602">
                  <c:v>23.91</c:v>
                </c:pt>
                <c:pt idx="603">
                  <c:v>13.11</c:v>
                </c:pt>
                <c:pt idx="604">
                  <c:v>30.2</c:v>
                </c:pt>
                <c:pt idx="605">
                  <c:v>22.98</c:v>
                </c:pt>
                <c:pt idx="606">
                  <c:v>63.36</c:v>
                </c:pt>
                <c:pt idx="607">
                  <c:v>18.32</c:v>
                </c:pt>
                <c:pt idx="608">
                  <c:v>25.15</c:v>
                </c:pt>
                <c:pt idx="609">
                  <c:v>23.8</c:v>
                </c:pt>
                <c:pt idx="610">
                  <c:v>11.34</c:v>
                </c:pt>
                <c:pt idx="611">
                  <c:v>13.07</c:v>
                </c:pt>
                <c:pt idx="612">
                  <c:v>6.8</c:v>
                </c:pt>
                <c:pt idx="613">
                  <c:v>9.02</c:v>
                </c:pt>
                <c:pt idx="614">
                  <c:v>8.67</c:v>
                </c:pt>
                <c:pt idx="615">
                  <c:v>7.35</c:v>
                </c:pt>
                <c:pt idx="616">
                  <c:v>14.8</c:v>
                </c:pt>
                <c:pt idx="617">
                  <c:v>8.33</c:v>
                </c:pt>
                <c:pt idx="618">
                  <c:v>8.57</c:v>
                </c:pt>
                <c:pt idx="619">
                  <c:v>9.86</c:v>
                </c:pt>
                <c:pt idx="620">
                  <c:v>7.67</c:v>
                </c:pt>
                <c:pt idx="621">
                  <c:v>6.96</c:v>
                </c:pt>
                <c:pt idx="622">
                  <c:v>9.7200000000000006</c:v>
                </c:pt>
                <c:pt idx="623">
                  <c:v>8.9600000000000009</c:v>
                </c:pt>
                <c:pt idx="624">
                  <c:v>7.21</c:v>
                </c:pt>
                <c:pt idx="625">
                  <c:v>9.2799999999999994</c:v>
                </c:pt>
                <c:pt idx="626">
                  <c:v>7.9</c:v>
                </c:pt>
                <c:pt idx="627">
                  <c:v>10.44</c:v>
                </c:pt>
                <c:pt idx="628">
                  <c:v>9.65</c:v>
                </c:pt>
                <c:pt idx="629">
                  <c:v>7.6</c:v>
                </c:pt>
                <c:pt idx="630">
                  <c:v>5.66</c:v>
                </c:pt>
                <c:pt idx="631">
                  <c:v>8.0299999999999994</c:v>
                </c:pt>
                <c:pt idx="632">
                  <c:v>11.31</c:v>
                </c:pt>
                <c:pt idx="633">
                  <c:v>7.85</c:v>
                </c:pt>
                <c:pt idx="634">
                  <c:v>5.7</c:v>
                </c:pt>
                <c:pt idx="635">
                  <c:v>10.42</c:v>
                </c:pt>
                <c:pt idx="636">
                  <c:v>8.7799999999999994</c:v>
                </c:pt>
                <c:pt idx="637">
                  <c:v>9.19</c:v>
                </c:pt>
                <c:pt idx="638">
                  <c:v>7.68</c:v>
                </c:pt>
                <c:pt idx="639">
                  <c:v>11.85</c:v>
                </c:pt>
                <c:pt idx="640">
                  <c:v>8.66</c:v>
                </c:pt>
                <c:pt idx="641">
                  <c:v>10.08</c:v>
                </c:pt>
                <c:pt idx="642">
                  <c:v>7.39</c:v>
                </c:pt>
                <c:pt idx="643">
                  <c:v>5.73</c:v>
                </c:pt>
                <c:pt idx="644">
                  <c:v>9.82</c:v>
                </c:pt>
                <c:pt idx="645">
                  <c:v>6.88</c:v>
                </c:pt>
                <c:pt idx="646">
                  <c:v>7.43</c:v>
                </c:pt>
                <c:pt idx="647">
                  <c:v>9.5500000000000007</c:v>
                </c:pt>
                <c:pt idx="648">
                  <c:v>10.48</c:v>
                </c:pt>
                <c:pt idx="649">
                  <c:v>11.04</c:v>
                </c:pt>
                <c:pt idx="650">
                  <c:v>6.95</c:v>
                </c:pt>
                <c:pt idx="651">
                  <c:v>8.82</c:v>
                </c:pt>
                <c:pt idx="652">
                  <c:v>10.91</c:v>
                </c:pt>
                <c:pt idx="653">
                  <c:v>50.46</c:v>
                </c:pt>
                <c:pt idx="654">
                  <c:v>14.5</c:v>
                </c:pt>
                <c:pt idx="655">
                  <c:v>13.55</c:v>
                </c:pt>
                <c:pt idx="656">
                  <c:v>12.73</c:v>
                </c:pt>
                <c:pt idx="657">
                  <c:v>10.71</c:v>
                </c:pt>
                <c:pt idx="658">
                  <c:v>16.14</c:v>
                </c:pt>
                <c:pt idx="659">
                  <c:v>7.37</c:v>
                </c:pt>
                <c:pt idx="660">
                  <c:v>14.26</c:v>
                </c:pt>
                <c:pt idx="661">
                  <c:v>8.48</c:v>
                </c:pt>
                <c:pt idx="662">
                  <c:v>8.02</c:v>
                </c:pt>
                <c:pt idx="663">
                  <c:v>6.89</c:v>
                </c:pt>
                <c:pt idx="664">
                  <c:v>7.79</c:v>
                </c:pt>
                <c:pt idx="665">
                  <c:v>7.09</c:v>
                </c:pt>
                <c:pt idx="666">
                  <c:v>9.9499999999999993</c:v>
                </c:pt>
                <c:pt idx="667">
                  <c:v>11.54</c:v>
                </c:pt>
                <c:pt idx="668">
                  <c:v>8.5299999999999994</c:v>
                </c:pt>
                <c:pt idx="669">
                  <c:v>5.65</c:v>
                </c:pt>
                <c:pt idx="670">
                  <c:v>4.83</c:v>
                </c:pt>
                <c:pt idx="671">
                  <c:v>23.52</c:v>
                </c:pt>
                <c:pt idx="672">
                  <c:v>19.82</c:v>
                </c:pt>
                <c:pt idx="673">
                  <c:v>12.48</c:v>
                </c:pt>
                <c:pt idx="674">
                  <c:v>11.45</c:v>
                </c:pt>
                <c:pt idx="675">
                  <c:v>19.77</c:v>
                </c:pt>
                <c:pt idx="676">
                  <c:v>38.270000000000003</c:v>
                </c:pt>
                <c:pt idx="677">
                  <c:v>16.510000000000002</c:v>
                </c:pt>
                <c:pt idx="678">
                  <c:v>13.68</c:v>
                </c:pt>
                <c:pt idx="679">
                  <c:v>12.29</c:v>
                </c:pt>
                <c:pt idx="680">
                  <c:v>19.34</c:v>
                </c:pt>
                <c:pt idx="681">
                  <c:v>9.98</c:v>
                </c:pt>
                <c:pt idx="682">
                  <c:v>12.26</c:v>
                </c:pt>
                <c:pt idx="683">
                  <c:v>7.65</c:v>
                </c:pt>
                <c:pt idx="684">
                  <c:v>11.54</c:v>
                </c:pt>
                <c:pt idx="685">
                  <c:v>8.36</c:v>
                </c:pt>
                <c:pt idx="686">
                  <c:v>6.6</c:v>
                </c:pt>
                <c:pt idx="687">
                  <c:v>5.13</c:v>
                </c:pt>
                <c:pt idx="688">
                  <c:v>12.33</c:v>
                </c:pt>
                <c:pt idx="689">
                  <c:v>12.51</c:v>
                </c:pt>
                <c:pt idx="690">
                  <c:v>12.29</c:v>
                </c:pt>
                <c:pt idx="691">
                  <c:v>15.01</c:v>
                </c:pt>
                <c:pt idx="692">
                  <c:v>15.4</c:v>
                </c:pt>
                <c:pt idx="693">
                  <c:v>20.86</c:v>
                </c:pt>
                <c:pt idx="694">
                  <c:v>21.53</c:v>
                </c:pt>
                <c:pt idx="695">
                  <c:v>9.36</c:v>
                </c:pt>
                <c:pt idx="696">
                  <c:v>7.6</c:v>
                </c:pt>
                <c:pt idx="697">
                  <c:v>12.85</c:v>
                </c:pt>
                <c:pt idx="698">
                  <c:v>12.71</c:v>
                </c:pt>
                <c:pt idx="699">
                  <c:v>12.48</c:v>
                </c:pt>
                <c:pt idx="700">
                  <c:v>8.74</c:v>
                </c:pt>
                <c:pt idx="701">
                  <c:v>6.28</c:v>
                </c:pt>
                <c:pt idx="702">
                  <c:v>18.07</c:v>
                </c:pt>
                <c:pt idx="703">
                  <c:v>9.15</c:v>
                </c:pt>
                <c:pt idx="704">
                  <c:v>11.23</c:v>
                </c:pt>
                <c:pt idx="705">
                  <c:v>9.36</c:v>
                </c:pt>
                <c:pt idx="706">
                  <c:v>6.99</c:v>
                </c:pt>
                <c:pt idx="707">
                  <c:v>9.4</c:v>
                </c:pt>
                <c:pt idx="708">
                  <c:v>16.72</c:v>
                </c:pt>
                <c:pt idx="709">
                  <c:v>12.49</c:v>
                </c:pt>
                <c:pt idx="710">
                  <c:v>11.13</c:v>
                </c:pt>
                <c:pt idx="711">
                  <c:v>6.92</c:v>
                </c:pt>
                <c:pt idx="712">
                  <c:v>8.7200000000000006</c:v>
                </c:pt>
                <c:pt idx="713">
                  <c:v>14.36</c:v>
                </c:pt>
                <c:pt idx="714">
                  <c:v>21.07</c:v>
                </c:pt>
                <c:pt idx="715">
                  <c:v>23.8</c:v>
                </c:pt>
                <c:pt idx="716">
                  <c:v>12.05</c:v>
                </c:pt>
                <c:pt idx="717">
                  <c:v>10.79</c:v>
                </c:pt>
                <c:pt idx="718">
                  <c:v>9.69</c:v>
                </c:pt>
                <c:pt idx="719">
                  <c:v>7.01</c:v>
                </c:pt>
                <c:pt idx="720">
                  <c:v>7.58</c:v>
                </c:pt>
                <c:pt idx="721">
                  <c:v>10.36</c:v>
                </c:pt>
                <c:pt idx="722">
                  <c:v>11.13</c:v>
                </c:pt>
                <c:pt idx="723">
                  <c:v>7.83</c:v>
                </c:pt>
                <c:pt idx="724">
                  <c:v>12.91</c:v>
                </c:pt>
                <c:pt idx="725">
                  <c:v>12.25</c:v>
                </c:pt>
                <c:pt idx="726">
                  <c:v>13.99</c:v>
                </c:pt>
                <c:pt idx="727">
                  <c:v>31.67</c:v>
                </c:pt>
                <c:pt idx="728">
                  <c:v>11.7</c:v>
                </c:pt>
                <c:pt idx="729">
                  <c:v>9.3000000000000007</c:v>
                </c:pt>
                <c:pt idx="730">
                  <c:v>7.5</c:v>
                </c:pt>
                <c:pt idx="731">
                  <c:v>8.92</c:v>
                </c:pt>
                <c:pt idx="732">
                  <c:v>15.76</c:v>
                </c:pt>
                <c:pt idx="733">
                  <c:v>11.46</c:v>
                </c:pt>
                <c:pt idx="734">
                  <c:v>11.81</c:v>
                </c:pt>
                <c:pt idx="735">
                  <c:v>9.89</c:v>
                </c:pt>
                <c:pt idx="736">
                  <c:v>8.86</c:v>
                </c:pt>
                <c:pt idx="737">
                  <c:v>13.36</c:v>
                </c:pt>
                <c:pt idx="738">
                  <c:v>53.12</c:v>
                </c:pt>
                <c:pt idx="739">
                  <c:v>9.35</c:v>
                </c:pt>
                <c:pt idx="740">
                  <c:v>14.49</c:v>
                </c:pt>
                <c:pt idx="741">
                  <c:v>14.56</c:v>
                </c:pt>
                <c:pt idx="742">
                  <c:v>12.12</c:v>
                </c:pt>
                <c:pt idx="743">
                  <c:v>11.19</c:v>
                </c:pt>
                <c:pt idx="744">
                  <c:v>9.58</c:v>
                </c:pt>
                <c:pt idx="745">
                  <c:v>8.5299999999999994</c:v>
                </c:pt>
                <c:pt idx="746">
                  <c:v>8.25</c:v>
                </c:pt>
                <c:pt idx="747">
                  <c:v>7.1</c:v>
                </c:pt>
                <c:pt idx="748">
                  <c:v>16.079999999999998</c:v>
                </c:pt>
                <c:pt idx="749">
                  <c:v>7.48</c:v>
                </c:pt>
                <c:pt idx="750">
                  <c:v>6.96</c:v>
                </c:pt>
                <c:pt idx="751">
                  <c:v>5.68</c:v>
                </c:pt>
                <c:pt idx="752">
                  <c:v>10.54</c:v>
                </c:pt>
                <c:pt idx="753">
                  <c:v>10.3</c:v>
                </c:pt>
                <c:pt idx="754">
                  <c:v>8.39</c:v>
                </c:pt>
                <c:pt idx="755">
                  <c:v>8.56</c:v>
                </c:pt>
                <c:pt idx="756">
                  <c:v>6.52</c:v>
                </c:pt>
                <c:pt idx="757">
                  <c:v>6.52</c:v>
                </c:pt>
                <c:pt idx="758">
                  <c:v>16.190000000000001</c:v>
                </c:pt>
                <c:pt idx="759">
                  <c:v>8.7799999999999994</c:v>
                </c:pt>
                <c:pt idx="760">
                  <c:v>12.54</c:v>
                </c:pt>
                <c:pt idx="761">
                  <c:v>6.99</c:v>
                </c:pt>
                <c:pt idx="762">
                  <c:v>5.72</c:v>
                </c:pt>
                <c:pt idx="763">
                  <c:v>18.920000000000002</c:v>
                </c:pt>
                <c:pt idx="764">
                  <c:v>11.11</c:v>
                </c:pt>
                <c:pt idx="765">
                  <c:v>11.78</c:v>
                </c:pt>
                <c:pt idx="766">
                  <c:v>9.27</c:v>
                </c:pt>
                <c:pt idx="767">
                  <c:v>6.55</c:v>
                </c:pt>
                <c:pt idx="768">
                  <c:v>6.39</c:v>
                </c:pt>
                <c:pt idx="769">
                  <c:v>6.27</c:v>
                </c:pt>
                <c:pt idx="770">
                  <c:v>5.96</c:v>
                </c:pt>
                <c:pt idx="771">
                  <c:v>6.77</c:v>
                </c:pt>
                <c:pt idx="772">
                  <c:v>8.9700000000000006</c:v>
                </c:pt>
                <c:pt idx="773">
                  <c:v>6.89</c:v>
                </c:pt>
                <c:pt idx="774">
                  <c:v>7.61</c:v>
                </c:pt>
                <c:pt idx="775">
                  <c:v>7.89</c:v>
                </c:pt>
                <c:pt idx="776">
                  <c:v>7.92</c:v>
                </c:pt>
                <c:pt idx="777">
                  <c:v>6.38</c:v>
                </c:pt>
                <c:pt idx="778">
                  <c:v>9.83</c:v>
                </c:pt>
                <c:pt idx="779">
                  <c:v>7.7</c:v>
                </c:pt>
                <c:pt idx="780">
                  <c:v>5.93</c:v>
                </c:pt>
                <c:pt idx="781">
                  <c:v>28.01</c:v>
                </c:pt>
                <c:pt idx="782">
                  <c:v>20.010000000000002</c:v>
                </c:pt>
                <c:pt idx="783">
                  <c:v>10.26</c:v>
                </c:pt>
                <c:pt idx="784">
                  <c:v>14.91</c:v>
                </c:pt>
                <c:pt idx="785">
                  <c:v>10.63</c:v>
                </c:pt>
                <c:pt idx="786">
                  <c:v>11.76</c:v>
                </c:pt>
                <c:pt idx="787">
                  <c:v>8.56</c:v>
                </c:pt>
                <c:pt idx="788">
                  <c:v>8.23</c:v>
                </c:pt>
                <c:pt idx="789">
                  <c:v>8.89</c:v>
                </c:pt>
                <c:pt idx="790">
                  <c:v>10.23</c:v>
                </c:pt>
                <c:pt idx="791">
                  <c:v>12.79</c:v>
                </c:pt>
                <c:pt idx="792">
                  <c:v>11.4</c:v>
                </c:pt>
                <c:pt idx="793">
                  <c:v>8.7899999999999991</c:v>
                </c:pt>
                <c:pt idx="794">
                  <c:v>9.93</c:v>
                </c:pt>
                <c:pt idx="795">
                  <c:v>23.09</c:v>
                </c:pt>
                <c:pt idx="796">
                  <c:v>10.8</c:v>
                </c:pt>
                <c:pt idx="797">
                  <c:v>6.59</c:v>
                </c:pt>
                <c:pt idx="798">
                  <c:v>6.55</c:v>
                </c:pt>
                <c:pt idx="799">
                  <c:v>10.16</c:v>
                </c:pt>
                <c:pt idx="800">
                  <c:v>6.43</c:v>
                </c:pt>
                <c:pt idx="801">
                  <c:v>2.2400000000000002</c:v>
                </c:pt>
                <c:pt idx="802">
                  <c:v>3.28</c:v>
                </c:pt>
                <c:pt idx="803">
                  <c:v>11.32</c:v>
                </c:pt>
                <c:pt idx="804">
                  <c:v>17.5</c:v>
                </c:pt>
                <c:pt idx="805">
                  <c:v>9.56</c:v>
                </c:pt>
                <c:pt idx="806">
                  <c:v>8.32</c:v>
                </c:pt>
                <c:pt idx="807">
                  <c:v>7.29</c:v>
                </c:pt>
                <c:pt idx="808">
                  <c:v>9.2799999999999994</c:v>
                </c:pt>
                <c:pt idx="809">
                  <c:v>5.89</c:v>
                </c:pt>
                <c:pt idx="810">
                  <c:v>6.95</c:v>
                </c:pt>
                <c:pt idx="811">
                  <c:v>16.02</c:v>
                </c:pt>
                <c:pt idx="812">
                  <c:v>16.12</c:v>
                </c:pt>
                <c:pt idx="813">
                  <c:v>24.28</c:v>
                </c:pt>
                <c:pt idx="814">
                  <c:v>10.57</c:v>
                </c:pt>
                <c:pt idx="815">
                  <c:v>9.35</c:v>
                </c:pt>
                <c:pt idx="816">
                  <c:v>9.6</c:v>
                </c:pt>
                <c:pt idx="817">
                  <c:v>12.15</c:v>
                </c:pt>
                <c:pt idx="818">
                  <c:v>10.45</c:v>
                </c:pt>
                <c:pt idx="819">
                  <c:v>8.56</c:v>
                </c:pt>
                <c:pt idx="820">
                  <c:v>6.4</c:v>
                </c:pt>
                <c:pt idx="821">
                  <c:v>6.46</c:v>
                </c:pt>
                <c:pt idx="822">
                  <c:v>5.81</c:v>
                </c:pt>
                <c:pt idx="823">
                  <c:v>6.73</c:v>
                </c:pt>
                <c:pt idx="824">
                  <c:v>12.08</c:v>
                </c:pt>
                <c:pt idx="825">
                  <c:v>5.45</c:v>
                </c:pt>
                <c:pt idx="826">
                  <c:v>4.51</c:v>
                </c:pt>
                <c:pt idx="827">
                  <c:v>8.11</c:v>
                </c:pt>
                <c:pt idx="828">
                  <c:v>7.7</c:v>
                </c:pt>
                <c:pt idx="829">
                  <c:v>12.06</c:v>
                </c:pt>
                <c:pt idx="830">
                  <c:v>7.23</c:v>
                </c:pt>
                <c:pt idx="831">
                  <c:v>15.05</c:v>
                </c:pt>
                <c:pt idx="832">
                  <c:v>14.91</c:v>
                </c:pt>
                <c:pt idx="833">
                  <c:v>41.17</c:v>
                </c:pt>
                <c:pt idx="834">
                  <c:v>12.57</c:v>
                </c:pt>
                <c:pt idx="835">
                  <c:v>13.79</c:v>
                </c:pt>
                <c:pt idx="836">
                  <c:v>8.56</c:v>
                </c:pt>
                <c:pt idx="837">
                  <c:v>14.3</c:v>
                </c:pt>
                <c:pt idx="838">
                  <c:v>11.09</c:v>
                </c:pt>
                <c:pt idx="839">
                  <c:v>7.67</c:v>
                </c:pt>
                <c:pt idx="840">
                  <c:v>12.87</c:v>
                </c:pt>
                <c:pt idx="841">
                  <c:v>9.98</c:v>
                </c:pt>
                <c:pt idx="842">
                  <c:v>11.08</c:v>
                </c:pt>
                <c:pt idx="843">
                  <c:v>7.66</c:v>
                </c:pt>
                <c:pt idx="844">
                  <c:v>4.84</c:v>
                </c:pt>
                <c:pt idx="845">
                  <c:v>10.16</c:v>
                </c:pt>
                <c:pt idx="846">
                  <c:v>7.9</c:v>
                </c:pt>
                <c:pt idx="847">
                  <c:v>11.5</c:v>
                </c:pt>
                <c:pt idx="848">
                  <c:v>5.71</c:v>
                </c:pt>
                <c:pt idx="849">
                  <c:v>2.84</c:v>
                </c:pt>
                <c:pt idx="850">
                  <c:v>9.44</c:v>
                </c:pt>
                <c:pt idx="851">
                  <c:v>7.22</c:v>
                </c:pt>
                <c:pt idx="852">
                  <c:v>10.11</c:v>
                </c:pt>
                <c:pt idx="853">
                  <c:v>12.82</c:v>
                </c:pt>
                <c:pt idx="854">
                  <c:v>19.73</c:v>
                </c:pt>
                <c:pt idx="855">
                  <c:v>24.56</c:v>
                </c:pt>
                <c:pt idx="856">
                  <c:v>14.51</c:v>
                </c:pt>
                <c:pt idx="857">
                  <c:v>13</c:v>
                </c:pt>
                <c:pt idx="858">
                  <c:v>38.69</c:v>
                </c:pt>
                <c:pt idx="859">
                  <c:v>12.71</c:v>
                </c:pt>
                <c:pt idx="860">
                  <c:v>7.91</c:v>
                </c:pt>
                <c:pt idx="861">
                  <c:v>11.58</c:v>
                </c:pt>
                <c:pt idx="862">
                  <c:v>7.9</c:v>
                </c:pt>
                <c:pt idx="863">
                  <c:v>7.29</c:v>
                </c:pt>
                <c:pt idx="864">
                  <c:v>8.57</c:v>
                </c:pt>
                <c:pt idx="865">
                  <c:v>6.57</c:v>
                </c:pt>
                <c:pt idx="866">
                  <c:v>6.43</c:v>
                </c:pt>
                <c:pt idx="867">
                  <c:v>12.83</c:v>
                </c:pt>
                <c:pt idx="868">
                  <c:v>4.63</c:v>
                </c:pt>
                <c:pt idx="869">
                  <c:v>4.7300000000000004</c:v>
                </c:pt>
                <c:pt idx="870">
                  <c:v>6.01</c:v>
                </c:pt>
                <c:pt idx="871">
                  <c:v>6.44</c:v>
                </c:pt>
                <c:pt idx="872">
                  <c:v>7.05</c:v>
                </c:pt>
                <c:pt idx="873">
                  <c:v>5.6</c:v>
                </c:pt>
                <c:pt idx="874">
                  <c:v>12.81</c:v>
                </c:pt>
                <c:pt idx="875">
                  <c:v>15.22</c:v>
                </c:pt>
                <c:pt idx="876">
                  <c:v>10.35</c:v>
                </c:pt>
                <c:pt idx="877">
                  <c:v>10.65</c:v>
                </c:pt>
                <c:pt idx="878">
                  <c:v>1.78</c:v>
                </c:pt>
                <c:pt idx="879">
                  <c:v>6.08</c:v>
                </c:pt>
                <c:pt idx="880">
                  <c:v>59.81</c:v>
                </c:pt>
                <c:pt idx="881">
                  <c:v>14.21</c:v>
                </c:pt>
                <c:pt idx="882">
                  <c:v>16.88</c:v>
                </c:pt>
                <c:pt idx="883">
                  <c:v>7.5</c:v>
                </c:pt>
                <c:pt idx="884">
                  <c:v>8.76</c:v>
                </c:pt>
                <c:pt idx="885">
                  <c:v>16.559999999999999</c:v>
                </c:pt>
                <c:pt idx="886">
                  <c:v>22.93</c:v>
                </c:pt>
                <c:pt idx="887">
                  <c:v>23.39</c:v>
                </c:pt>
                <c:pt idx="888">
                  <c:v>12.12</c:v>
                </c:pt>
                <c:pt idx="889">
                  <c:v>9.48</c:v>
                </c:pt>
                <c:pt idx="890">
                  <c:v>13.9</c:v>
                </c:pt>
                <c:pt idx="891">
                  <c:v>11.07</c:v>
                </c:pt>
                <c:pt idx="892">
                  <c:v>13.64</c:v>
                </c:pt>
                <c:pt idx="893">
                  <c:v>9.4600000000000009</c:v>
                </c:pt>
                <c:pt idx="894">
                  <c:v>6.64</c:v>
                </c:pt>
                <c:pt idx="895">
                  <c:v>9.86</c:v>
                </c:pt>
                <c:pt idx="896">
                  <c:v>8.6300000000000008</c:v>
                </c:pt>
                <c:pt idx="897">
                  <c:v>8</c:v>
                </c:pt>
                <c:pt idx="898">
                  <c:v>8.0399999999999991</c:v>
                </c:pt>
                <c:pt idx="899">
                  <c:v>9.14</c:v>
                </c:pt>
                <c:pt idx="900">
                  <c:v>4.5199999999999996</c:v>
                </c:pt>
                <c:pt idx="901">
                  <c:v>5.19</c:v>
                </c:pt>
                <c:pt idx="902">
                  <c:v>8.5399999999999991</c:v>
                </c:pt>
                <c:pt idx="903">
                  <c:v>4.55</c:v>
                </c:pt>
                <c:pt idx="904">
                  <c:v>11.58</c:v>
                </c:pt>
                <c:pt idx="905">
                  <c:v>12.63</c:v>
                </c:pt>
                <c:pt idx="906">
                  <c:v>9.57</c:v>
                </c:pt>
                <c:pt idx="907">
                  <c:v>13.54</c:v>
                </c:pt>
                <c:pt idx="908">
                  <c:v>15.38</c:v>
                </c:pt>
                <c:pt idx="909">
                  <c:v>7.19</c:v>
                </c:pt>
                <c:pt idx="910">
                  <c:v>7.99</c:v>
                </c:pt>
                <c:pt idx="911">
                  <c:v>4.67</c:v>
                </c:pt>
                <c:pt idx="912">
                  <c:v>8.3699999999999992</c:v>
                </c:pt>
                <c:pt idx="913">
                  <c:v>7.94</c:v>
                </c:pt>
                <c:pt idx="914">
                  <c:v>4.76</c:v>
                </c:pt>
                <c:pt idx="915">
                  <c:v>9.0500000000000007</c:v>
                </c:pt>
                <c:pt idx="916">
                  <c:v>12.7</c:v>
                </c:pt>
                <c:pt idx="917">
                  <c:v>11.87</c:v>
                </c:pt>
                <c:pt idx="918">
                  <c:v>5.72</c:v>
                </c:pt>
                <c:pt idx="919">
                  <c:v>8.8800000000000008</c:v>
                </c:pt>
                <c:pt idx="920">
                  <c:v>7.52</c:v>
                </c:pt>
                <c:pt idx="921">
                  <c:v>19.190000000000001</c:v>
                </c:pt>
                <c:pt idx="922">
                  <c:v>13.38</c:v>
                </c:pt>
                <c:pt idx="923">
                  <c:v>58.97</c:v>
                </c:pt>
                <c:pt idx="924">
                  <c:v>16.329999999999998</c:v>
                </c:pt>
                <c:pt idx="925">
                  <c:v>19.670000000000002</c:v>
                </c:pt>
                <c:pt idx="926">
                  <c:v>31.24</c:v>
                </c:pt>
                <c:pt idx="927">
                  <c:v>13.21</c:v>
                </c:pt>
                <c:pt idx="928">
                  <c:v>1.93</c:v>
                </c:pt>
                <c:pt idx="929">
                  <c:v>10.06</c:v>
                </c:pt>
                <c:pt idx="930">
                  <c:v>9.5</c:v>
                </c:pt>
                <c:pt idx="931">
                  <c:v>11.21</c:v>
                </c:pt>
                <c:pt idx="932">
                  <c:v>9.59</c:v>
                </c:pt>
                <c:pt idx="933">
                  <c:v>6.92</c:v>
                </c:pt>
                <c:pt idx="934">
                  <c:v>6.62</c:v>
                </c:pt>
                <c:pt idx="935">
                  <c:v>8.18</c:v>
                </c:pt>
                <c:pt idx="936">
                  <c:v>10.17</c:v>
                </c:pt>
                <c:pt idx="937">
                  <c:v>14.29</c:v>
                </c:pt>
                <c:pt idx="938">
                  <c:v>12.31</c:v>
                </c:pt>
                <c:pt idx="939">
                  <c:v>26.55</c:v>
                </c:pt>
                <c:pt idx="940">
                  <c:v>13.75</c:v>
                </c:pt>
                <c:pt idx="941">
                  <c:v>11.79</c:v>
                </c:pt>
                <c:pt idx="942">
                  <c:v>15.58</c:v>
                </c:pt>
                <c:pt idx="943">
                  <c:v>9.26</c:v>
                </c:pt>
                <c:pt idx="944">
                  <c:v>14.83</c:v>
                </c:pt>
                <c:pt idx="945">
                  <c:v>17.53</c:v>
                </c:pt>
                <c:pt idx="946">
                  <c:v>12.16</c:v>
                </c:pt>
                <c:pt idx="947">
                  <c:v>11.59</c:v>
                </c:pt>
                <c:pt idx="948">
                  <c:v>9.85</c:v>
                </c:pt>
                <c:pt idx="949">
                  <c:v>7.61</c:v>
                </c:pt>
                <c:pt idx="950">
                  <c:v>7.3</c:v>
                </c:pt>
                <c:pt idx="951">
                  <c:v>14.3</c:v>
                </c:pt>
                <c:pt idx="952">
                  <c:v>6.66</c:v>
                </c:pt>
                <c:pt idx="953">
                  <c:v>7.3</c:v>
                </c:pt>
                <c:pt idx="954">
                  <c:v>6.91</c:v>
                </c:pt>
                <c:pt idx="955">
                  <c:v>19.39</c:v>
                </c:pt>
                <c:pt idx="956">
                  <c:v>23.03</c:v>
                </c:pt>
                <c:pt idx="957">
                  <c:v>14.01</c:v>
                </c:pt>
                <c:pt idx="958">
                  <c:v>12.28</c:v>
                </c:pt>
                <c:pt idx="959">
                  <c:v>7.35</c:v>
                </c:pt>
                <c:pt idx="960">
                  <c:v>12.14</c:v>
                </c:pt>
                <c:pt idx="961">
                  <c:v>9.0500000000000007</c:v>
                </c:pt>
                <c:pt idx="962">
                  <c:v>13.31</c:v>
                </c:pt>
                <c:pt idx="963">
                  <c:v>10.95</c:v>
                </c:pt>
                <c:pt idx="964">
                  <c:v>13.41</c:v>
                </c:pt>
                <c:pt idx="965">
                  <c:v>11.98</c:v>
                </c:pt>
                <c:pt idx="966">
                  <c:v>7.34</c:v>
                </c:pt>
                <c:pt idx="967">
                  <c:v>5.85</c:v>
                </c:pt>
                <c:pt idx="968">
                  <c:v>4.82</c:v>
                </c:pt>
                <c:pt idx="969">
                  <c:v>8.01</c:v>
                </c:pt>
                <c:pt idx="970">
                  <c:v>7.4</c:v>
                </c:pt>
                <c:pt idx="971">
                  <c:v>7.4</c:v>
                </c:pt>
                <c:pt idx="972">
                  <c:v>10.38</c:v>
                </c:pt>
                <c:pt idx="973">
                  <c:v>11.47</c:v>
                </c:pt>
                <c:pt idx="974">
                  <c:v>32.770000000000003</c:v>
                </c:pt>
                <c:pt idx="975">
                  <c:v>21.23</c:v>
                </c:pt>
                <c:pt idx="976">
                  <c:v>11.85</c:v>
                </c:pt>
                <c:pt idx="977">
                  <c:v>28.59</c:v>
                </c:pt>
                <c:pt idx="978">
                  <c:v>10.86</c:v>
                </c:pt>
                <c:pt idx="979">
                  <c:v>14.38</c:v>
                </c:pt>
                <c:pt idx="980">
                  <c:v>21.97</c:v>
                </c:pt>
                <c:pt idx="981">
                  <c:v>26.65</c:v>
                </c:pt>
                <c:pt idx="982">
                  <c:v>16.73</c:v>
                </c:pt>
                <c:pt idx="983">
                  <c:v>9.98</c:v>
                </c:pt>
                <c:pt idx="984">
                  <c:v>19.53</c:v>
                </c:pt>
                <c:pt idx="985">
                  <c:v>15.44</c:v>
                </c:pt>
                <c:pt idx="986">
                  <c:v>11.31</c:v>
                </c:pt>
                <c:pt idx="987">
                  <c:v>7.51</c:v>
                </c:pt>
                <c:pt idx="988">
                  <c:v>8.2100000000000009</c:v>
                </c:pt>
                <c:pt idx="989">
                  <c:v>11.44</c:v>
                </c:pt>
                <c:pt idx="990">
                  <c:v>6.91</c:v>
                </c:pt>
                <c:pt idx="991">
                  <c:v>5.63</c:v>
                </c:pt>
                <c:pt idx="992">
                  <c:v>4.87</c:v>
                </c:pt>
                <c:pt idx="993">
                  <c:v>9.3800000000000008</c:v>
                </c:pt>
                <c:pt idx="994">
                  <c:v>10.18</c:v>
                </c:pt>
                <c:pt idx="995">
                  <c:v>9.42</c:v>
                </c:pt>
                <c:pt idx="996">
                  <c:v>8.81</c:v>
                </c:pt>
                <c:pt idx="997">
                  <c:v>8.15</c:v>
                </c:pt>
                <c:pt idx="998">
                  <c:v>40.659999999999997</c:v>
                </c:pt>
                <c:pt idx="999">
                  <c:v>17.649999999999999</c:v>
                </c:pt>
                <c:pt idx="1000">
                  <c:v>8.1199999999999992</c:v>
                </c:pt>
                <c:pt idx="1001">
                  <c:v>5.09</c:v>
                </c:pt>
                <c:pt idx="1002">
                  <c:v>4.67</c:v>
                </c:pt>
                <c:pt idx="1003">
                  <c:v>7.9</c:v>
                </c:pt>
                <c:pt idx="1004">
                  <c:v>8.7200000000000006</c:v>
                </c:pt>
                <c:pt idx="1005">
                  <c:v>7.21</c:v>
                </c:pt>
                <c:pt idx="1006">
                  <c:v>6.92</c:v>
                </c:pt>
                <c:pt idx="1007">
                  <c:v>36.14</c:v>
                </c:pt>
                <c:pt idx="1008">
                  <c:v>25.68</c:v>
                </c:pt>
                <c:pt idx="1009">
                  <c:v>13.2</c:v>
                </c:pt>
                <c:pt idx="1010">
                  <c:v>5.84</c:v>
                </c:pt>
                <c:pt idx="1011">
                  <c:v>44.52</c:v>
                </c:pt>
                <c:pt idx="1012">
                  <c:v>12.04</c:v>
                </c:pt>
                <c:pt idx="1013">
                  <c:v>13.47</c:v>
                </c:pt>
                <c:pt idx="1014">
                  <c:v>16.760000000000002</c:v>
                </c:pt>
                <c:pt idx="1015">
                  <c:v>10.25</c:v>
                </c:pt>
                <c:pt idx="1016">
                  <c:v>12.76</c:v>
                </c:pt>
                <c:pt idx="1017">
                  <c:v>12.96</c:v>
                </c:pt>
                <c:pt idx="1018">
                  <c:v>21.64</c:v>
                </c:pt>
                <c:pt idx="1019">
                  <c:v>10.36</c:v>
                </c:pt>
                <c:pt idx="1020">
                  <c:v>12.23</c:v>
                </c:pt>
                <c:pt idx="1021">
                  <c:v>10.09</c:v>
                </c:pt>
                <c:pt idx="1022">
                  <c:v>24.42</c:v>
                </c:pt>
                <c:pt idx="1023">
                  <c:v>19.190000000000001</c:v>
                </c:pt>
                <c:pt idx="1024">
                  <c:v>11.77</c:v>
                </c:pt>
                <c:pt idx="1025">
                  <c:v>21.18</c:v>
                </c:pt>
                <c:pt idx="1026">
                  <c:v>11.56</c:v>
                </c:pt>
                <c:pt idx="1027">
                  <c:v>13.25</c:v>
                </c:pt>
                <c:pt idx="1028">
                  <c:v>4.46</c:v>
                </c:pt>
                <c:pt idx="1029">
                  <c:v>5.74</c:v>
                </c:pt>
                <c:pt idx="1030">
                  <c:v>9.06</c:v>
                </c:pt>
                <c:pt idx="1031">
                  <c:v>10.3</c:v>
                </c:pt>
                <c:pt idx="1032">
                  <c:v>13.86</c:v>
                </c:pt>
                <c:pt idx="1033">
                  <c:v>11.53</c:v>
                </c:pt>
                <c:pt idx="1034">
                  <c:v>7.39</c:v>
                </c:pt>
                <c:pt idx="1035">
                  <c:v>13.62</c:v>
                </c:pt>
                <c:pt idx="1036">
                  <c:v>10.55</c:v>
                </c:pt>
                <c:pt idx="1037">
                  <c:v>7.23</c:v>
                </c:pt>
                <c:pt idx="1038">
                  <c:v>10.87</c:v>
                </c:pt>
                <c:pt idx="1039">
                  <c:v>7.11</c:v>
                </c:pt>
                <c:pt idx="1040">
                  <c:v>26.82</c:v>
                </c:pt>
                <c:pt idx="1041">
                  <c:v>12.93</c:v>
                </c:pt>
                <c:pt idx="1042">
                  <c:v>11.9</c:v>
                </c:pt>
                <c:pt idx="1043">
                  <c:v>2.9</c:v>
                </c:pt>
                <c:pt idx="1044">
                  <c:v>15.51</c:v>
                </c:pt>
                <c:pt idx="1045">
                  <c:v>10.220000000000001</c:v>
                </c:pt>
                <c:pt idx="1046">
                  <c:v>10.58</c:v>
                </c:pt>
                <c:pt idx="1047">
                  <c:v>13.24</c:v>
                </c:pt>
                <c:pt idx="1048">
                  <c:v>16.07</c:v>
                </c:pt>
                <c:pt idx="1049">
                  <c:v>27.59</c:v>
                </c:pt>
                <c:pt idx="1050">
                  <c:v>16.53</c:v>
                </c:pt>
                <c:pt idx="1051">
                  <c:v>14.67</c:v>
                </c:pt>
                <c:pt idx="1052">
                  <c:v>11.74</c:v>
                </c:pt>
                <c:pt idx="1053">
                  <c:v>17.05</c:v>
                </c:pt>
                <c:pt idx="1054">
                  <c:v>14.01</c:v>
                </c:pt>
                <c:pt idx="1055">
                  <c:v>14.19</c:v>
                </c:pt>
                <c:pt idx="1056">
                  <c:v>14.54</c:v>
                </c:pt>
                <c:pt idx="1057">
                  <c:v>15.19</c:v>
                </c:pt>
                <c:pt idx="1058">
                  <c:v>10.31</c:v>
                </c:pt>
                <c:pt idx="1059">
                  <c:v>10.01</c:v>
                </c:pt>
                <c:pt idx="1060">
                  <c:v>10.94</c:v>
                </c:pt>
                <c:pt idx="1061">
                  <c:v>10.36</c:v>
                </c:pt>
                <c:pt idx="1062">
                  <c:v>8.43</c:v>
                </c:pt>
                <c:pt idx="1063">
                  <c:v>9.8699999999999992</c:v>
                </c:pt>
                <c:pt idx="1064">
                  <c:v>12.39</c:v>
                </c:pt>
                <c:pt idx="1065">
                  <c:v>12.17</c:v>
                </c:pt>
                <c:pt idx="1066">
                  <c:v>19.72</c:v>
                </c:pt>
                <c:pt idx="1067">
                  <c:v>15.57</c:v>
                </c:pt>
                <c:pt idx="1068">
                  <c:v>13.11</c:v>
                </c:pt>
                <c:pt idx="1069">
                  <c:v>7.76</c:v>
                </c:pt>
                <c:pt idx="1070">
                  <c:v>10.6</c:v>
                </c:pt>
                <c:pt idx="1071">
                  <c:v>14.1</c:v>
                </c:pt>
                <c:pt idx="1072">
                  <c:v>10.02</c:v>
                </c:pt>
                <c:pt idx="1073">
                  <c:v>10.27</c:v>
                </c:pt>
                <c:pt idx="1074">
                  <c:v>19.09</c:v>
                </c:pt>
                <c:pt idx="1075">
                  <c:v>17.12</c:v>
                </c:pt>
                <c:pt idx="1076">
                  <c:v>17.96</c:v>
                </c:pt>
                <c:pt idx="1077">
                  <c:v>9.65</c:v>
                </c:pt>
                <c:pt idx="1078">
                  <c:v>12.55</c:v>
                </c:pt>
                <c:pt idx="1079">
                  <c:v>9.34</c:v>
                </c:pt>
                <c:pt idx="1080">
                  <c:v>15.84</c:v>
                </c:pt>
                <c:pt idx="1081">
                  <c:v>17.440000000000001</c:v>
                </c:pt>
                <c:pt idx="1082">
                  <c:v>7.09</c:v>
                </c:pt>
                <c:pt idx="1083">
                  <c:v>7.79</c:v>
                </c:pt>
                <c:pt idx="1084">
                  <c:v>15.29</c:v>
                </c:pt>
                <c:pt idx="1085">
                  <c:v>24.77</c:v>
                </c:pt>
                <c:pt idx="1086">
                  <c:v>16.95</c:v>
                </c:pt>
                <c:pt idx="1087">
                  <c:v>15.55</c:v>
                </c:pt>
                <c:pt idx="1088">
                  <c:v>11.86</c:v>
                </c:pt>
                <c:pt idx="1089">
                  <c:v>17.95</c:v>
                </c:pt>
                <c:pt idx="1090">
                  <c:v>11.14</c:v>
                </c:pt>
                <c:pt idx="1091">
                  <c:v>12.23</c:v>
                </c:pt>
                <c:pt idx="1092">
                  <c:v>11.38</c:v>
                </c:pt>
                <c:pt idx="1093">
                  <c:v>10.5</c:v>
                </c:pt>
                <c:pt idx="1094">
                  <c:v>8.68</c:v>
                </c:pt>
                <c:pt idx="1095">
                  <c:v>7.01</c:v>
                </c:pt>
                <c:pt idx="1096">
                  <c:v>9.9600000000000009</c:v>
                </c:pt>
                <c:pt idx="1097">
                  <c:v>11.66</c:v>
                </c:pt>
                <c:pt idx="1098">
                  <c:v>12.42</c:v>
                </c:pt>
                <c:pt idx="1099">
                  <c:v>7.92</c:v>
                </c:pt>
                <c:pt idx="1100">
                  <c:v>9.51</c:v>
                </c:pt>
                <c:pt idx="1101">
                  <c:v>14.12</c:v>
                </c:pt>
                <c:pt idx="1102">
                  <c:v>16.100000000000001</c:v>
                </c:pt>
                <c:pt idx="1103">
                  <c:v>12.46</c:v>
                </c:pt>
                <c:pt idx="1104">
                  <c:v>59.39</c:v>
                </c:pt>
                <c:pt idx="1105">
                  <c:v>19.16</c:v>
                </c:pt>
                <c:pt idx="1106">
                  <c:v>14.09</c:v>
                </c:pt>
                <c:pt idx="1107">
                  <c:v>17.809999999999999</c:v>
                </c:pt>
                <c:pt idx="1108">
                  <c:v>16.79</c:v>
                </c:pt>
                <c:pt idx="1109">
                  <c:v>12.91</c:v>
                </c:pt>
                <c:pt idx="1110">
                  <c:v>10.02</c:v>
                </c:pt>
                <c:pt idx="1111">
                  <c:v>12.26</c:v>
                </c:pt>
                <c:pt idx="1112">
                  <c:v>10.98</c:v>
                </c:pt>
                <c:pt idx="1113">
                  <c:v>11.94</c:v>
                </c:pt>
                <c:pt idx="1114">
                  <c:v>12.31</c:v>
                </c:pt>
                <c:pt idx="1115">
                  <c:v>8.49</c:v>
                </c:pt>
                <c:pt idx="1116">
                  <c:v>9.9700000000000006</c:v>
                </c:pt>
                <c:pt idx="1117">
                  <c:v>10.31</c:v>
                </c:pt>
                <c:pt idx="1118">
                  <c:v>7.81</c:v>
                </c:pt>
                <c:pt idx="1119">
                  <c:v>9.99</c:v>
                </c:pt>
                <c:pt idx="1120">
                  <c:v>8.67</c:v>
                </c:pt>
                <c:pt idx="1121">
                  <c:v>14.58</c:v>
                </c:pt>
                <c:pt idx="1122">
                  <c:v>8.86</c:v>
                </c:pt>
                <c:pt idx="1123">
                  <c:v>10.25</c:v>
                </c:pt>
                <c:pt idx="1124">
                  <c:v>12.28</c:v>
                </c:pt>
                <c:pt idx="1125">
                  <c:v>20.48</c:v>
                </c:pt>
                <c:pt idx="1126">
                  <c:v>18.36</c:v>
                </c:pt>
                <c:pt idx="1127">
                  <c:v>11.88</c:v>
                </c:pt>
                <c:pt idx="1128">
                  <c:v>12.37</c:v>
                </c:pt>
                <c:pt idx="1129">
                  <c:v>16.989999999999998</c:v>
                </c:pt>
                <c:pt idx="1130">
                  <c:v>10.119999999999999</c:v>
                </c:pt>
                <c:pt idx="1131">
                  <c:v>10.31</c:v>
                </c:pt>
                <c:pt idx="1132">
                  <c:v>9.5299999999999994</c:v>
                </c:pt>
                <c:pt idx="1133">
                  <c:v>18.73</c:v>
                </c:pt>
                <c:pt idx="1134">
                  <c:v>14</c:v>
                </c:pt>
                <c:pt idx="1135">
                  <c:v>9.17</c:v>
                </c:pt>
                <c:pt idx="1136">
                  <c:v>11.24</c:v>
                </c:pt>
                <c:pt idx="1137">
                  <c:v>9.34</c:v>
                </c:pt>
                <c:pt idx="1138">
                  <c:v>9.7100000000000009</c:v>
                </c:pt>
                <c:pt idx="1139">
                  <c:v>14.82</c:v>
                </c:pt>
                <c:pt idx="1140">
                  <c:v>11.67</c:v>
                </c:pt>
                <c:pt idx="1141">
                  <c:v>13.62</c:v>
                </c:pt>
                <c:pt idx="1142">
                  <c:v>9.36</c:v>
                </c:pt>
                <c:pt idx="1143">
                  <c:v>34.24</c:v>
                </c:pt>
                <c:pt idx="1144">
                  <c:v>16.010000000000002</c:v>
                </c:pt>
                <c:pt idx="1145">
                  <c:v>9.59</c:v>
                </c:pt>
                <c:pt idx="1146">
                  <c:v>8.0299999999999994</c:v>
                </c:pt>
                <c:pt idx="1147">
                  <c:v>13.47</c:v>
                </c:pt>
                <c:pt idx="1148">
                  <c:v>26.62</c:v>
                </c:pt>
                <c:pt idx="1149">
                  <c:v>49.46</c:v>
                </c:pt>
                <c:pt idx="1150">
                  <c:v>20.99</c:v>
                </c:pt>
                <c:pt idx="1151">
                  <c:v>17.48</c:v>
                </c:pt>
                <c:pt idx="1152">
                  <c:v>21.06</c:v>
                </c:pt>
                <c:pt idx="1153">
                  <c:v>19.72</c:v>
                </c:pt>
                <c:pt idx="1154">
                  <c:v>12.32</c:v>
                </c:pt>
                <c:pt idx="1155">
                  <c:v>14.34</c:v>
                </c:pt>
                <c:pt idx="1156">
                  <c:v>12.79</c:v>
                </c:pt>
                <c:pt idx="1157">
                  <c:v>10.29</c:v>
                </c:pt>
                <c:pt idx="1158">
                  <c:v>23.39</c:v>
                </c:pt>
                <c:pt idx="1159">
                  <c:v>15.17</c:v>
                </c:pt>
                <c:pt idx="1160">
                  <c:v>13.21</c:v>
                </c:pt>
                <c:pt idx="1161">
                  <c:v>10.24</c:v>
                </c:pt>
                <c:pt idx="1162">
                  <c:v>13.75</c:v>
                </c:pt>
                <c:pt idx="1163">
                  <c:v>19.489999999999998</c:v>
                </c:pt>
                <c:pt idx="1164">
                  <c:v>13.14</c:v>
                </c:pt>
                <c:pt idx="1165">
                  <c:v>8.8699999999999992</c:v>
                </c:pt>
                <c:pt idx="1166">
                  <c:v>12.72</c:v>
                </c:pt>
                <c:pt idx="1167">
                  <c:v>30.39</c:v>
                </c:pt>
                <c:pt idx="1168">
                  <c:v>29.32</c:v>
                </c:pt>
                <c:pt idx="1169">
                  <c:v>40.18</c:v>
                </c:pt>
                <c:pt idx="1170">
                  <c:v>20.13</c:v>
                </c:pt>
                <c:pt idx="1171">
                  <c:v>16.13</c:v>
                </c:pt>
                <c:pt idx="1172">
                  <c:v>31.51</c:v>
                </c:pt>
                <c:pt idx="1173">
                  <c:v>28.63</c:v>
                </c:pt>
                <c:pt idx="1174">
                  <c:v>20.63</c:v>
                </c:pt>
                <c:pt idx="1175">
                  <c:v>10.46</c:v>
                </c:pt>
                <c:pt idx="1176">
                  <c:v>14.47</c:v>
                </c:pt>
                <c:pt idx="1177">
                  <c:v>9</c:v>
                </c:pt>
                <c:pt idx="1178">
                  <c:v>10.050000000000001</c:v>
                </c:pt>
                <c:pt idx="1179">
                  <c:v>7.92</c:v>
                </c:pt>
                <c:pt idx="1180">
                  <c:v>13.02</c:v>
                </c:pt>
                <c:pt idx="1181">
                  <c:v>12.22</c:v>
                </c:pt>
                <c:pt idx="1182">
                  <c:v>7.57</c:v>
                </c:pt>
                <c:pt idx="1183">
                  <c:v>8.84</c:v>
                </c:pt>
                <c:pt idx="1184">
                  <c:v>14.53</c:v>
                </c:pt>
                <c:pt idx="1185">
                  <c:v>9.7100000000000009</c:v>
                </c:pt>
                <c:pt idx="1186">
                  <c:v>9.16</c:v>
                </c:pt>
                <c:pt idx="1187">
                  <c:v>11.29</c:v>
                </c:pt>
                <c:pt idx="1188">
                  <c:v>10.199999999999999</c:v>
                </c:pt>
                <c:pt idx="1189">
                  <c:v>11.98</c:v>
                </c:pt>
                <c:pt idx="1190">
                  <c:v>9.9</c:v>
                </c:pt>
                <c:pt idx="1191">
                  <c:v>19.149999999999999</c:v>
                </c:pt>
                <c:pt idx="1192">
                  <c:v>12.63</c:v>
                </c:pt>
                <c:pt idx="1193">
                  <c:v>12.59</c:v>
                </c:pt>
                <c:pt idx="1194">
                  <c:v>10.52</c:v>
                </c:pt>
                <c:pt idx="1195">
                  <c:v>31.25</c:v>
                </c:pt>
                <c:pt idx="1196">
                  <c:v>17.11</c:v>
                </c:pt>
                <c:pt idx="1197">
                  <c:v>12.56</c:v>
                </c:pt>
                <c:pt idx="1198">
                  <c:v>10.9</c:v>
                </c:pt>
                <c:pt idx="1199">
                  <c:v>11.39</c:v>
                </c:pt>
                <c:pt idx="1200">
                  <c:v>10.27</c:v>
                </c:pt>
                <c:pt idx="1201">
                  <c:v>15.36</c:v>
                </c:pt>
                <c:pt idx="1202">
                  <c:v>10.46</c:v>
                </c:pt>
                <c:pt idx="1203">
                  <c:v>10.1</c:v>
                </c:pt>
                <c:pt idx="1204">
                  <c:v>7.2</c:v>
                </c:pt>
                <c:pt idx="1205">
                  <c:v>6.96</c:v>
                </c:pt>
                <c:pt idx="1206">
                  <c:v>6.87</c:v>
                </c:pt>
                <c:pt idx="1207">
                  <c:v>8.0299999999999994</c:v>
                </c:pt>
                <c:pt idx="1208">
                  <c:v>9.67</c:v>
                </c:pt>
                <c:pt idx="1209">
                  <c:v>4.9400000000000004</c:v>
                </c:pt>
                <c:pt idx="1210">
                  <c:v>5.43</c:v>
                </c:pt>
                <c:pt idx="1211">
                  <c:v>7.62</c:v>
                </c:pt>
                <c:pt idx="1212">
                  <c:v>5.48</c:v>
                </c:pt>
                <c:pt idx="1213">
                  <c:v>7.73</c:v>
                </c:pt>
                <c:pt idx="1214">
                  <c:v>8.2799999999999994</c:v>
                </c:pt>
                <c:pt idx="1215">
                  <c:v>7.75</c:v>
                </c:pt>
                <c:pt idx="1216">
                  <c:v>7.04</c:v>
                </c:pt>
                <c:pt idx="1217">
                  <c:v>6.24</c:v>
                </c:pt>
                <c:pt idx="1218">
                  <c:v>6.6</c:v>
                </c:pt>
                <c:pt idx="1219">
                  <c:v>5.56</c:v>
                </c:pt>
                <c:pt idx="1220">
                  <c:v>6.73</c:v>
                </c:pt>
                <c:pt idx="1221">
                  <c:v>7.75</c:v>
                </c:pt>
                <c:pt idx="1222">
                  <c:v>14.46</c:v>
                </c:pt>
                <c:pt idx="1223">
                  <c:v>15.2</c:v>
                </c:pt>
                <c:pt idx="1224">
                  <c:v>7.27</c:v>
                </c:pt>
                <c:pt idx="1225">
                  <c:v>7.79</c:v>
                </c:pt>
                <c:pt idx="1226">
                  <c:v>6.24</c:v>
                </c:pt>
                <c:pt idx="1227">
                  <c:v>18.920000000000002</c:v>
                </c:pt>
                <c:pt idx="1228">
                  <c:v>18.72</c:v>
                </c:pt>
                <c:pt idx="1229">
                  <c:v>12.55</c:v>
                </c:pt>
                <c:pt idx="1230">
                  <c:v>8.0299999999999994</c:v>
                </c:pt>
                <c:pt idx="1231">
                  <c:v>6.71</c:v>
                </c:pt>
                <c:pt idx="1232">
                  <c:v>6.41</c:v>
                </c:pt>
                <c:pt idx="1233">
                  <c:v>13.61</c:v>
                </c:pt>
                <c:pt idx="1234">
                  <c:v>10.14</c:v>
                </c:pt>
                <c:pt idx="1235">
                  <c:v>17.28</c:v>
                </c:pt>
                <c:pt idx="1236">
                  <c:v>11.21</c:v>
                </c:pt>
                <c:pt idx="1237">
                  <c:v>7.56</c:v>
                </c:pt>
                <c:pt idx="1238">
                  <c:v>6.25</c:v>
                </c:pt>
                <c:pt idx="1239">
                  <c:v>14.23</c:v>
                </c:pt>
                <c:pt idx="1240">
                  <c:v>19.440000000000001</c:v>
                </c:pt>
                <c:pt idx="1241">
                  <c:v>10.050000000000001</c:v>
                </c:pt>
              </c:numCache>
            </c:numRef>
          </c:val>
          <c:extLst>
            <c:ext xmlns:c16="http://schemas.microsoft.com/office/drawing/2014/chart" uri="{C3380CC4-5D6E-409C-BE32-E72D297353CC}">
              <c16:uniqueId val="{00000000-00BA-472A-9CE7-48098D770E1E}"/>
            </c:ext>
          </c:extLst>
        </c:ser>
        <c:dLbls>
          <c:showLegendKey val="0"/>
          <c:showVal val="0"/>
          <c:showCatName val="0"/>
          <c:showSerName val="0"/>
          <c:showPercent val="0"/>
          <c:showBubbleSize val="0"/>
        </c:dLbls>
        <c:gapWidth val="219"/>
        <c:overlap val="-27"/>
        <c:axId val="1319743808"/>
        <c:axId val="1319769728"/>
      </c:barChart>
      <c:catAx>
        <c:axId val="131974380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9728"/>
        <c:crosses val="autoZero"/>
        <c:auto val="1"/>
        <c:lblAlgn val="ctr"/>
        <c:lblOffset val="100"/>
        <c:noMultiLvlLbl val="1"/>
      </c:catAx>
      <c:valAx>
        <c:axId val="1319769728"/>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43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accent2"/>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A502-469F-8498-9B3A9D262C9A}"/>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A502-469F-8498-9B3A9D262C9A}"/>
              </c:ext>
            </c:extLst>
          </c:dPt>
          <c:dPt>
            <c:idx val="2"/>
            <c:invertIfNegative val="0"/>
            <c:bubble3D val="0"/>
            <c:spPr>
              <a:solidFill>
                <a:srgbClr val="1467B3"/>
              </a:solidFill>
              <a:ln>
                <a:noFill/>
              </a:ln>
              <a:effectLst/>
            </c:spPr>
            <c:extLst>
              <c:ext xmlns:c16="http://schemas.microsoft.com/office/drawing/2014/chart" uri="{C3380CC4-5D6E-409C-BE32-E72D297353CC}">
                <c16:uniqueId val="{00000005-A502-469F-8498-9B3A9D262C9A}"/>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A502-469F-8498-9B3A9D262C9A}"/>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9-A502-469F-8498-9B3A9D262C9A}"/>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B-A502-469F-8498-9B3A9D262C9A}"/>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 Data'!$H$1251:$H$1256</c:f>
              <c:strCache>
                <c:ptCount val="6"/>
                <c:pt idx="0">
                  <c:v>Promoters</c:v>
                </c:pt>
                <c:pt idx="1">
                  <c:v>Mutual Funds</c:v>
                </c:pt>
                <c:pt idx="2">
                  <c:v>Fin Ins/Banks/Insurance</c:v>
                </c:pt>
                <c:pt idx="3">
                  <c:v>FII</c:v>
                </c:pt>
                <c:pt idx="4">
                  <c:v>Govt &amp; Others</c:v>
                </c:pt>
                <c:pt idx="5">
                  <c:v>Non Institutional</c:v>
                </c:pt>
              </c:strCache>
            </c:strRef>
          </c:cat>
          <c:val>
            <c:numRef>
              <c:f>'Historical Data'!$J$1251:$J$1256</c:f>
              <c:numCache>
                <c:formatCode>0.00%</c:formatCode>
                <c:ptCount val="6"/>
                <c:pt idx="0">
                  <c:v>0.42570000000000002</c:v>
                </c:pt>
                <c:pt idx="1">
                  <c:v>0.1018</c:v>
                </c:pt>
                <c:pt idx="2">
                  <c:v>6.2400000000000004E-2</c:v>
                </c:pt>
                <c:pt idx="3">
                  <c:v>0.17170000000000002</c:v>
                </c:pt>
                <c:pt idx="4">
                  <c:v>8.3000000000000001E-3</c:v>
                </c:pt>
                <c:pt idx="5">
                  <c:v>0.23010000000000003</c:v>
                </c:pt>
              </c:numCache>
            </c:numRef>
          </c:val>
          <c:extLst>
            <c:ext xmlns:c16="http://schemas.microsoft.com/office/drawing/2014/chart" uri="{C3380CC4-5D6E-409C-BE32-E72D297353CC}">
              <c16:uniqueId val="{0000000C-A502-469F-8498-9B3A9D262C9A}"/>
            </c:ext>
          </c:extLst>
        </c:ser>
        <c:dLbls>
          <c:showLegendKey val="0"/>
          <c:showVal val="0"/>
          <c:showCatName val="0"/>
          <c:showSerName val="0"/>
          <c:showPercent val="0"/>
          <c:showBubbleSize val="0"/>
        </c:dLbls>
        <c:gapWidth val="182"/>
        <c:axId val="1559294960"/>
        <c:axId val="1559295440"/>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'Historical Data'!$H$1251:$H$1256</c15:sqref>
                        </c15:formulaRef>
                      </c:ext>
                    </c:extLst>
                    <c:strCache>
                      <c:ptCount val="6"/>
                      <c:pt idx="0">
                        <c:v>Promoters</c:v>
                      </c:pt>
                      <c:pt idx="1">
                        <c:v>Mutual Funds</c:v>
                      </c:pt>
                      <c:pt idx="2">
                        <c:v>Fin Ins/Banks/Insurance</c:v>
                      </c:pt>
                      <c:pt idx="3">
                        <c:v>FII</c:v>
                      </c:pt>
                      <c:pt idx="4">
                        <c:v>Govt &amp; Others</c:v>
                      </c:pt>
                      <c:pt idx="5">
                        <c:v>Non Institutional</c:v>
                      </c:pt>
                    </c:strCache>
                  </c:strRef>
                </c:cat>
                <c:val>
                  <c:numRef>
                    <c:extLst>
                      <c:ext uri="{02D57815-91ED-43cb-92C2-25804820EDAC}">
                        <c15:formulaRef>
                          <c15:sqref>'Historical Data'!$I$1251:$I$1256</c15:sqref>
                        </c15:formulaRef>
                      </c:ext>
                    </c:extLst>
                    <c:numCache>
                      <c:formatCode>General</c:formatCode>
                      <c:ptCount val="6"/>
                    </c:numCache>
                  </c:numRef>
                </c:val>
                <c:extLst>
                  <c:ext xmlns:c16="http://schemas.microsoft.com/office/drawing/2014/chart" uri="{C3380CC4-5D6E-409C-BE32-E72D297353CC}">
                    <c16:uniqueId val="{0000000D-A502-469F-8498-9B3A9D262C9A}"/>
                  </c:ext>
                </c:extLst>
              </c15:ser>
            </c15:filteredBarSeries>
          </c:ext>
        </c:extLst>
      </c:barChart>
      <c:catAx>
        <c:axId val="1559294960"/>
        <c:scaling>
          <c:orientation val="minMax"/>
        </c:scaling>
        <c:delete val="0"/>
        <c:axPos val="l"/>
        <c:numFmt formatCode="General" sourceLinked="1"/>
        <c:majorTickMark val="none"/>
        <c:minorTickMark val="none"/>
        <c:tickLblPos val="nextTo"/>
        <c:spPr>
          <a:noFill/>
          <a:ln w="9525" cap="flat" cmpd="sng" algn="ctr">
            <a:solidFill>
              <a:schemeClr val="accent1">
                <a:alpha val="91000"/>
              </a:schemeClr>
            </a:solidFill>
            <a:round/>
          </a:ln>
          <a:effectLst/>
        </c:spPr>
        <c:txPr>
          <a:bodyPr rot="-60000000" spcFirstLastPara="1" vertOverflow="ellipsis" vert="horz" wrap="square" anchor="t" anchorCtr="0"/>
          <a:lstStyle/>
          <a:p>
            <a:pPr>
              <a:defRPr sz="600" b="0" i="0" u="none" strike="noStrike" kern="1200" baseline="0">
                <a:solidFill>
                  <a:schemeClr val="tx1">
                    <a:lumMod val="65000"/>
                    <a:lumOff val="35000"/>
                  </a:schemeClr>
                </a:solidFill>
                <a:latin typeface="+mn-lt"/>
                <a:ea typeface="+mn-ea"/>
                <a:cs typeface="+mn-cs"/>
              </a:defRPr>
            </a:pPr>
            <a:endParaRPr lang="en-US"/>
          </a:p>
        </c:txPr>
        <c:crossAx val="1559295440"/>
        <c:crosses val="autoZero"/>
        <c:auto val="1"/>
        <c:lblAlgn val="ctr"/>
        <c:lblOffset val="100"/>
        <c:noMultiLvlLbl val="0"/>
      </c:catAx>
      <c:valAx>
        <c:axId val="1559295440"/>
        <c:scaling>
          <c:orientation val="minMax"/>
        </c:scaling>
        <c:delete val="1"/>
        <c:axPos val="b"/>
        <c:numFmt formatCode="0.00%" sourceLinked="1"/>
        <c:majorTickMark val="none"/>
        <c:minorTickMark val="none"/>
        <c:tickLblPos val="nextTo"/>
        <c:crossAx val="15592949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Sales Forecasted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D8A6-4D76-AF32-AA5883133329}"/>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D8A6-4D76-AF32-AA588313332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D8A6-4D76-AF32-AA5883133329}"/>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8A6-4D76-AF32-AA5883133329}"/>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4-D8A6-4D76-AF32-AA5883133329}"/>
              </c:ext>
            </c:extLst>
          </c:dPt>
          <c:cat>
            <c:numRef>
              <c:f>Forecasting!$C$20:$C$24</c:f>
              <c:numCache>
                <c:formatCode>yyyy"E"</c:formatCode>
                <c:ptCount val="5"/>
                <c:pt idx="0">
                  <c:v>46110</c:v>
                </c:pt>
                <c:pt idx="1">
                  <c:v>46475</c:v>
                </c:pt>
                <c:pt idx="2">
                  <c:v>46840</c:v>
                </c:pt>
                <c:pt idx="3">
                  <c:v>47205</c:v>
                </c:pt>
                <c:pt idx="4">
                  <c:v>47570</c:v>
                </c:pt>
              </c:numCache>
            </c:numRef>
          </c:cat>
          <c:val>
            <c:numRef>
              <c:f>Forecasting!$E$20:$E$24</c:f>
              <c:numCache>
                <c:formatCode>0.00%</c:formatCode>
                <c:ptCount val="5"/>
                <c:pt idx="0">
                  <c:v>-6.9345203682855905E-2</c:v>
                </c:pt>
                <c:pt idx="1">
                  <c:v>4.206929033543938E-2</c:v>
                </c:pt>
                <c:pt idx="2">
                  <c:v>4.0370914607700925E-2</c:v>
                </c:pt>
                <c:pt idx="3">
                  <c:v>3.8804347604165512E-2</c:v>
                </c:pt>
                <c:pt idx="4">
                  <c:v>3.7354818252023803E-2</c:v>
                </c:pt>
              </c:numCache>
            </c:numRef>
          </c:val>
          <c:extLst>
            <c:ext xmlns:c16="http://schemas.microsoft.com/office/drawing/2014/chart" uri="{C3380CC4-5D6E-409C-BE32-E72D297353CC}">
              <c16:uniqueId val="{00000000-07F5-4342-8F06-BFB63C60257A}"/>
            </c:ext>
          </c:extLst>
        </c:ser>
        <c:dLbls>
          <c:showLegendKey val="0"/>
          <c:showVal val="0"/>
          <c:showCatName val="0"/>
          <c:showSerName val="0"/>
          <c:showPercent val="0"/>
          <c:showBubbleSize val="0"/>
        </c:dLbls>
        <c:gapWidth val="219"/>
        <c:overlap val="-27"/>
        <c:axId val="697591663"/>
        <c:axId val="697619023"/>
      </c:barChart>
      <c:dateAx>
        <c:axId val="697591663"/>
        <c:scaling>
          <c:orientation val="minMax"/>
        </c:scaling>
        <c:delete val="0"/>
        <c:axPos val="b"/>
        <c:numFmt formatCode="yyyy&quot;E&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19023"/>
        <c:crosses val="autoZero"/>
        <c:auto val="1"/>
        <c:lblOffset val="100"/>
        <c:baseTimeUnit val="years"/>
      </c:dateAx>
      <c:valAx>
        <c:axId val="697619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91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Earnings</a:t>
            </a:r>
            <a:r>
              <a:rPr lang="en-IN" b="1" baseline="0">
                <a:solidFill>
                  <a:srgbClr val="002060"/>
                </a:solidFill>
              </a:rPr>
              <a:t> Per Share Forecasted</a:t>
            </a:r>
            <a:endParaRPr lang="en-IN"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72F0-41C4-8364-4884B5546E81}"/>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72F0-41C4-8364-4884B5546E81}"/>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72F0-41C4-8364-4884B5546E81}"/>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72F0-41C4-8364-4884B5546E81}"/>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4-72F0-41C4-8364-4884B5546E81}"/>
              </c:ext>
            </c:extLst>
          </c:dPt>
          <c:cat>
            <c:numRef>
              <c:f>Forecasting!$C$38:$C$42</c:f>
              <c:numCache>
                <c:formatCode>yyyy"E"</c:formatCode>
                <c:ptCount val="5"/>
                <c:pt idx="0">
                  <c:v>46110</c:v>
                </c:pt>
                <c:pt idx="1">
                  <c:v>46475</c:v>
                </c:pt>
                <c:pt idx="2">
                  <c:v>46840</c:v>
                </c:pt>
                <c:pt idx="3">
                  <c:v>47205</c:v>
                </c:pt>
                <c:pt idx="4">
                  <c:v>47570</c:v>
                </c:pt>
              </c:numCache>
            </c:numRef>
          </c:cat>
          <c:val>
            <c:numRef>
              <c:f>Forecasting!$E$38:$E$42</c:f>
              <c:numCache>
                <c:formatCode>0.00%</c:formatCode>
                <c:ptCount val="5"/>
                <c:pt idx="0">
                  <c:v>-0.58102551978572436</c:v>
                </c:pt>
                <c:pt idx="1">
                  <c:v>9.5405664166053006E-2</c:v>
                </c:pt>
                <c:pt idx="2">
                  <c:v>8.7096193937144406E-2</c:v>
                </c:pt>
                <c:pt idx="3">
                  <c:v>8.0118203359453855E-2</c:v>
                </c:pt>
                <c:pt idx="4">
                  <c:v>7.4175403312586097E-2</c:v>
                </c:pt>
              </c:numCache>
            </c:numRef>
          </c:val>
          <c:extLst>
            <c:ext xmlns:c16="http://schemas.microsoft.com/office/drawing/2014/chart" uri="{C3380CC4-5D6E-409C-BE32-E72D297353CC}">
              <c16:uniqueId val="{00000000-EF14-4B4E-8360-6BCF9C6C59B4}"/>
            </c:ext>
          </c:extLst>
        </c:ser>
        <c:dLbls>
          <c:showLegendKey val="0"/>
          <c:showVal val="0"/>
          <c:showCatName val="0"/>
          <c:showSerName val="0"/>
          <c:showPercent val="0"/>
          <c:showBubbleSize val="0"/>
        </c:dLbls>
        <c:gapWidth val="219"/>
        <c:overlap val="-27"/>
        <c:axId val="41091727"/>
        <c:axId val="41077807"/>
      </c:barChart>
      <c:dateAx>
        <c:axId val="41091727"/>
        <c:scaling>
          <c:orientation val="minMax"/>
        </c:scaling>
        <c:delete val="0"/>
        <c:axPos val="b"/>
        <c:numFmt formatCode="yyyy&quot;E&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77807"/>
        <c:crosses val="autoZero"/>
        <c:auto val="1"/>
        <c:lblOffset val="100"/>
        <c:baseTimeUnit val="years"/>
      </c:dateAx>
      <c:valAx>
        <c:axId val="410778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1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EBIDTA Forecasted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7E5E-486F-B346-45A33EDD8BF0}"/>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7E5E-486F-B346-45A33EDD8BF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7E5E-486F-B346-45A33EDD8BF0}"/>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7E5E-486F-B346-45A33EDD8BF0}"/>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4-7E5E-486F-B346-45A33EDD8BF0}"/>
              </c:ext>
            </c:extLst>
          </c:dPt>
          <c:cat>
            <c:numRef>
              <c:f>Forecasting!$C$56:$C$60</c:f>
              <c:numCache>
                <c:formatCode>yyyy"E"</c:formatCode>
                <c:ptCount val="5"/>
                <c:pt idx="0">
                  <c:v>46110</c:v>
                </c:pt>
                <c:pt idx="1">
                  <c:v>46475</c:v>
                </c:pt>
                <c:pt idx="2">
                  <c:v>46840</c:v>
                </c:pt>
                <c:pt idx="3">
                  <c:v>47205</c:v>
                </c:pt>
                <c:pt idx="4">
                  <c:v>47570</c:v>
                </c:pt>
              </c:numCache>
            </c:numRef>
          </c:cat>
          <c:val>
            <c:numRef>
              <c:f>Forecasting!$E$56:$E$60</c:f>
              <c:numCache>
                <c:formatCode>0.00%</c:formatCode>
                <c:ptCount val="5"/>
                <c:pt idx="0">
                  <c:v>-0.15654811407321545</c:v>
                </c:pt>
                <c:pt idx="1">
                  <c:v>4.7536932255472841E-2</c:v>
                </c:pt>
                <c:pt idx="2">
                  <c:v>4.5379719599117241E-2</c:v>
                </c:pt>
                <c:pt idx="3">
                  <c:v>4.340979526226052E-2</c:v>
                </c:pt>
                <c:pt idx="4">
                  <c:v>4.160378353679306E-2</c:v>
                </c:pt>
              </c:numCache>
            </c:numRef>
          </c:val>
          <c:extLst>
            <c:ext xmlns:c16="http://schemas.microsoft.com/office/drawing/2014/chart" uri="{C3380CC4-5D6E-409C-BE32-E72D297353CC}">
              <c16:uniqueId val="{00000000-A02B-4CED-8474-B393DCFAC001}"/>
            </c:ext>
          </c:extLst>
        </c:ser>
        <c:dLbls>
          <c:showLegendKey val="0"/>
          <c:showVal val="0"/>
          <c:showCatName val="0"/>
          <c:showSerName val="0"/>
          <c:showPercent val="0"/>
          <c:showBubbleSize val="0"/>
        </c:dLbls>
        <c:gapWidth val="219"/>
        <c:overlap val="-27"/>
        <c:axId val="697564303"/>
        <c:axId val="697619983"/>
      </c:barChart>
      <c:dateAx>
        <c:axId val="697564303"/>
        <c:scaling>
          <c:orientation val="minMax"/>
        </c:scaling>
        <c:delete val="0"/>
        <c:axPos val="b"/>
        <c:numFmt formatCode="yyyy&quot;E&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619983"/>
        <c:crosses val="autoZero"/>
        <c:auto val="1"/>
        <c:lblOffset val="100"/>
        <c:baseTimeUnit val="years"/>
      </c:dateAx>
      <c:valAx>
        <c:axId val="697619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5643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Sales Regression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'Sales Regression'!$D$10</c:f>
              <c:strCache>
                <c:ptCount val="1"/>
                <c:pt idx="0">
                  <c:v>Sales</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4">
                    <a:lumMod val="75000"/>
                  </a:schemeClr>
                </a:solidFill>
                <a:prstDash val="sysDot"/>
              </a:ln>
              <a:effectLst/>
            </c:spPr>
            <c:trendlineType val="linear"/>
            <c:dispRSqr val="0"/>
            <c:dispEq val="0"/>
          </c:trendline>
          <c:xVal>
            <c:numRef>
              <c:f>'Sales Regression'!$C$11:$C$22</c:f>
              <c:numCache>
                <c:formatCode>0"A"</c:formatCode>
                <c:ptCount val="12"/>
                <c:pt idx="0">
                  <c:v>2014</c:v>
                </c:pt>
                <c:pt idx="1">
                  <c:v>2015</c:v>
                </c:pt>
                <c:pt idx="2">
                  <c:v>2016</c:v>
                </c:pt>
                <c:pt idx="3">
                  <c:v>2017</c:v>
                </c:pt>
                <c:pt idx="4">
                  <c:v>2018</c:v>
                </c:pt>
                <c:pt idx="5">
                  <c:v>2019</c:v>
                </c:pt>
                <c:pt idx="6">
                  <c:v>2020</c:v>
                </c:pt>
                <c:pt idx="7">
                  <c:v>2021</c:v>
                </c:pt>
                <c:pt idx="8">
                  <c:v>2022</c:v>
                </c:pt>
                <c:pt idx="9">
                  <c:v>2023</c:v>
                </c:pt>
                <c:pt idx="10">
                  <c:v>2024</c:v>
                </c:pt>
                <c:pt idx="11">
                  <c:v>2025</c:v>
                </c:pt>
              </c:numCache>
            </c:numRef>
          </c:xVal>
          <c:yVal>
            <c:numRef>
              <c:f>'Sales Regression'!$D$11:$D$22</c:f>
              <c:numCache>
                <c:formatCode>#,##0.00</c:formatCode>
                <c:ptCount val="12"/>
                <c:pt idx="0">
                  <c:v>232834</c:v>
                </c:pt>
                <c:pt idx="1">
                  <c:v>263159</c:v>
                </c:pt>
                <c:pt idx="2">
                  <c:v>273046</c:v>
                </c:pt>
                <c:pt idx="3">
                  <c:v>269693</c:v>
                </c:pt>
                <c:pt idx="4">
                  <c:v>291550</c:v>
                </c:pt>
                <c:pt idx="5">
                  <c:v>301938</c:v>
                </c:pt>
                <c:pt idx="6">
                  <c:v>261068</c:v>
                </c:pt>
                <c:pt idx="7">
                  <c:v>249795</c:v>
                </c:pt>
                <c:pt idx="8">
                  <c:v>278454</c:v>
                </c:pt>
                <c:pt idx="9">
                  <c:v>345967</c:v>
                </c:pt>
                <c:pt idx="10">
                  <c:v>434016</c:v>
                </c:pt>
                <c:pt idx="11">
                  <c:v>439695</c:v>
                </c:pt>
              </c:numCache>
            </c:numRef>
          </c:yVal>
          <c:smooth val="0"/>
          <c:extLst>
            <c:ext xmlns:c16="http://schemas.microsoft.com/office/drawing/2014/chart" uri="{C3380CC4-5D6E-409C-BE32-E72D297353CC}">
              <c16:uniqueId val="{00000000-812F-4E34-9086-FE5104D6BBEE}"/>
            </c:ext>
          </c:extLst>
        </c:ser>
        <c:dLbls>
          <c:showLegendKey val="0"/>
          <c:showVal val="0"/>
          <c:showCatName val="0"/>
          <c:showSerName val="0"/>
          <c:showPercent val="0"/>
          <c:showBubbleSize val="0"/>
        </c:dLbls>
        <c:axId val="628247616"/>
        <c:axId val="628250016"/>
      </c:scatterChart>
      <c:valAx>
        <c:axId val="628247616"/>
        <c:scaling>
          <c:orientation val="minMax"/>
        </c:scaling>
        <c:delete val="0"/>
        <c:axPos val="b"/>
        <c:majorGridlines>
          <c:spPr>
            <a:ln w="9525" cap="flat" cmpd="sng" algn="ctr">
              <a:solidFill>
                <a:schemeClr val="tx1">
                  <a:lumMod val="15000"/>
                  <a:lumOff val="85000"/>
                </a:schemeClr>
              </a:solidFill>
              <a:round/>
            </a:ln>
            <a:effectLst/>
          </c:spPr>
        </c:majorGridlines>
        <c:numFmt formatCode="0&quot;A&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50016"/>
        <c:crosses val="autoZero"/>
        <c:crossBetween val="midCat"/>
      </c:valAx>
      <c:valAx>
        <c:axId val="628250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4761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rgbClr val="002060"/>
                </a:solidFill>
              </a:rPr>
              <a:t>Football Field Analysis -</a:t>
            </a:r>
            <a:r>
              <a:rPr lang="en-IN" sz="1200" b="1" baseline="0">
                <a:solidFill>
                  <a:srgbClr val="002060"/>
                </a:solidFill>
              </a:rPr>
              <a:t> </a:t>
            </a:r>
            <a:r>
              <a:rPr lang="en-IN" sz="1200" b="1">
                <a:solidFill>
                  <a:srgbClr val="002060"/>
                </a:solidFill>
              </a:rPr>
              <a:t>Valuation Summary (Rs)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spPr>
            <a:ln w="19050" cap="rnd">
              <a:noFill/>
              <a:round/>
            </a:ln>
            <a:effectLst/>
          </c:spPr>
          <c:marker>
            <c:symbol val="none"/>
          </c:marker>
          <c:cat>
            <c:strRef>
              <c:f>'Football Field Analysis'!$K$12:$K$16</c:f>
              <c:strCache>
                <c:ptCount val="5"/>
                <c:pt idx="0">
                  <c:v>Comps</c:v>
                </c:pt>
                <c:pt idx="1">
                  <c:v>DCF Bear</c:v>
                </c:pt>
                <c:pt idx="2">
                  <c:v>DCF Base</c:v>
                </c:pt>
                <c:pt idx="3">
                  <c:v>DCF Bull</c:v>
                </c:pt>
                <c:pt idx="4">
                  <c:v>52W H/L</c:v>
                </c:pt>
              </c:strCache>
            </c:strRef>
          </c:cat>
          <c:val>
            <c:numRef>
              <c:f>'Football Field Analysis'!$M$12:$M$16</c:f>
              <c:numCache>
                <c:formatCode>#,##0.00</c:formatCode>
                <c:ptCount val="5"/>
                <c:pt idx="0">
                  <c:v>1800.15522293407</c:v>
                </c:pt>
                <c:pt idx="1">
                  <c:v>594.07066448957346</c:v>
                </c:pt>
                <c:pt idx="2">
                  <c:v>720.88223205639474</c:v>
                </c:pt>
                <c:pt idx="3">
                  <c:v>806.90684179920947</c:v>
                </c:pt>
                <c:pt idx="4">
                  <c:v>542.54999999999995</c:v>
                </c:pt>
              </c:numCache>
            </c:numRef>
          </c:val>
          <c:smooth val="0"/>
          <c:extLst>
            <c:ext xmlns:c16="http://schemas.microsoft.com/office/drawing/2014/chart" uri="{C3380CC4-5D6E-409C-BE32-E72D297353CC}">
              <c16:uniqueId val="{00000000-DA44-4975-A311-ED9020BA7B48}"/>
            </c:ext>
          </c:extLst>
        </c:ser>
        <c:ser>
          <c:idx val="1"/>
          <c:order val="1"/>
          <c:spPr>
            <a:ln w="1905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Analysis'!$K$12:$K$16</c:f>
              <c:strCache>
                <c:ptCount val="5"/>
                <c:pt idx="0">
                  <c:v>Comps</c:v>
                </c:pt>
                <c:pt idx="1">
                  <c:v>DCF Bear</c:v>
                </c:pt>
                <c:pt idx="2">
                  <c:v>DCF Base</c:v>
                </c:pt>
                <c:pt idx="3">
                  <c:v>DCF Bull</c:v>
                </c:pt>
                <c:pt idx="4">
                  <c:v>52W H/L</c:v>
                </c:pt>
              </c:strCache>
            </c:strRef>
          </c:cat>
          <c:val>
            <c:numRef>
              <c:f>'Football Field Analysis'!$N$12:$N$16</c:f>
              <c:numCache>
                <c:formatCode>#,##0.00</c:formatCode>
                <c:ptCount val="5"/>
                <c:pt idx="0">
                  <c:v>1800.15522293407</c:v>
                </c:pt>
                <c:pt idx="1">
                  <c:v>594.07066448957346</c:v>
                </c:pt>
                <c:pt idx="2">
                  <c:v>720.88223205639474</c:v>
                </c:pt>
                <c:pt idx="3">
                  <c:v>806.90684179920947</c:v>
                </c:pt>
                <c:pt idx="4">
                  <c:v>542.54999999999995</c:v>
                </c:pt>
              </c:numCache>
            </c:numRef>
          </c:val>
          <c:smooth val="0"/>
          <c:extLst>
            <c:ext xmlns:c16="http://schemas.microsoft.com/office/drawing/2014/chart" uri="{C3380CC4-5D6E-409C-BE32-E72D297353CC}">
              <c16:uniqueId val="{00000001-DA44-4975-A311-ED9020BA7B48}"/>
            </c:ext>
          </c:extLst>
        </c:ser>
        <c:ser>
          <c:idx val="2"/>
          <c:order val="2"/>
          <c:spPr>
            <a:ln w="19050" cap="rnd">
              <a:noFill/>
              <a:round/>
            </a:ln>
            <a:effectLst/>
          </c:spPr>
          <c:marker>
            <c:symbol val="none"/>
          </c:marker>
          <c:cat>
            <c:strRef>
              <c:f>'Football Field Analysis'!$K$12:$K$16</c:f>
              <c:strCache>
                <c:ptCount val="5"/>
                <c:pt idx="0">
                  <c:v>Comps</c:v>
                </c:pt>
                <c:pt idx="1">
                  <c:v>DCF Bear</c:v>
                </c:pt>
                <c:pt idx="2">
                  <c:v>DCF Base</c:v>
                </c:pt>
                <c:pt idx="3">
                  <c:v>DCF Bull</c:v>
                </c:pt>
                <c:pt idx="4">
                  <c:v>52W H/L</c:v>
                </c:pt>
              </c:strCache>
            </c:strRef>
          </c:cat>
          <c:val>
            <c:numRef>
              <c:f>'Football Field Analysis'!$O$12:$O$16</c:f>
              <c:numCache>
                <c:formatCode>#,##0.00</c:formatCode>
                <c:ptCount val="5"/>
                <c:pt idx="0">
                  <c:v>3467.0310964653827</c:v>
                </c:pt>
                <c:pt idx="1">
                  <c:v>646.70756855539753</c:v>
                </c:pt>
                <c:pt idx="2">
                  <c:v>815.11087947083638</c:v>
                </c:pt>
                <c:pt idx="3">
                  <c:v>937.59572260337188</c:v>
                </c:pt>
                <c:pt idx="4">
                  <c:v>1142</c:v>
                </c:pt>
              </c:numCache>
            </c:numRef>
          </c:val>
          <c:smooth val="0"/>
          <c:extLst>
            <c:ext xmlns:c16="http://schemas.microsoft.com/office/drawing/2014/chart" uri="{C3380CC4-5D6E-409C-BE32-E72D297353CC}">
              <c16:uniqueId val="{00000002-DA44-4975-A311-ED9020BA7B48}"/>
            </c:ext>
          </c:extLst>
        </c:ser>
        <c:ser>
          <c:idx val="3"/>
          <c:order val="3"/>
          <c:spPr>
            <a:ln w="1905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Analysis'!$K$12:$K$16</c:f>
              <c:strCache>
                <c:ptCount val="5"/>
                <c:pt idx="0">
                  <c:v>Comps</c:v>
                </c:pt>
                <c:pt idx="1">
                  <c:v>DCF Bear</c:v>
                </c:pt>
                <c:pt idx="2">
                  <c:v>DCF Base</c:v>
                </c:pt>
                <c:pt idx="3">
                  <c:v>DCF Bull</c:v>
                </c:pt>
                <c:pt idx="4">
                  <c:v>52W H/L</c:v>
                </c:pt>
              </c:strCache>
            </c:strRef>
          </c:cat>
          <c:val>
            <c:numRef>
              <c:f>'Football Field Analysis'!$P$12:$P$16</c:f>
              <c:numCache>
                <c:formatCode>#,##0.00</c:formatCode>
                <c:ptCount val="5"/>
                <c:pt idx="0">
                  <c:v>3467.0310964653827</c:v>
                </c:pt>
                <c:pt idx="1">
                  <c:v>646.70756855539753</c:v>
                </c:pt>
                <c:pt idx="2">
                  <c:v>815.11087947083638</c:v>
                </c:pt>
                <c:pt idx="3">
                  <c:v>937.59572260337188</c:v>
                </c:pt>
                <c:pt idx="4">
                  <c:v>1142</c:v>
                </c:pt>
              </c:numCache>
            </c:numRef>
          </c:val>
          <c:smooth val="0"/>
          <c:extLst>
            <c:ext xmlns:c16="http://schemas.microsoft.com/office/drawing/2014/chart" uri="{C3380CC4-5D6E-409C-BE32-E72D297353CC}">
              <c16:uniqueId val="{00000003-DA44-4975-A311-ED9020BA7B4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002060"/>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937652544"/>
        <c:axId val="937654344"/>
      </c:stockChart>
      <c:catAx>
        <c:axId val="9376525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654344"/>
        <c:crosses val="autoZero"/>
        <c:auto val="1"/>
        <c:lblAlgn val="ctr"/>
        <c:lblOffset val="100"/>
        <c:noMultiLvlLbl val="0"/>
      </c:catAx>
      <c:valAx>
        <c:axId val="937654344"/>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652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0D63-4018-846C-E1DDC6E6497E}"/>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0D63-4018-846C-E1DDC6E6497E}"/>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0D63-4018-846C-E1DDC6E6497E}"/>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6-6EDF-49C8-ADA0-884E82FD8BE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Analysis2'!$F$14:$I$14</c:f>
              <c:numCache>
                <c:formatCode>#,##0.0</c:formatCode>
                <c:ptCount val="4"/>
                <c:pt idx="0">
                  <c:v>278453.62</c:v>
                </c:pt>
                <c:pt idx="1">
                  <c:v>345966.97</c:v>
                </c:pt>
                <c:pt idx="2">
                  <c:v>434016</c:v>
                </c:pt>
                <c:pt idx="3">
                  <c:v>439695</c:v>
                </c:pt>
              </c:numCache>
            </c:numRef>
          </c:val>
          <c:extLst>
            <c:ext xmlns:c16="http://schemas.microsoft.com/office/drawing/2014/chart" uri="{C3380CC4-5D6E-409C-BE32-E72D297353CC}">
              <c16:uniqueId val="{00000006-0D63-4018-846C-E1DDC6E6497E}"/>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63A-4D27-AFEE-BB2168A1DB8B}"/>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863A-4D27-AFEE-BB2168A1DB8B}"/>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863A-4D27-AFEE-BB2168A1DB8B}"/>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6-805C-47C3-898D-2710648112E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Analysis2'!$F$13:$I$13</c:f>
              <c:numCache>
                <c:formatCode>#,##0.0</c:formatCode>
                <c:ptCount val="4"/>
                <c:pt idx="0">
                  <c:v>-11441.47</c:v>
                </c:pt>
                <c:pt idx="1">
                  <c:v>2414.29</c:v>
                </c:pt>
                <c:pt idx="2">
                  <c:v>31399</c:v>
                </c:pt>
                <c:pt idx="3">
                  <c:v>27830</c:v>
                </c:pt>
              </c:numCache>
            </c:numRef>
          </c:val>
          <c:extLst>
            <c:ext xmlns:c16="http://schemas.microsoft.com/office/drawing/2014/chart" uri="{C3380CC4-5D6E-409C-BE32-E72D297353CC}">
              <c16:uniqueId val="{00000006-863A-4D27-AFEE-BB2168A1DB8B}"/>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1539-484E-979B-DC9F12817093}"/>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1539-484E-979B-DC9F12817093}"/>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1539-484E-979B-DC9F12817093}"/>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1539-484E-979B-DC9F1281709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Analysis2'!$F$18:$I$18</c:f>
              <c:numCache>
                <c:formatCode>#,##0.0</c:formatCode>
                <c:ptCount val="4"/>
                <c:pt idx="0">
                  <c:v>329061.49</c:v>
                </c:pt>
                <c:pt idx="1">
                  <c:v>334674.43</c:v>
                </c:pt>
                <c:pt idx="2">
                  <c:v>369521</c:v>
                </c:pt>
                <c:pt idx="3">
                  <c:v>376973</c:v>
                </c:pt>
              </c:numCache>
            </c:numRef>
          </c:val>
          <c:extLst>
            <c:ext xmlns:c16="http://schemas.microsoft.com/office/drawing/2014/chart" uri="{C3380CC4-5D6E-409C-BE32-E72D297353CC}">
              <c16:uniqueId val="{00000008-1539-484E-979B-DC9F12817093}"/>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F745-4BCA-8DF0-081B1715D742}"/>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F745-4BCA-8DF0-081B1715D742}"/>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F745-4BCA-8DF0-081B1715D742}"/>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7-F745-4BCA-8DF0-081B1715D742}"/>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Analysis2'!$F$25:$I$25</c:f>
              <c:numCache>
                <c:formatCode>0.00%</c:formatCode>
                <c:ptCount val="4"/>
                <c:pt idx="0">
                  <c:v>-0.22926968951173832</c:v>
                </c:pt>
                <c:pt idx="1">
                  <c:v>5.372070790225919E-2</c:v>
                </c:pt>
                <c:pt idx="2">
                  <c:v>0.48217215337954716</c:v>
                </c:pt>
                <c:pt idx="3">
                  <c:v>0.27683003252728011</c:v>
                </c:pt>
              </c:numCache>
            </c:numRef>
          </c:val>
          <c:extLst>
            <c:ext xmlns:c16="http://schemas.microsoft.com/office/drawing/2014/chart" uri="{C3380CC4-5D6E-409C-BE32-E72D297353CC}">
              <c16:uniqueId val="{00000008-F745-4BCA-8DF0-081B1715D742}"/>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386-4AAB-9A24-0BC0637BBE89}"/>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8386-4AAB-9A24-0BC0637BBE89}"/>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8386-4AAB-9A24-0BC0637BBE89}"/>
              </c:ext>
            </c:extLst>
          </c:dPt>
          <c:dPt>
            <c:idx val="3"/>
            <c:invertIfNegative val="0"/>
            <c:bubble3D val="0"/>
            <c:spPr>
              <a:solidFill>
                <a:schemeClr val="accent4">
                  <a:lumMod val="50000"/>
                </a:schemeClr>
              </a:solidFill>
              <a:ln>
                <a:solidFill>
                  <a:srgbClr val="028655"/>
                </a:solidFill>
              </a:ln>
              <a:effectLst/>
            </c:spPr>
            <c:extLst>
              <c:ext xmlns:c16="http://schemas.microsoft.com/office/drawing/2014/chart" uri="{C3380CC4-5D6E-409C-BE32-E72D297353CC}">
                <c16:uniqueId val="{00000007-8386-4AAB-9A24-0BC0637BBE8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Analysis2'!$F$28:$I$28</c:f>
              <c:numCache>
                <c:formatCode>mmm\-yy</c:formatCode>
                <c:ptCount val="4"/>
                <c:pt idx="0">
                  <c:v>44651</c:v>
                </c:pt>
                <c:pt idx="1">
                  <c:v>45016</c:v>
                </c:pt>
                <c:pt idx="2">
                  <c:v>45382</c:v>
                </c:pt>
                <c:pt idx="3">
                  <c:v>45747</c:v>
                </c:pt>
              </c:numCache>
            </c:numRef>
          </c:cat>
          <c:val>
            <c:numRef>
              <c:f>'Dupont Analysis2'!$F$31:$I$31</c:f>
              <c:numCache>
                <c:formatCode>0.00%</c:formatCode>
                <c:ptCount val="4"/>
                <c:pt idx="0">
                  <c:v>-3.4770006055707098E-2</c:v>
                </c:pt>
                <c:pt idx="1">
                  <c:v>7.2138466031002133E-3</c:v>
                </c:pt>
                <c:pt idx="2">
                  <c:v>8.4972166669823906E-2</c:v>
                </c:pt>
                <c:pt idx="3">
                  <c:v>7.3824915842779185E-2</c:v>
                </c:pt>
              </c:numCache>
            </c:numRef>
          </c:val>
          <c:extLst>
            <c:ext xmlns:c16="http://schemas.microsoft.com/office/drawing/2014/chart" uri="{C3380CC4-5D6E-409C-BE32-E72D297353CC}">
              <c16:uniqueId val="{00000008-8386-4AAB-9A24-0BC0637BBE89}"/>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9A85-4EC3-BCB6-8EA5D29B52A8}"/>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A85-4EC3-BCB6-8EA5D29B52A8}"/>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9A85-4EC3-BCB6-8EA5D29B52A8}"/>
              </c:ext>
            </c:extLst>
          </c:dPt>
          <c:dPt>
            <c:idx val="3"/>
            <c:invertIfNegative val="0"/>
            <c:bubble3D val="0"/>
            <c:spPr>
              <a:solidFill>
                <a:schemeClr val="accent4">
                  <a:lumMod val="50000"/>
                </a:schemeClr>
              </a:solidFill>
              <a:ln>
                <a:solidFill>
                  <a:srgbClr val="028655"/>
                </a:solidFill>
              </a:ln>
              <a:effectLst/>
            </c:spPr>
            <c:extLst>
              <c:ext xmlns:c16="http://schemas.microsoft.com/office/drawing/2014/chart" uri="{C3380CC4-5D6E-409C-BE32-E72D297353CC}">
                <c16:uniqueId val="{00000007-9A85-4EC3-BCB6-8EA5D29B52A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Analysis2'!$F$12:$I$12</c:f>
              <c:numCache>
                <c:formatCode>mmm\-yy</c:formatCode>
                <c:ptCount val="4"/>
                <c:pt idx="0">
                  <c:v>44651</c:v>
                </c:pt>
                <c:pt idx="1">
                  <c:v>45016</c:v>
                </c:pt>
                <c:pt idx="2">
                  <c:v>45382</c:v>
                </c:pt>
                <c:pt idx="3">
                  <c:v>45747</c:v>
                </c:pt>
              </c:numCache>
            </c:numRef>
          </c:cat>
          <c:val>
            <c:numRef>
              <c:f>'Dupont Analysis2'!$F$23:$I$23</c:f>
              <c:numCache>
                <c:formatCode>0.00\x</c:formatCode>
                <c:ptCount val="4"/>
                <c:pt idx="0">
                  <c:v>6.5938927115632868</c:v>
                </c:pt>
                <c:pt idx="1">
                  <c:v>7.4468880276955502</c:v>
                </c:pt>
                <c:pt idx="2">
                  <c:v>5.6744716802752837</c:v>
                </c:pt>
                <c:pt idx="3">
                  <c:v>3.7498184639563914</c:v>
                </c:pt>
              </c:numCache>
            </c:numRef>
          </c:val>
          <c:extLst>
            <c:ext xmlns:c16="http://schemas.microsoft.com/office/drawing/2014/chart" uri="{C3380CC4-5D6E-409C-BE32-E72D297353CC}">
              <c16:uniqueId val="{00000008-9A85-4EC3-BCB6-8EA5D29B52A8}"/>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x"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Score2'!$C$6:$I$6</c:f>
              <c:numCache>
                <c:formatCode>mmm\-yy</c:formatCode>
                <c:ptCount val="7"/>
                <c:pt idx="0">
                  <c:v>43555</c:v>
                </c:pt>
                <c:pt idx="1">
                  <c:v>43921</c:v>
                </c:pt>
                <c:pt idx="2">
                  <c:v>44286</c:v>
                </c:pt>
                <c:pt idx="3">
                  <c:v>44651</c:v>
                </c:pt>
                <c:pt idx="4">
                  <c:v>45016</c:v>
                </c:pt>
                <c:pt idx="5">
                  <c:v>45382</c:v>
                </c:pt>
                <c:pt idx="6">
                  <c:v>45747</c:v>
                </c:pt>
              </c:numCache>
            </c:numRef>
          </c:cat>
          <c:val>
            <c:numRef>
              <c:f>'Altman''s Z Score2'!$C$9:$I$9</c:f>
              <c:numCache>
                <c:formatCode>0.00%</c:formatCode>
                <c:ptCount val="7"/>
                <c:pt idx="0">
                  <c:v>2.4421932507214739E-2</c:v>
                </c:pt>
                <c:pt idx="1">
                  <c:v>2.7572855329632582E-2</c:v>
                </c:pt>
                <c:pt idx="2">
                  <c:v>3.8309785542877596E-2</c:v>
                </c:pt>
                <c:pt idx="3">
                  <c:v>3.8060363733234209E-2</c:v>
                </c:pt>
                <c:pt idx="4">
                  <c:v>2.002486416425658E-2</c:v>
                </c:pt>
                <c:pt idx="5">
                  <c:v>3.3091488711061073E-2</c:v>
                </c:pt>
                <c:pt idx="6">
                  <c:v>-7.8188623588426751E-2</c:v>
                </c:pt>
              </c:numCache>
            </c:numRef>
          </c:val>
          <c:extLst>
            <c:ext xmlns:c16="http://schemas.microsoft.com/office/drawing/2014/chart" uri="{C3380CC4-5D6E-409C-BE32-E72D297353CC}">
              <c16:uniqueId val="{00000000-A581-4575-B888-AEAEDAEDABA4}"/>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367F-4022-A597-974441627679}"/>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367F-4022-A597-974441627679}"/>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367F-4022-A597-974441627679}"/>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Score2'!$C$12:$I$12</c:f>
              <c:numCache>
                <c:formatCode>mmm\-yy</c:formatCode>
                <c:ptCount val="7"/>
                <c:pt idx="0">
                  <c:v>43555</c:v>
                </c:pt>
                <c:pt idx="1">
                  <c:v>43921</c:v>
                </c:pt>
                <c:pt idx="2">
                  <c:v>44286</c:v>
                </c:pt>
                <c:pt idx="3">
                  <c:v>44651</c:v>
                </c:pt>
                <c:pt idx="4">
                  <c:v>45016</c:v>
                </c:pt>
                <c:pt idx="5">
                  <c:v>45382</c:v>
                </c:pt>
                <c:pt idx="6">
                  <c:v>45747</c:v>
                </c:pt>
              </c:numCache>
            </c:numRef>
          </c:cat>
          <c:val>
            <c:numRef>
              <c:f>'Altman''s Z Score2'!$C$15:$I$15</c:f>
              <c:numCache>
                <c:formatCode>0.00%</c:formatCode>
                <c:ptCount val="7"/>
                <c:pt idx="0">
                  <c:v>0</c:v>
                </c:pt>
                <c:pt idx="1">
                  <c:v>0</c:v>
                </c:pt>
                <c:pt idx="2">
                  <c:v>0</c:v>
                </c:pt>
                <c:pt idx="3">
                  <c:v>0</c:v>
                </c:pt>
                <c:pt idx="4">
                  <c:v>0</c:v>
                </c:pt>
                <c:pt idx="5">
                  <c:v>6.6881178606899211E-2</c:v>
                </c:pt>
                <c:pt idx="6">
                  <c:v>3.7580940810084541E-2</c:v>
                </c:pt>
              </c:numCache>
            </c:numRef>
          </c:val>
          <c:extLst>
            <c:ext xmlns:c16="http://schemas.microsoft.com/office/drawing/2014/chart" uri="{C3380CC4-5D6E-409C-BE32-E72D297353CC}">
              <c16:uniqueId val="{00000006-367F-4022-A597-974441627679}"/>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ABB-47BA-A027-2F7573CA91F5}"/>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8ABB-47BA-A027-2F7573CA91F5}"/>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8ABB-47BA-A027-2F7573CA91F5}"/>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8ABB-47BA-A027-2F7573CA91F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Score2'!$C$18:$I$18</c:f>
              <c:numCache>
                <c:formatCode>mmm\-yy</c:formatCode>
                <c:ptCount val="7"/>
                <c:pt idx="0">
                  <c:v>43555</c:v>
                </c:pt>
                <c:pt idx="1">
                  <c:v>43921</c:v>
                </c:pt>
                <c:pt idx="2">
                  <c:v>44286</c:v>
                </c:pt>
                <c:pt idx="3">
                  <c:v>44651</c:v>
                </c:pt>
                <c:pt idx="4">
                  <c:v>45016</c:v>
                </c:pt>
                <c:pt idx="5">
                  <c:v>45382</c:v>
                </c:pt>
                <c:pt idx="6">
                  <c:v>45747</c:v>
                </c:pt>
              </c:numCache>
            </c:numRef>
          </c:cat>
          <c:val>
            <c:numRef>
              <c:f>'Altman''s Z Score2'!$C$21:$I$21</c:f>
              <c:numCache>
                <c:formatCode>0.00%</c:formatCode>
                <c:ptCount val="7"/>
                <c:pt idx="0">
                  <c:v>3.5122268312999063E-3</c:v>
                </c:pt>
                <c:pt idx="1">
                  <c:v>-1.0738854865080593E-2</c:v>
                </c:pt>
                <c:pt idx="2">
                  <c:v>2.5589841915524759E-2</c:v>
                </c:pt>
                <c:pt idx="3">
                  <c:v>-3.5130212289506468E-4</c:v>
                </c:pt>
                <c:pt idx="4">
                  <c:v>2.0782705150196142E-2</c:v>
                </c:pt>
                <c:pt idx="5">
                  <c:v>8.2769314869790889E-2</c:v>
                </c:pt>
                <c:pt idx="6">
                  <c:v>8.4780607629724142E-2</c:v>
                </c:pt>
              </c:numCache>
            </c:numRef>
          </c:val>
          <c:extLst>
            <c:ext xmlns:c16="http://schemas.microsoft.com/office/drawing/2014/chart" uri="{C3380CC4-5D6E-409C-BE32-E72D297353CC}">
              <c16:uniqueId val="{00000008-8ABB-47BA-A027-2F7573CA91F5}"/>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E387-4C6C-9DAA-4B0A64D6CD35}"/>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E387-4C6C-9DAA-4B0A64D6CD35}"/>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E387-4C6C-9DAA-4B0A64D6CD35}"/>
              </c:ext>
            </c:extLst>
          </c:dPt>
          <c:dPt>
            <c:idx val="3"/>
            <c:invertIfNegative val="0"/>
            <c:bubble3D val="0"/>
            <c:spPr>
              <a:solidFill>
                <a:schemeClr val="accent4">
                  <a:lumMod val="40000"/>
                  <a:lumOff val="60000"/>
                </a:schemeClr>
              </a:solidFill>
              <a:ln>
                <a:solidFill>
                  <a:srgbClr val="028655"/>
                </a:solidFill>
              </a:ln>
              <a:effectLst/>
            </c:spPr>
            <c:extLst>
              <c:ext xmlns:c16="http://schemas.microsoft.com/office/drawing/2014/chart" uri="{C3380CC4-5D6E-409C-BE32-E72D297353CC}">
                <c16:uniqueId val="{00000007-E387-4C6C-9DAA-4B0A64D6CD35}"/>
              </c:ext>
            </c:extLst>
          </c:dPt>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Score2'!$C$30:$I$30</c:f>
              <c:numCache>
                <c:formatCode>mmm\-yy</c:formatCode>
                <c:ptCount val="7"/>
                <c:pt idx="0">
                  <c:v>43555</c:v>
                </c:pt>
                <c:pt idx="1">
                  <c:v>43921</c:v>
                </c:pt>
                <c:pt idx="2">
                  <c:v>44286</c:v>
                </c:pt>
                <c:pt idx="3">
                  <c:v>44651</c:v>
                </c:pt>
                <c:pt idx="4">
                  <c:v>45016</c:v>
                </c:pt>
                <c:pt idx="5">
                  <c:v>45382</c:v>
                </c:pt>
                <c:pt idx="6">
                  <c:v>45747</c:v>
                </c:pt>
              </c:numCache>
            </c:numRef>
          </c:cat>
          <c:val>
            <c:numRef>
              <c:f>'Altman''s Z Score2'!$C$33:$I$33</c:f>
              <c:numCache>
                <c:formatCode>0.00%</c:formatCode>
                <c:ptCount val="7"/>
                <c:pt idx="0">
                  <c:v>0.98768385012549265</c:v>
                </c:pt>
                <c:pt idx="1">
                  <c:v>0.81538030914482029</c:v>
                </c:pt>
                <c:pt idx="2">
                  <c:v>0.73131368626703686</c:v>
                </c:pt>
                <c:pt idx="3">
                  <c:v>0.84620543108827473</c:v>
                </c:pt>
                <c:pt idx="4">
                  <c:v>1.0337418666851841</c:v>
                </c:pt>
                <c:pt idx="5">
                  <c:v>1.1745367651635497</c:v>
                </c:pt>
                <c:pt idx="6">
                  <c:v>1.1663832688282716</c:v>
                </c:pt>
              </c:numCache>
            </c:numRef>
          </c:val>
          <c:extLst>
            <c:ext xmlns:c16="http://schemas.microsoft.com/office/drawing/2014/chart" uri="{C3380CC4-5D6E-409C-BE32-E72D297353CC}">
              <c16:uniqueId val="{00000008-E387-4C6C-9DAA-4B0A64D6CD35}"/>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35B4-4977-A027-66F5C18B1B89}"/>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35B4-4977-A027-66F5C18B1B89}"/>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35B4-4977-A027-66F5C18B1B89}"/>
              </c:ext>
            </c:extLst>
          </c:dPt>
          <c:dPt>
            <c:idx val="3"/>
            <c:invertIfNegative val="0"/>
            <c:bubble3D val="0"/>
            <c:spPr>
              <a:solidFill>
                <a:schemeClr val="accent4">
                  <a:lumMod val="40000"/>
                  <a:lumOff val="60000"/>
                </a:schemeClr>
              </a:solidFill>
              <a:ln>
                <a:solidFill>
                  <a:srgbClr val="028655"/>
                </a:solidFill>
              </a:ln>
              <a:effectLst/>
            </c:spPr>
            <c:extLst>
              <c:ext xmlns:c16="http://schemas.microsoft.com/office/drawing/2014/chart" uri="{C3380CC4-5D6E-409C-BE32-E72D297353CC}">
                <c16:uniqueId val="{00000007-35B4-4977-A027-66F5C18B1B89}"/>
              </c:ext>
            </c:extLst>
          </c:dPt>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Score2'!$C$36:$I$36</c:f>
              <c:numCache>
                <c:formatCode>mmm\-yy</c:formatCode>
                <c:ptCount val="7"/>
                <c:pt idx="0">
                  <c:v>43555</c:v>
                </c:pt>
                <c:pt idx="1">
                  <c:v>43921</c:v>
                </c:pt>
                <c:pt idx="2">
                  <c:v>44286</c:v>
                </c:pt>
                <c:pt idx="3">
                  <c:v>44651</c:v>
                </c:pt>
                <c:pt idx="4">
                  <c:v>45016</c:v>
                </c:pt>
                <c:pt idx="5">
                  <c:v>45382</c:v>
                </c:pt>
                <c:pt idx="6">
                  <c:v>45747</c:v>
                </c:pt>
              </c:numCache>
            </c:numRef>
          </c:cat>
          <c:val>
            <c:numRef>
              <c:f>'Altman''s Z Score2'!$C$37:$I$37</c:f>
              <c:numCache>
                <c:formatCode>0.00</c:formatCode>
                <c:ptCount val="7"/>
                <c:pt idx="0">
                  <c:v>1.3629918133431285</c:v>
                </c:pt>
                <c:pt idx="1">
                  <c:v>0.93593517025933426</c:v>
                </c:pt>
                <c:pt idx="2">
                  <c:v>1.3495694670932283</c:v>
                </c:pt>
                <c:pt idx="3">
                  <c:v>1.57123193996201</c:v>
                </c:pt>
                <c:pt idx="4">
                  <c:v>1.847403129887325</c:v>
                </c:pt>
                <c:pt idx="5">
                  <c:v>3.7093553566871198</c:v>
                </c:pt>
                <c:pt idx="6">
                  <c:v>3.4873216907308446</c:v>
                </c:pt>
              </c:numCache>
            </c:numRef>
          </c:val>
          <c:extLst>
            <c:ext xmlns:c16="http://schemas.microsoft.com/office/drawing/2014/chart" uri="{C3380CC4-5D6E-409C-BE32-E72D297353CC}">
              <c16:uniqueId val="{00000008-35B4-4977-A027-66F5C18B1B89}"/>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6063-443E-9EB3-064948A1E4E5}"/>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6063-443E-9EB3-064948A1E4E5}"/>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6063-443E-9EB3-064948A1E4E5}"/>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6063-443E-9EB3-064948A1E4E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'Altman''s Z Score2'!$C$24:$I$24</c:f>
              <c:numCache>
                <c:formatCode>mmm\-yy</c:formatCode>
                <c:ptCount val="7"/>
                <c:pt idx="0">
                  <c:v>43555</c:v>
                </c:pt>
                <c:pt idx="1">
                  <c:v>43921</c:v>
                </c:pt>
                <c:pt idx="2">
                  <c:v>44286</c:v>
                </c:pt>
                <c:pt idx="3">
                  <c:v>44651</c:v>
                </c:pt>
                <c:pt idx="4">
                  <c:v>45016</c:v>
                </c:pt>
                <c:pt idx="5">
                  <c:v>45382</c:v>
                </c:pt>
                <c:pt idx="6">
                  <c:v>45747</c:v>
                </c:pt>
              </c:numCache>
            </c:numRef>
          </c:cat>
          <c:val>
            <c:numRef>
              <c:f>'Altman''s Z Score2'!$C$27:$I$27</c:f>
              <c:numCache>
                <c:formatCode>0.00%</c:formatCode>
                <c:ptCount val="7"/>
                <c:pt idx="0">
                  <c:v>0.55735215944281413</c:v>
                </c:pt>
                <c:pt idx="1">
                  <c:v>0.2048427596228681</c:v>
                </c:pt>
                <c:pt idx="2">
                  <c:v>0.81306259975584427</c:v>
                </c:pt>
                <c:pt idx="3">
                  <c:v>1.1341889489990136</c:v>
                </c:pt>
                <c:pt idx="4">
                  <c:v>1.2017474986823096</c:v>
                </c:pt>
                <c:pt idx="5">
                  <c:v>3.5472273599172133</c:v>
                </c:pt>
                <c:pt idx="6">
                  <c:v>3.4706257464941297</c:v>
                </c:pt>
              </c:numCache>
            </c:numRef>
          </c:val>
          <c:extLst>
            <c:ext xmlns:c16="http://schemas.microsoft.com/office/drawing/2014/chart" uri="{C3380CC4-5D6E-409C-BE32-E72D297353CC}">
              <c16:uniqueId val="{00000008-6063-443E-9EB3-064948A1E4E5}"/>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0.00%" sourceLinked="1"/>
        <c:majorTickMark val="none"/>
        <c:minorTickMark val="none"/>
        <c:tickLblPos val="nextTo"/>
        <c:crossAx val="884029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10033407993984"/>
          <c:y val="2.5069894167705033E-2"/>
          <c:w val="0.87089966592006018"/>
          <c:h val="0.81079211233670245"/>
        </c:manualLayout>
      </c:layout>
      <c:barChart>
        <c:barDir val="col"/>
        <c:grouping val="clustered"/>
        <c:varyColors val="0"/>
        <c:ser>
          <c:idx val="0"/>
          <c:order val="0"/>
          <c:tx>
            <c:strRef>
              <c:f>'Historical Data'!$C$4</c:f>
              <c:strCache>
                <c:ptCount val="1"/>
                <c:pt idx="0">
                  <c:v>Vol.</c:v>
                </c:pt>
              </c:strCache>
            </c:strRef>
          </c:tx>
          <c:spPr>
            <a:solidFill>
              <a:schemeClr val="bg1">
                <a:lumMod val="65000"/>
              </a:schemeClr>
            </a:solidFill>
            <a:ln>
              <a:noFill/>
            </a:ln>
            <a:effectLst/>
          </c:spPr>
          <c:invertIfNegative val="0"/>
          <c:cat>
            <c:numRef>
              <c:f>'Historical Data'!$B$5:$B$1246</c:f>
              <c:numCache>
                <c:formatCode>m/d/yyyy</c:formatCode>
                <c:ptCount val="1242"/>
                <c:pt idx="0">
                  <c:v>44063</c:v>
                </c:pt>
                <c:pt idx="1">
                  <c:v>44064</c:v>
                </c:pt>
                <c:pt idx="2">
                  <c:v>44067</c:v>
                </c:pt>
                <c:pt idx="3">
                  <c:v>44068</c:v>
                </c:pt>
                <c:pt idx="4">
                  <c:v>44069</c:v>
                </c:pt>
                <c:pt idx="5">
                  <c:v>44070</c:v>
                </c:pt>
                <c:pt idx="6">
                  <c:v>44071</c:v>
                </c:pt>
                <c:pt idx="7">
                  <c:v>44074</c:v>
                </c:pt>
                <c:pt idx="8">
                  <c:v>44075</c:v>
                </c:pt>
                <c:pt idx="9">
                  <c:v>44076</c:v>
                </c:pt>
                <c:pt idx="10">
                  <c:v>44077</c:v>
                </c:pt>
                <c:pt idx="11">
                  <c:v>44078</c:v>
                </c:pt>
                <c:pt idx="12">
                  <c:v>44081</c:v>
                </c:pt>
                <c:pt idx="13">
                  <c:v>44082</c:v>
                </c:pt>
                <c:pt idx="14">
                  <c:v>44083</c:v>
                </c:pt>
                <c:pt idx="15">
                  <c:v>44084</c:v>
                </c:pt>
                <c:pt idx="16">
                  <c:v>44085</c:v>
                </c:pt>
                <c:pt idx="17">
                  <c:v>44088</c:v>
                </c:pt>
                <c:pt idx="18">
                  <c:v>44089</c:v>
                </c:pt>
                <c:pt idx="19">
                  <c:v>44090</c:v>
                </c:pt>
                <c:pt idx="20">
                  <c:v>44091</c:v>
                </c:pt>
                <c:pt idx="21">
                  <c:v>44092</c:v>
                </c:pt>
                <c:pt idx="22">
                  <c:v>44095</c:v>
                </c:pt>
                <c:pt idx="23">
                  <c:v>44096</c:v>
                </c:pt>
                <c:pt idx="24">
                  <c:v>44097</c:v>
                </c:pt>
                <c:pt idx="25">
                  <c:v>44098</c:v>
                </c:pt>
                <c:pt idx="26">
                  <c:v>44099</c:v>
                </c:pt>
                <c:pt idx="27">
                  <c:v>44102</c:v>
                </c:pt>
                <c:pt idx="28">
                  <c:v>44103</c:v>
                </c:pt>
                <c:pt idx="29">
                  <c:v>44104</c:v>
                </c:pt>
                <c:pt idx="30">
                  <c:v>44105</c:v>
                </c:pt>
                <c:pt idx="31">
                  <c:v>44109</c:v>
                </c:pt>
                <c:pt idx="32">
                  <c:v>44110</c:v>
                </c:pt>
                <c:pt idx="33">
                  <c:v>44111</c:v>
                </c:pt>
                <c:pt idx="34">
                  <c:v>44112</c:v>
                </c:pt>
                <c:pt idx="35">
                  <c:v>44113</c:v>
                </c:pt>
                <c:pt idx="36">
                  <c:v>44116</c:v>
                </c:pt>
                <c:pt idx="37">
                  <c:v>44117</c:v>
                </c:pt>
                <c:pt idx="38">
                  <c:v>44118</c:v>
                </c:pt>
                <c:pt idx="39">
                  <c:v>44119</c:v>
                </c:pt>
                <c:pt idx="40">
                  <c:v>44120</c:v>
                </c:pt>
                <c:pt idx="41">
                  <c:v>44123</c:v>
                </c:pt>
                <c:pt idx="42">
                  <c:v>44124</c:v>
                </c:pt>
                <c:pt idx="43">
                  <c:v>44125</c:v>
                </c:pt>
                <c:pt idx="44">
                  <c:v>44126</c:v>
                </c:pt>
                <c:pt idx="45">
                  <c:v>44127</c:v>
                </c:pt>
                <c:pt idx="46">
                  <c:v>44130</c:v>
                </c:pt>
                <c:pt idx="47">
                  <c:v>44131</c:v>
                </c:pt>
                <c:pt idx="48">
                  <c:v>44132</c:v>
                </c:pt>
                <c:pt idx="49">
                  <c:v>44133</c:v>
                </c:pt>
                <c:pt idx="50">
                  <c:v>44134</c:v>
                </c:pt>
                <c:pt idx="51">
                  <c:v>44137</c:v>
                </c:pt>
                <c:pt idx="52">
                  <c:v>44138</c:v>
                </c:pt>
                <c:pt idx="53">
                  <c:v>44139</c:v>
                </c:pt>
                <c:pt idx="54">
                  <c:v>44140</c:v>
                </c:pt>
                <c:pt idx="55">
                  <c:v>44141</c:v>
                </c:pt>
                <c:pt idx="56">
                  <c:v>44144</c:v>
                </c:pt>
                <c:pt idx="57">
                  <c:v>44145</c:v>
                </c:pt>
                <c:pt idx="58">
                  <c:v>44146</c:v>
                </c:pt>
                <c:pt idx="59">
                  <c:v>44147</c:v>
                </c:pt>
                <c:pt idx="60">
                  <c:v>44148</c:v>
                </c:pt>
                <c:pt idx="61">
                  <c:v>44152</c:v>
                </c:pt>
                <c:pt idx="62">
                  <c:v>44153</c:v>
                </c:pt>
                <c:pt idx="63">
                  <c:v>44154</c:v>
                </c:pt>
                <c:pt idx="64">
                  <c:v>44155</c:v>
                </c:pt>
                <c:pt idx="65">
                  <c:v>44158</c:v>
                </c:pt>
                <c:pt idx="66">
                  <c:v>44159</c:v>
                </c:pt>
                <c:pt idx="67">
                  <c:v>44160</c:v>
                </c:pt>
                <c:pt idx="68">
                  <c:v>44161</c:v>
                </c:pt>
                <c:pt idx="69">
                  <c:v>44162</c:v>
                </c:pt>
                <c:pt idx="70">
                  <c:v>44166</c:v>
                </c:pt>
                <c:pt idx="71">
                  <c:v>44167</c:v>
                </c:pt>
                <c:pt idx="72">
                  <c:v>44168</c:v>
                </c:pt>
                <c:pt idx="73">
                  <c:v>44169</c:v>
                </c:pt>
                <c:pt idx="74">
                  <c:v>44172</c:v>
                </c:pt>
                <c:pt idx="75">
                  <c:v>44173</c:v>
                </c:pt>
                <c:pt idx="76">
                  <c:v>44174</c:v>
                </c:pt>
                <c:pt idx="77">
                  <c:v>44175</c:v>
                </c:pt>
                <c:pt idx="78">
                  <c:v>44176</c:v>
                </c:pt>
                <c:pt idx="79">
                  <c:v>44179</c:v>
                </c:pt>
                <c:pt idx="80">
                  <c:v>44180</c:v>
                </c:pt>
                <c:pt idx="81">
                  <c:v>44181</c:v>
                </c:pt>
                <c:pt idx="82">
                  <c:v>44182</c:v>
                </c:pt>
                <c:pt idx="83">
                  <c:v>44183</c:v>
                </c:pt>
                <c:pt idx="84">
                  <c:v>44186</c:v>
                </c:pt>
                <c:pt idx="85">
                  <c:v>44187</c:v>
                </c:pt>
                <c:pt idx="86">
                  <c:v>44188</c:v>
                </c:pt>
                <c:pt idx="87">
                  <c:v>44189</c:v>
                </c:pt>
                <c:pt idx="88">
                  <c:v>44193</c:v>
                </c:pt>
                <c:pt idx="89">
                  <c:v>44194</c:v>
                </c:pt>
                <c:pt idx="90">
                  <c:v>44195</c:v>
                </c:pt>
                <c:pt idx="91">
                  <c:v>44196</c:v>
                </c:pt>
                <c:pt idx="92">
                  <c:v>44197</c:v>
                </c:pt>
                <c:pt idx="93">
                  <c:v>44200</c:v>
                </c:pt>
                <c:pt idx="94">
                  <c:v>44201</c:v>
                </c:pt>
                <c:pt idx="95">
                  <c:v>44202</c:v>
                </c:pt>
                <c:pt idx="96">
                  <c:v>44203</c:v>
                </c:pt>
                <c:pt idx="97">
                  <c:v>44204</c:v>
                </c:pt>
                <c:pt idx="98">
                  <c:v>44207</c:v>
                </c:pt>
                <c:pt idx="99">
                  <c:v>44208</c:v>
                </c:pt>
                <c:pt idx="100">
                  <c:v>44209</c:v>
                </c:pt>
                <c:pt idx="101">
                  <c:v>44210</c:v>
                </c:pt>
                <c:pt idx="102">
                  <c:v>44211</c:v>
                </c:pt>
                <c:pt idx="103">
                  <c:v>44214</c:v>
                </c:pt>
                <c:pt idx="104">
                  <c:v>44215</c:v>
                </c:pt>
                <c:pt idx="105">
                  <c:v>44216</c:v>
                </c:pt>
                <c:pt idx="106">
                  <c:v>44217</c:v>
                </c:pt>
                <c:pt idx="107">
                  <c:v>44218</c:v>
                </c:pt>
                <c:pt idx="108">
                  <c:v>44221</c:v>
                </c:pt>
                <c:pt idx="109">
                  <c:v>44223</c:v>
                </c:pt>
                <c:pt idx="110">
                  <c:v>44224</c:v>
                </c:pt>
                <c:pt idx="111">
                  <c:v>44225</c:v>
                </c:pt>
                <c:pt idx="112">
                  <c:v>44228</c:v>
                </c:pt>
                <c:pt idx="113">
                  <c:v>44229</c:v>
                </c:pt>
                <c:pt idx="114">
                  <c:v>44230</c:v>
                </c:pt>
                <c:pt idx="115">
                  <c:v>44231</c:v>
                </c:pt>
                <c:pt idx="116">
                  <c:v>44232</c:v>
                </c:pt>
                <c:pt idx="117">
                  <c:v>44235</c:v>
                </c:pt>
                <c:pt idx="118">
                  <c:v>44236</c:v>
                </c:pt>
                <c:pt idx="119">
                  <c:v>44237</c:v>
                </c:pt>
                <c:pt idx="120">
                  <c:v>44238</c:v>
                </c:pt>
                <c:pt idx="121">
                  <c:v>44239</c:v>
                </c:pt>
                <c:pt idx="122">
                  <c:v>44242</c:v>
                </c:pt>
                <c:pt idx="123">
                  <c:v>44243</c:v>
                </c:pt>
                <c:pt idx="124">
                  <c:v>44244</c:v>
                </c:pt>
                <c:pt idx="125">
                  <c:v>44245</c:v>
                </c:pt>
                <c:pt idx="126">
                  <c:v>44246</c:v>
                </c:pt>
                <c:pt idx="127">
                  <c:v>44249</c:v>
                </c:pt>
                <c:pt idx="128">
                  <c:v>44250</c:v>
                </c:pt>
                <c:pt idx="129">
                  <c:v>44251</c:v>
                </c:pt>
                <c:pt idx="130">
                  <c:v>44252</c:v>
                </c:pt>
                <c:pt idx="131">
                  <c:v>44253</c:v>
                </c:pt>
                <c:pt idx="132">
                  <c:v>44256</c:v>
                </c:pt>
                <c:pt idx="133">
                  <c:v>44257</c:v>
                </c:pt>
                <c:pt idx="134">
                  <c:v>44258</c:v>
                </c:pt>
                <c:pt idx="135">
                  <c:v>44259</c:v>
                </c:pt>
                <c:pt idx="136">
                  <c:v>44260</c:v>
                </c:pt>
                <c:pt idx="137">
                  <c:v>44263</c:v>
                </c:pt>
                <c:pt idx="138">
                  <c:v>44264</c:v>
                </c:pt>
                <c:pt idx="139">
                  <c:v>44265</c:v>
                </c:pt>
                <c:pt idx="140">
                  <c:v>44267</c:v>
                </c:pt>
                <c:pt idx="141">
                  <c:v>44270</c:v>
                </c:pt>
                <c:pt idx="142">
                  <c:v>44271</c:v>
                </c:pt>
                <c:pt idx="143">
                  <c:v>44272</c:v>
                </c:pt>
                <c:pt idx="144">
                  <c:v>44273</c:v>
                </c:pt>
                <c:pt idx="145">
                  <c:v>44274</c:v>
                </c:pt>
                <c:pt idx="146">
                  <c:v>44277</c:v>
                </c:pt>
                <c:pt idx="147">
                  <c:v>44278</c:v>
                </c:pt>
                <c:pt idx="148">
                  <c:v>44279</c:v>
                </c:pt>
                <c:pt idx="149">
                  <c:v>44280</c:v>
                </c:pt>
                <c:pt idx="150">
                  <c:v>44281</c:v>
                </c:pt>
                <c:pt idx="151">
                  <c:v>44285</c:v>
                </c:pt>
                <c:pt idx="152">
                  <c:v>44286</c:v>
                </c:pt>
                <c:pt idx="153">
                  <c:v>44287</c:v>
                </c:pt>
                <c:pt idx="154">
                  <c:v>44291</c:v>
                </c:pt>
                <c:pt idx="155">
                  <c:v>44292</c:v>
                </c:pt>
                <c:pt idx="156">
                  <c:v>44293</c:v>
                </c:pt>
                <c:pt idx="157">
                  <c:v>44294</c:v>
                </c:pt>
                <c:pt idx="158">
                  <c:v>44295</c:v>
                </c:pt>
                <c:pt idx="159">
                  <c:v>44298</c:v>
                </c:pt>
                <c:pt idx="160">
                  <c:v>44299</c:v>
                </c:pt>
                <c:pt idx="161">
                  <c:v>44301</c:v>
                </c:pt>
                <c:pt idx="162">
                  <c:v>44302</c:v>
                </c:pt>
                <c:pt idx="163">
                  <c:v>44305</c:v>
                </c:pt>
                <c:pt idx="164">
                  <c:v>44306</c:v>
                </c:pt>
                <c:pt idx="165">
                  <c:v>44308</c:v>
                </c:pt>
                <c:pt idx="166">
                  <c:v>44309</c:v>
                </c:pt>
                <c:pt idx="167">
                  <c:v>44312</c:v>
                </c:pt>
                <c:pt idx="168">
                  <c:v>44313</c:v>
                </c:pt>
                <c:pt idx="169">
                  <c:v>44314</c:v>
                </c:pt>
                <c:pt idx="170">
                  <c:v>44315</c:v>
                </c:pt>
                <c:pt idx="171">
                  <c:v>44316</c:v>
                </c:pt>
                <c:pt idx="172">
                  <c:v>44319</c:v>
                </c:pt>
                <c:pt idx="173">
                  <c:v>44320</c:v>
                </c:pt>
                <c:pt idx="174">
                  <c:v>44321</c:v>
                </c:pt>
                <c:pt idx="175">
                  <c:v>44322</c:v>
                </c:pt>
                <c:pt idx="176">
                  <c:v>44323</c:v>
                </c:pt>
                <c:pt idx="177">
                  <c:v>44326</c:v>
                </c:pt>
                <c:pt idx="178">
                  <c:v>44327</c:v>
                </c:pt>
                <c:pt idx="179">
                  <c:v>44328</c:v>
                </c:pt>
                <c:pt idx="180">
                  <c:v>44330</c:v>
                </c:pt>
                <c:pt idx="181">
                  <c:v>44333</c:v>
                </c:pt>
                <c:pt idx="182">
                  <c:v>44334</c:v>
                </c:pt>
                <c:pt idx="183">
                  <c:v>44335</c:v>
                </c:pt>
                <c:pt idx="184">
                  <c:v>44336</c:v>
                </c:pt>
                <c:pt idx="185">
                  <c:v>44337</c:v>
                </c:pt>
                <c:pt idx="186">
                  <c:v>44340</c:v>
                </c:pt>
                <c:pt idx="187">
                  <c:v>44341</c:v>
                </c:pt>
                <c:pt idx="188">
                  <c:v>44342</c:v>
                </c:pt>
                <c:pt idx="189">
                  <c:v>44343</c:v>
                </c:pt>
                <c:pt idx="190">
                  <c:v>44344</c:v>
                </c:pt>
                <c:pt idx="191">
                  <c:v>44347</c:v>
                </c:pt>
                <c:pt idx="192">
                  <c:v>44348</c:v>
                </c:pt>
                <c:pt idx="193">
                  <c:v>44349</c:v>
                </c:pt>
                <c:pt idx="194">
                  <c:v>44350</c:v>
                </c:pt>
                <c:pt idx="195">
                  <c:v>44351</c:v>
                </c:pt>
                <c:pt idx="196">
                  <c:v>44354</c:v>
                </c:pt>
                <c:pt idx="197">
                  <c:v>44355</c:v>
                </c:pt>
                <c:pt idx="198">
                  <c:v>44356</c:v>
                </c:pt>
                <c:pt idx="199">
                  <c:v>44357</c:v>
                </c:pt>
                <c:pt idx="200">
                  <c:v>44358</c:v>
                </c:pt>
                <c:pt idx="201">
                  <c:v>44361</c:v>
                </c:pt>
                <c:pt idx="202">
                  <c:v>44362</c:v>
                </c:pt>
                <c:pt idx="203">
                  <c:v>44363</c:v>
                </c:pt>
                <c:pt idx="204">
                  <c:v>44364</c:v>
                </c:pt>
                <c:pt idx="205">
                  <c:v>44365</c:v>
                </c:pt>
                <c:pt idx="206">
                  <c:v>44368</c:v>
                </c:pt>
                <c:pt idx="207">
                  <c:v>44369</c:v>
                </c:pt>
                <c:pt idx="208">
                  <c:v>44370</c:v>
                </c:pt>
                <c:pt idx="209">
                  <c:v>44371</c:v>
                </c:pt>
                <c:pt idx="210">
                  <c:v>44372</c:v>
                </c:pt>
                <c:pt idx="211">
                  <c:v>44375</c:v>
                </c:pt>
                <c:pt idx="212">
                  <c:v>44376</c:v>
                </c:pt>
                <c:pt idx="213">
                  <c:v>44377</c:v>
                </c:pt>
                <c:pt idx="214">
                  <c:v>44378</c:v>
                </c:pt>
                <c:pt idx="215">
                  <c:v>44379</c:v>
                </c:pt>
                <c:pt idx="216">
                  <c:v>44382</c:v>
                </c:pt>
                <c:pt idx="217">
                  <c:v>44383</c:v>
                </c:pt>
                <c:pt idx="218">
                  <c:v>44384</c:v>
                </c:pt>
                <c:pt idx="219">
                  <c:v>44385</c:v>
                </c:pt>
                <c:pt idx="220">
                  <c:v>44386</c:v>
                </c:pt>
                <c:pt idx="221">
                  <c:v>44389</c:v>
                </c:pt>
                <c:pt idx="222">
                  <c:v>44390</c:v>
                </c:pt>
                <c:pt idx="223">
                  <c:v>44391</c:v>
                </c:pt>
                <c:pt idx="224">
                  <c:v>44392</c:v>
                </c:pt>
                <c:pt idx="225">
                  <c:v>44393</c:v>
                </c:pt>
                <c:pt idx="226">
                  <c:v>44396</c:v>
                </c:pt>
                <c:pt idx="227">
                  <c:v>44397</c:v>
                </c:pt>
                <c:pt idx="228">
                  <c:v>44399</c:v>
                </c:pt>
                <c:pt idx="229">
                  <c:v>44400</c:v>
                </c:pt>
                <c:pt idx="230">
                  <c:v>44403</c:v>
                </c:pt>
                <c:pt idx="231">
                  <c:v>44404</c:v>
                </c:pt>
                <c:pt idx="232">
                  <c:v>44405</c:v>
                </c:pt>
                <c:pt idx="233">
                  <c:v>44406</c:v>
                </c:pt>
                <c:pt idx="234">
                  <c:v>44407</c:v>
                </c:pt>
                <c:pt idx="235">
                  <c:v>44410</c:v>
                </c:pt>
                <c:pt idx="236">
                  <c:v>44411</c:v>
                </c:pt>
                <c:pt idx="237">
                  <c:v>44412</c:v>
                </c:pt>
                <c:pt idx="238">
                  <c:v>44413</c:v>
                </c:pt>
                <c:pt idx="239">
                  <c:v>44414</c:v>
                </c:pt>
                <c:pt idx="240">
                  <c:v>44417</c:v>
                </c:pt>
                <c:pt idx="241">
                  <c:v>44418</c:v>
                </c:pt>
                <c:pt idx="242">
                  <c:v>44419</c:v>
                </c:pt>
                <c:pt idx="243">
                  <c:v>44420</c:v>
                </c:pt>
                <c:pt idx="244">
                  <c:v>44421</c:v>
                </c:pt>
                <c:pt idx="245">
                  <c:v>44424</c:v>
                </c:pt>
                <c:pt idx="246">
                  <c:v>44425</c:v>
                </c:pt>
                <c:pt idx="247">
                  <c:v>44426</c:v>
                </c:pt>
                <c:pt idx="248">
                  <c:v>44428</c:v>
                </c:pt>
                <c:pt idx="249">
                  <c:v>44431</c:v>
                </c:pt>
                <c:pt idx="250">
                  <c:v>44432</c:v>
                </c:pt>
                <c:pt idx="251">
                  <c:v>44433</c:v>
                </c:pt>
                <c:pt idx="252">
                  <c:v>44434</c:v>
                </c:pt>
                <c:pt idx="253">
                  <c:v>44435</c:v>
                </c:pt>
                <c:pt idx="254">
                  <c:v>44438</c:v>
                </c:pt>
                <c:pt idx="255">
                  <c:v>44439</c:v>
                </c:pt>
                <c:pt idx="256">
                  <c:v>44440</c:v>
                </c:pt>
                <c:pt idx="257">
                  <c:v>44441</c:v>
                </c:pt>
                <c:pt idx="258">
                  <c:v>44442</c:v>
                </c:pt>
                <c:pt idx="259">
                  <c:v>44445</c:v>
                </c:pt>
                <c:pt idx="260">
                  <c:v>44446</c:v>
                </c:pt>
                <c:pt idx="261">
                  <c:v>44447</c:v>
                </c:pt>
                <c:pt idx="262">
                  <c:v>44448</c:v>
                </c:pt>
                <c:pt idx="263">
                  <c:v>44452</c:v>
                </c:pt>
                <c:pt idx="264">
                  <c:v>44453</c:v>
                </c:pt>
                <c:pt idx="265">
                  <c:v>44454</c:v>
                </c:pt>
                <c:pt idx="266">
                  <c:v>44455</c:v>
                </c:pt>
                <c:pt idx="267">
                  <c:v>44456</c:v>
                </c:pt>
                <c:pt idx="268">
                  <c:v>44459</c:v>
                </c:pt>
                <c:pt idx="269">
                  <c:v>44460</c:v>
                </c:pt>
                <c:pt idx="270">
                  <c:v>44461</c:v>
                </c:pt>
                <c:pt idx="271">
                  <c:v>44462</c:v>
                </c:pt>
                <c:pt idx="272">
                  <c:v>44463</c:v>
                </c:pt>
                <c:pt idx="273">
                  <c:v>44466</c:v>
                </c:pt>
                <c:pt idx="274">
                  <c:v>44467</c:v>
                </c:pt>
                <c:pt idx="275">
                  <c:v>44468</c:v>
                </c:pt>
                <c:pt idx="276">
                  <c:v>44469</c:v>
                </c:pt>
                <c:pt idx="277">
                  <c:v>44470</c:v>
                </c:pt>
                <c:pt idx="278">
                  <c:v>44473</c:v>
                </c:pt>
                <c:pt idx="279">
                  <c:v>44474</c:v>
                </c:pt>
                <c:pt idx="280">
                  <c:v>44475</c:v>
                </c:pt>
                <c:pt idx="281">
                  <c:v>44476</c:v>
                </c:pt>
                <c:pt idx="282">
                  <c:v>44477</c:v>
                </c:pt>
                <c:pt idx="283">
                  <c:v>44480</c:v>
                </c:pt>
                <c:pt idx="284">
                  <c:v>44481</c:v>
                </c:pt>
                <c:pt idx="285">
                  <c:v>44482</c:v>
                </c:pt>
                <c:pt idx="286">
                  <c:v>44483</c:v>
                </c:pt>
                <c:pt idx="287">
                  <c:v>44487</c:v>
                </c:pt>
                <c:pt idx="288">
                  <c:v>44488</c:v>
                </c:pt>
                <c:pt idx="289">
                  <c:v>44489</c:v>
                </c:pt>
                <c:pt idx="290">
                  <c:v>44490</c:v>
                </c:pt>
                <c:pt idx="291">
                  <c:v>44491</c:v>
                </c:pt>
                <c:pt idx="292">
                  <c:v>44494</c:v>
                </c:pt>
                <c:pt idx="293">
                  <c:v>44495</c:v>
                </c:pt>
                <c:pt idx="294">
                  <c:v>44496</c:v>
                </c:pt>
                <c:pt idx="295">
                  <c:v>44497</c:v>
                </c:pt>
                <c:pt idx="296">
                  <c:v>44498</c:v>
                </c:pt>
                <c:pt idx="297">
                  <c:v>44501</c:v>
                </c:pt>
                <c:pt idx="298">
                  <c:v>44502</c:v>
                </c:pt>
                <c:pt idx="299">
                  <c:v>44503</c:v>
                </c:pt>
                <c:pt idx="300">
                  <c:v>44504</c:v>
                </c:pt>
                <c:pt idx="301">
                  <c:v>44508</c:v>
                </c:pt>
                <c:pt idx="302">
                  <c:v>44509</c:v>
                </c:pt>
                <c:pt idx="303">
                  <c:v>44510</c:v>
                </c:pt>
                <c:pt idx="304">
                  <c:v>44511</c:v>
                </c:pt>
                <c:pt idx="305">
                  <c:v>44512</c:v>
                </c:pt>
                <c:pt idx="306">
                  <c:v>44515</c:v>
                </c:pt>
                <c:pt idx="307">
                  <c:v>44516</c:v>
                </c:pt>
                <c:pt idx="308">
                  <c:v>44517</c:v>
                </c:pt>
                <c:pt idx="309">
                  <c:v>44518</c:v>
                </c:pt>
                <c:pt idx="310">
                  <c:v>44522</c:v>
                </c:pt>
                <c:pt idx="311">
                  <c:v>44523</c:v>
                </c:pt>
                <c:pt idx="312">
                  <c:v>44524</c:v>
                </c:pt>
                <c:pt idx="313">
                  <c:v>44525</c:v>
                </c:pt>
                <c:pt idx="314">
                  <c:v>44526</c:v>
                </c:pt>
                <c:pt idx="315">
                  <c:v>44529</c:v>
                </c:pt>
                <c:pt idx="316">
                  <c:v>44530</c:v>
                </c:pt>
                <c:pt idx="317">
                  <c:v>44531</c:v>
                </c:pt>
                <c:pt idx="318">
                  <c:v>44532</c:v>
                </c:pt>
                <c:pt idx="319">
                  <c:v>44533</c:v>
                </c:pt>
                <c:pt idx="320">
                  <c:v>44536</c:v>
                </c:pt>
                <c:pt idx="321">
                  <c:v>44537</c:v>
                </c:pt>
                <c:pt idx="322">
                  <c:v>44538</c:v>
                </c:pt>
                <c:pt idx="323">
                  <c:v>44539</c:v>
                </c:pt>
                <c:pt idx="324">
                  <c:v>44540</c:v>
                </c:pt>
                <c:pt idx="325">
                  <c:v>44543</c:v>
                </c:pt>
                <c:pt idx="326">
                  <c:v>44544</c:v>
                </c:pt>
                <c:pt idx="327">
                  <c:v>44545</c:v>
                </c:pt>
                <c:pt idx="328">
                  <c:v>44546</c:v>
                </c:pt>
                <c:pt idx="329">
                  <c:v>44547</c:v>
                </c:pt>
                <c:pt idx="330">
                  <c:v>44550</c:v>
                </c:pt>
                <c:pt idx="331">
                  <c:v>44551</c:v>
                </c:pt>
                <c:pt idx="332">
                  <c:v>44552</c:v>
                </c:pt>
                <c:pt idx="333">
                  <c:v>44553</c:v>
                </c:pt>
                <c:pt idx="334">
                  <c:v>44554</c:v>
                </c:pt>
                <c:pt idx="335">
                  <c:v>44557</c:v>
                </c:pt>
                <c:pt idx="336">
                  <c:v>44558</c:v>
                </c:pt>
                <c:pt idx="337">
                  <c:v>44559</c:v>
                </c:pt>
                <c:pt idx="338">
                  <c:v>44560</c:v>
                </c:pt>
                <c:pt idx="339">
                  <c:v>44561</c:v>
                </c:pt>
                <c:pt idx="340">
                  <c:v>44564</c:v>
                </c:pt>
                <c:pt idx="341">
                  <c:v>44565</c:v>
                </c:pt>
                <c:pt idx="342">
                  <c:v>44566</c:v>
                </c:pt>
                <c:pt idx="343">
                  <c:v>44567</c:v>
                </c:pt>
                <c:pt idx="344">
                  <c:v>44568</c:v>
                </c:pt>
                <c:pt idx="345">
                  <c:v>44571</c:v>
                </c:pt>
                <c:pt idx="346">
                  <c:v>44572</c:v>
                </c:pt>
                <c:pt idx="347">
                  <c:v>44573</c:v>
                </c:pt>
                <c:pt idx="348">
                  <c:v>44574</c:v>
                </c:pt>
                <c:pt idx="349">
                  <c:v>44575</c:v>
                </c:pt>
                <c:pt idx="350">
                  <c:v>44578</c:v>
                </c:pt>
                <c:pt idx="351">
                  <c:v>44579</c:v>
                </c:pt>
                <c:pt idx="352">
                  <c:v>44580</c:v>
                </c:pt>
                <c:pt idx="353">
                  <c:v>44581</c:v>
                </c:pt>
                <c:pt idx="354">
                  <c:v>44582</c:v>
                </c:pt>
                <c:pt idx="355">
                  <c:v>44585</c:v>
                </c:pt>
                <c:pt idx="356">
                  <c:v>44586</c:v>
                </c:pt>
                <c:pt idx="357">
                  <c:v>44588</c:v>
                </c:pt>
                <c:pt idx="358">
                  <c:v>44589</c:v>
                </c:pt>
                <c:pt idx="359">
                  <c:v>44592</c:v>
                </c:pt>
                <c:pt idx="360">
                  <c:v>44593</c:v>
                </c:pt>
                <c:pt idx="361">
                  <c:v>44594</c:v>
                </c:pt>
                <c:pt idx="362">
                  <c:v>44595</c:v>
                </c:pt>
                <c:pt idx="363">
                  <c:v>44596</c:v>
                </c:pt>
                <c:pt idx="364">
                  <c:v>44599</c:v>
                </c:pt>
                <c:pt idx="365">
                  <c:v>44600</c:v>
                </c:pt>
                <c:pt idx="366">
                  <c:v>44601</c:v>
                </c:pt>
                <c:pt idx="367">
                  <c:v>44602</c:v>
                </c:pt>
                <c:pt idx="368">
                  <c:v>44603</c:v>
                </c:pt>
                <c:pt idx="369">
                  <c:v>44606</c:v>
                </c:pt>
                <c:pt idx="370">
                  <c:v>44607</c:v>
                </c:pt>
                <c:pt idx="371">
                  <c:v>44608</c:v>
                </c:pt>
                <c:pt idx="372">
                  <c:v>44609</c:v>
                </c:pt>
                <c:pt idx="373">
                  <c:v>44610</c:v>
                </c:pt>
                <c:pt idx="374">
                  <c:v>44613</c:v>
                </c:pt>
                <c:pt idx="375">
                  <c:v>44614</c:v>
                </c:pt>
                <c:pt idx="376">
                  <c:v>44615</c:v>
                </c:pt>
                <c:pt idx="377">
                  <c:v>44616</c:v>
                </c:pt>
                <c:pt idx="378">
                  <c:v>44617</c:v>
                </c:pt>
                <c:pt idx="379">
                  <c:v>44620</c:v>
                </c:pt>
                <c:pt idx="380">
                  <c:v>44622</c:v>
                </c:pt>
                <c:pt idx="381">
                  <c:v>44623</c:v>
                </c:pt>
                <c:pt idx="382">
                  <c:v>44624</c:v>
                </c:pt>
                <c:pt idx="383">
                  <c:v>44627</c:v>
                </c:pt>
                <c:pt idx="384">
                  <c:v>44628</c:v>
                </c:pt>
                <c:pt idx="385">
                  <c:v>44629</c:v>
                </c:pt>
                <c:pt idx="386">
                  <c:v>44630</c:v>
                </c:pt>
                <c:pt idx="387">
                  <c:v>44631</c:v>
                </c:pt>
                <c:pt idx="388">
                  <c:v>44634</c:v>
                </c:pt>
                <c:pt idx="389">
                  <c:v>44635</c:v>
                </c:pt>
                <c:pt idx="390">
                  <c:v>44636</c:v>
                </c:pt>
                <c:pt idx="391">
                  <c:v>44637</c:v>
                </c:pt>
                <c:pt idx="392">
                  <c:v>44641</c:v>
                </c:pt>
                <c:pt idx="393">
                  <c:v>44642</c:v>
                </c:pt>
                <c:pt idx="394">
                  <c:v>44643</c:v>
                </c:pt>
                <c:pt idx="395">
                  <c:v>44644</c:v>
                </c:pt>
                <c:pt idx="396">
                  <c:v>44645</c:v>
                </c:pt>
                <c:pt idx="397">
                  <c:v>44648</c:v>
                </c:pt>
                <c:pt idx="398">
                  <c:v>44649</c:v>
                </c:pt>
                <c:pt idx="399">
                  <c:v>44650</c:v>
                </c:pt>
                <c:pt idx="400">
                  <c:v>44651</c:v>
                </c:pt>
                <c:pt idx="401">
                  <c:v>44652</c:v>
                </c:pt>
                <c:pt idx="402">
                  <c:v>44655</c:v>
                </c:pt>
                <c:pt idx="403">
                  <c:v>44656</c:v>
                </c:pt>
                <c:pt idx="404">
                  <c:v>44657</c:v>
                </c:pt>
                <c:pt idx="405">
                  <c:v>44658</c:v>
                </c:pt>
                <c:pt idx="406">
                  <c:v>44659</c:v>
                </c:pt>
                <c:pt idx="407">
                  <c:v>44662</c:v>
                </c:pt>
                <c:pt idx="408">
                  <c:v>44663</c:v>
                </c:pt>
                <c:pt idx="409">
                  <c:v>44664</c:v>
                </c:pt>
                <c:pt idx="410">
                  <c:v>44669</c:v>
                </c:pt>
                <c:pt idx="411">
                  <c:v>44670</c:v>
                </c:pt>
                <c:pt idx="412">
                  <c:v>44671</c:v>
                </c:pt>
                <c:pt idx="413">
                  <c:v>44672</c:v>
                </c:pt>
                <c:pt idx="414">
                  <c:v>44673</c:v>
                </c:pt>
                <c:pt idx="415">
                  <c:v>44676</c:v>
                </c:pt>
                <c:pt idx="416">
                  <c:v>44677</c:v>
                </c:pt>
                <c:pt idx="417">
                  <c:v>44678</c:v>
                </c:pt>
                <c:pt idx="418">
                  <c:v>44679</c:v>
                </c:pt>
                <c:pt idx="419">
                  <c:v>44680</c:v>
                </c:pt>
                <c:pt idx="420">
                  <c:v>44683</c:v>
                </c:pt>
                <c:pt idx="421">
                  <c:v>44685</c:v>
                </c:pt>
                <c:pt idx="422">
                  <c:v>44686</c:v>
                </c:pt>
                <c:pt idx="423">
                  <c:v>44687</c:v>
                </c:pt>
                <c:pt idx="424">
                  <c:v>44690</c:v>
                </c:pt>
                <c:pt idx="425">
                  <c:v>44691</c:v>
                </c:pt>
                <c:pt idx="426">
                  <c:v>44692</c:v>
                </c:pt>
                <c:pt idx="427">
                  <c:v>44693</c:v>
                </c:pt>
                <c:pt idx="428">
                  <c:v>44694</c:v>
                </c:pt>
                <c:pt idx="429">
                  <c:v>44697</c:v>
                </c:pt>
                <c:pt idx="430">
                  <c:v>44698</c:v>
                </c:pt>
                <c:pt idx="431">
                  <c:v>44699</c:v>
                </c:pt>
                <c:pt idx="432">
                  <c:v>44700</c:v>
                </c:pt>
                <c:pt idx="433">
                  <c:v>44701</c:v>
                </c:pt>
                <c:pt idx="434">
                  <c:v>44704</c:v>
                </c:pt>
                <c:pt idx="435">
                  <c:v>44705</c:v>
                </c:pt>
                <c:pt idx="436">
                  <c:v>44706</c:v>
                </c:pt>
                <c:pt idx="437">
                  <c:v>44707</c:v>
                </c:pt>
                <c:pt idx="438">
                  <c:v>44708</c:v>
                </c:pt>
                <c:pt idx="439">
                  <c:v>44711</c:v>
                </c:pt>
                <c:pt idx="440">
                  <c:v>44712</c:v>
                </c:pt>
                <c:pt idx="441">
                  <c:v>44713</c:v>
                </c:pt>
                <c:pt idx="442">
                  <c:v>44714</c:v>
                </c:pt>
                <c:pt idx="443">
                  <c:v>44715</c:v>
                </c:pt>
                <c:pt idx="444">
                  <c:v>44718</c:v>
                </c:pt>
                <c:pt idx="445">
                  <c:v>44719</c:v>
                </c:pt>
                <c:pt idx="446">
                  <c:v>44720</c:v>
                </c:pt>
                <c:pt idx="447">
                  <c:v>44721</c:v>
                </c:pt>
                <c:pt idx="448">
                  <c:v>44722</c:v>
                </c:pt>
                <c:pt idx="449">
                  <c:v>44725</c:v>
                </c:pt>
                <c:pt idx="450">
                  <c:v>44726</c:v>
                </c:pt>
                <c:pt idx="451">
                  <c:v>44727</c:v>
                </c:pt>
                <c:pt idx="452">
                  <c:v>44728</c:v>
                </c:pt>
                <c:pt idx="453">
                  <c:v>44729</c:v>
                </c:pt>
                <c:pt idx="454">
                  <c:v>44732</c:v>
                </c:pt>
                <c:pt idx="455">
                  <c:v>44733</c:v>
                </c:pt>
                <c:pt idx="456">
                  <c:v>44734</c:v>
                </c:pt>
                <c:pt idx="457">
                  <c:v>44735</c:v>
                </c:pt>
                <c:pt idx="458">
                  <c:v>44736</c:v>
                </c:pt>
                <c:pt idx="459">
                  <c:v>44739</c:v>
                </c:pt>
                <c:pt idx="460">
                  <c:v>44740</c:v>
                </c:pt>
                <c:pt idx="461">
                  <c:v>44741</c:v>
                </c:pt>
                <c:pt idx="462">
                  <c:v>44742</c:v>
                </c:pt>
                <c:pt idx="463">
                  <c:v>44743</c:v>
                </c:pt>
                <c:pt idx="464">
                  <c:v>44746</c:v>
                </c:pt>
                <c:pt idx="465">
                  <c:v>44747</c:v>
                </c:pt>
                <c:pt idx="466">
                  <c:v>44748</c:v>
                </c:pt>
                <c:pt idx="467">
                  <c:v>44749</c:v>
                </c:pt>
                <c:pt idx="468">
                  <c:v>44750</c:v>
                </c:pt>
                <c:pt idx="469">
                  <c:v>44753</c:v>
                </c:pt>
                <c:pt idx="470">
                  <c:v>44754</c:v>
                </c:pt>
                <c:pt idx="471">
                  <c:v>44755</c:v>
                </c:pt>
                <c:pt idx="472">
                  <c:v>44756</c:v>
                </c:pt>
                <c:pt idx="473">
                  <c:v>44757</c:v>
                </c:pt>
                <c:pt idx="474">
                  <c:v>44760</c:v>
                </c:pt>
                <c:pt idx="475">
                  <c:v>44761</c:v>
                </c:pt>
                <c:pt idx="476">
                  <c:v>44762</c:v>
                </c:pt>
                <c:pt idx="477">
                  <c:v>44763</c:v>
                </c:pt>
                <c:pt idx="478">
                  <c:v>44764</c:v>
                </c:pt>
                <c:pt idx="479">
                  <c:v>44767</c:v>
                </c:pt>
                <c:pt idx="480">
                  <c:v>44768</c:v>
                </c:pt>
                <c:pt idx="481">
                  <c:v>44769</c:v>
                </c:pt>
                <c:pt idx="482">
                  <c:v>44770</c:v>
                </c:pt>
                <c:pt idx="483">
                  <c:v>44771</c:v>
                </c:pt>
                <c:pt idx="484">
                  <c:v>44774</c:v>
                </c:pt>
                <c:pt idx="485">
                  <c:v>44775</c:v>
                </c:pt>
                <c:pt idx="486">
                  <c:v>44776</c:v>
                </c:pt>
                <c:pt idx="487">
                  <c:v>44777</c:v>
                </c:pt>
                <c:pt idx="488">
                  <c:v>44778</c:v>
                </c:pt>
                <c:pt idx="489">
                  <c:v>44781</c:v>
                </c:pt>
                <c:pt idx="490">
                  <c:v>44783</c:v>
                </c:pt>
                <c:pt idx="491">
                  <c:v>44784</c:v>
                </c:pt>
                <c:pt idx="492">
                  <c:v>44785</c:v>
                </c:pt>
                <c:pt idx="493">
                  <c:v>44789</c:v>
                </c:pt>
                <c:pt idx="494">
                  <c:v>44790</c:v>
                </c:pt>
                <c:pt idx="495">
                  <c:v>44791</c:v>
                </c:pt>
                <c:pt idx="496">
                  <c:v>44792</c:v>
                </c:pt>
                <c:pt idx="497">
                  <c:v>44795</c:v>
                </c:pt>
                <c:pt idx="498">
                  <c:v>44796</c:v>
                </c:pt>
                <c:pt idx="499">
                  <c:v>44797</c:v>
                </c:pt>
                <c:pt idx="500">
                  <c:v>44798</c:v>
                </c:pt>
                <c:pt idx="501">
                  <c:v>44799</c:v>
                </c:pt>
                <c:pt idx="502">
                  <c:v>44802</c:v>
                </c:pt>
                <c:pt idx="503">
                  <c:v>44803</c:v>
                </c:pt>
                <c:pt idx="504">
                  <c:v>44805</c:v>
                </c:pt>
                <c:pt idx="505">
                  <c:v>44806</c:v>
                </c:pt>
                <c:pt idx="506">
                  <c:v>44809</c:v>
                </c:pt>
                <c:pt idx="507">
                  <c:v>44810</c:v>
                </c:pt>
                <c:pt idx="508">
                  <c:v>44811</c:v>
                </c:pt>
                <c:pt idx="509">
                  <c:v>44812</c:v>
                </c:pt>
                <c:pt idx="510">
                  <c:v>44813</c:v>
                </c:pt>
                <c:pt idx="511">
                  <c:v>44816</c:v>
                </c:pt>
                <c:pt idx="512">
                  <c:v>44817</c:v>
                </c:pt>
                <c:pt idx="513">
                  <c:v>44818</c:v>
                </c:pt>
                <c:pt idx="514">
                  <c:v>44819</c:v>
                </c:pt>
                <c:pt idx="515">
                  <c:v>44820</c:v>
                </c:pt>
                <c:pt idx="516">
                  <c:v>44823</c:v>
                </c:pt>
                <c:pt idx="517">
                  <c:v>44824</c:v>
                </c:pt>
                <c:pt idx="518">
                  <c:v>44825</c:v>
                </c:pt>
                <c:pt idx="519">
                  <c:v>44826</c:v>
                </c:pt>
                <c:pt idx="520">
                  <c:v>44827</c:v>
                </c:pt>
                <c:pt idx="521">
                  <c:v>44830</c:v>
                </c:pt>
                <c:pt idx="522">
                  <c:v>44831</c:v>
                </c:pt>
                <c:pt idx="523">
                  <c:v>44832</c:v>
                </c:pt>
                <c:pt idx="524">
                  <c:v>44833</c:v>
                </c:pt>
                <c:pt idx="525">
                  <c:v>44834</c:v>
                </c:pt>
                <c:pt idx="526">
                  <c:v>44837</c:v>
                </c:pt>
                <c:pt idx="527">
                  <c:v>44838</c:v>
                </c:pt>
                <c:pt idx="528">
                  <c:v>44840</c:v>
                </c:pt>
                <c:pt idx="529">
                  <c:v>44841</c:v>
                </c:pt>
                <c:pt idx="530">
                  <c:v>44844</c:v>
                </c:pt>
                <c:pt idx="531">
                  <c:v>44845</c:v>
                </c:pt>
                <c:pt idx="532">
                  <c:v>44846</c:v>
                </c:pt>
                <c:pt idx="533">
                  <c:v>44847</c:v>
                </c:pt>
                <c:pt idx="534">
                  <c:v>44848</c:v>
                </c:pt>
                <c:pt idx="535">
                  <c:v>44851</c:v>
                </c:pt>
                <c:pt idx="536">
                  <c:v>44852</c:v>
                </c:pt>
                <c:pt idx="537">
                  <c:v>44853</c:v>
                </c:pt>
                <c:pt idx="538">
                  <c:v>44854</c:v>
                </c:pt>
                <c:pt idx="539">
                  <c:v>44855</c:v>
                </c:pt>
                <c:pt idx="540">
                  <c:v>44858</c:v>
                </c:pt>
                <c:pt idx="541">
                  <c:v>44859</c:v>
                </c:pt>
                <c:pt idx="542">
                  <c:v>44861</c:v>
                </c:pt>
                <c:pt idx="543">
                  <c:v>44862</c:v>
                </c:pt>
                <c:pt idx="544">
                  <c:v>44865</c:v>
                </c:pt>
                <c:pt idx="545">
                  <c:v>44866</c:v>
                </c:pt>
                <c:pt idx="546">
                  <c:v>44867</c:v>
                </c:pt>
                <c:pt idx="547">
                  <c:v>44868</c:v>
                </c:pt>
                <c:pt idx="548">
                  <c:v>44869</c:v>
                </c:pt>
                <c:pt idx="549">
                  <c:v>44872</c:v>
                </c:pt>
                <c:pt idx="550">
                  <c:v>44874</c:v>
                </c:pt>
                <c:pt idx="551">
                  <c:v>44875</c:v>
                </c:pt>
                <c:pt idx="552">
                  <c:v>44876</c:v>
                </c:pt>
                <c:pt idx="553">
                  <c:v>44879</c:v>
                </c:pt>
                <c:pt idx="554">
                  <c:v>44880</c:v>
                </c:pt>
                <c:pt idx="555">
                  <c:v>44881</c:v>
                </c:pt>
                <c:pt idx="556">
                  <c:v>44882</c:v>
                </c:pt>
                <c:pt idx="557">
                  <c:v>44883</c:v>
                </c:pt>
                <c:pt idx="558">
                  <c:v>44886</c:v>
                </c:pt>
                <c:pt idx="559">
                  <c:v>44887</c:v>
                </c:pt>
                <c:pt idx="560">
                  <c:v>44888</c:v>
                </c:pt>
                <c:pt idx="561">
                  <c:v>44889</c:v>
                </c:pt>
                <c:pt idx="562">
                  <c:v>44890</c:v>
                </c:pt>
                <c:pt idx="563">
                  <c:v>44893</c:v>
                </c:pt>
                <c:pt idx="564">
                  <c:v>44894</c:v>
                </c:pt>
                <c:pt idx="565">
                  <c:v>44895</c:v>
                </c:pt>
                <c:pt idx="566">
                  <c:v>44896</c:v>
                </c:pt>
                <c:pt idx="567">
                  <c:v>44897</c:v>
                </c:pt>
                <c:pt idx="568">
                  <c:v>44900</c:v>
                </c:pt>
                <c:pt idx="569">
                  <c:v>44901</c:v>
                </c:pt>
                <c:pt idx="570">
                  <c:v>44902</c:v>
                </c:pt>
                <c:pt idx="571">
                  <c:v>44903</c:v>
                </c:pt>
                <c:pt idx="572">
                  <c:v>44904</c:v>
                </c:pt>
                <c:pt idx="573">
                  <c:v>44907</c:v>
                </c:pt>
                <c:pt idx="574">
                  <c:v>44908</c:v>
                </c:pt>
                <c:pt idx="575">
                  <c:v>44909</c:v>
                </c:pt>
                <c:pt idx="576">
                  <c:v>44910</c:v>
                </c:pt>
                <c:pt idx="577">
                  <c:v>44911</c:v>
                </c:pt>
                <c:pt idx="578">
                  <c:v>44914</c:v>
                </c:pt>
                <c:pt idx="579">
                  <c:v>44915</c:v>
                </c:pt>
                <c:pt idx="580">
                  <c:v>44916</c:v>
                </c:pt>
                <c:pt idx="581">
                  <c:v>44917</c:v>
                </c:pt>
                <c:pt idx="582">
                  <c:v>44918</c:v>
                </c:pt>
                <c:pt idx="583">
                  <c:v>44921</c:v>
                </c:pt>
                <c:pt idx="584">
                  <c:v>44922</c:v>
                </c:pt>
                <c:pt idx="585">
                  <c:v>44923</c:v>
                </c:pt>
                <c:pt idx="586">
                  <c:v>44924</c:v>
                </c:pt>
                <c:pt idx="587">
                  <c:v>44925</c:v>
                </c:pt>
                <c:pt idx="588">
                  <c:v>44928</c:v>
                </c:pt>
                <c:pt idx="589">
                  <c:v>44929</c:v>
                </c:pt>
                <c:pt idx="590">
                  <c:v>44930</c:v>
                </c:pt>
                <c:pt idx="591">
                  <c:v>44931</c:v>
                </c:pt>
                <c:pt idx="592">
                  <c:v>44932</c:v>
                </c:pt>
                <c:pt idx="593">
                  <c:v>44935</c:v>
                </c:pt>
                <c:pt idx="594">
                  <c:v>44936</c:v>
                </c:pt>
                <c:pt idx="595">
                  <c:v>44937</c:v>
                </c:pt>
                <c:pt idx="596">
                  <c:v>44938</c:v>
                </c:pt>
                <c:pt idx="597">
                  <c:v>44939</c:v>
                </c:pt>
                <c:pt idx="598">
                  <c:v>44942</c:v>
                </c:pt>
                <c:pt idx="599">
                  <c:v>44943</c:v>
                </c:pt>
                <c:pt idx="600">
                  <c:v>44944</c:v>
                </c:pt>
                <c:pt idx="601">
                  <c:v>44945</c:v>
                </c:pt>
                <c:pt idx="602">
                  <c:v>44946</c:v>
                </c:pt>
                <c:pt idx="603">
                  <c:v>44949</c:v>
                </c:pt>
                <c:pt idx="604">
                  <c:v>44950</c:v>
                </c:pt>
                <c:pt idx="605">
                  <c:v>44951</c:v>
                </c:pt>
                <c:pt idx="606">
                  <c:v>44953</c:v>
                </c:pt>
                <c:pt idx="607">
                  <c:v>44956</c:v>
                </c:pt>
                <c:pt idx="608">
                  <c:v>44957</c:v>
                </c:pt>
                <c:pt idx="609">
                  <c:v>44958</c:v>
                </c:pt>
                <c:pt idx="610">
                  <c:v>44959</c:v>
                </c:pt>
                <c:pt idx="611">
                  <c:v>44960</c:v>
                </c:pt>
                <c:pt idx="612">
                  <c:v>44963</c:v>
                </c:pt>
                <c:pt idx="613">
                  <c:v>44964</c:v>
                </c:pt>
                <c:pt idx="614">
                  <c:v>44965</c:v>
                </c:pt>
                <c:pt idx="615">
                  <c:v>44966</c:v>
                </c:pt>
                <c:pt idx="616">
                  <c:v>44967</c:v>
                </c:pt>
                <c:pt idx="617">
                  <c:v>44970</c:v>
                </c:pt>
                <c:pt idx="618">
                  <c:v>44971</c:v>
                </c:pt>
                <c:pt idx="619">
                  <c:v>44972</c:v>
                </c:pt>
                <c:pt idx="620">
                  <c:v>44973</c:v>
                </c:pt>
                <c:pt idx="621">
                  <c:v>44974</c:v>
                </c:pt>
                <c:pt idx="622">
                  <c:v>44977</c:v>
                </c:pt>
                <c:pt idx="623">
                  <c:v>44978</c:v>
                </c:pt>
                <c:pt idx="624">
                  <c:v>44979</c:v>
                </c:pt>
                <c:pt idx="625">
                  <c:v>44980</c:v>
                </c:pt>
                <c:pt idx="626">
                  <c:v>44981</c:v>
                </c:pt>
                <c:pt idx="627">
                  <c:v>44984</c:v>
                </c:pt>
                <c:pt idx="628">
                  <c:v>44985</c:v>
                </c:pt>
                <c:pt idx="629">
                  <c:v>44986</c:v>
                </c:pt>
                <c:pt idx="630">
                  <c:v>44987</c:v>
                </c:pt>
                <c:pt idx="631">
                  <c:v>44988</c:v>
                </c:pt>
                <c:pt idx="632">
                  <c:v>44991</c:v>
                </c:pt>
                <c:pt idx="633">
                  <c:v>44993</c:v>
                </c:pt>
                <c:pt idx="634">
                  <c:v>44994</c:v>
                </c:pt>
                <c:pt idx="635">
                  <c:v>44995</c:v>
                </c:pt>
                <c:pt idx="636">
                  <c:v>44998</c:v>
                </c:pt>
                <c:pt idx="637">
                  <c:v>44999</c:v>
                </c:pt>
                <c:pt idx="638">
                  <c:v>45000</c:v>
                </c:pt>
                <c:pt idx="639">
                  <c:v>45001</c:v>
                </c:pt>
                <c:pt idx="640">
                  <c:v>45002</c:v>
                </c:pt>
                <c:pt idx="641">
                  <c:v>45005</c:v>
                </c:pt>
                <c:pt idx="642">
                  <c:v>45006</c:v>
                </c:pt>
                <c:pt idx="643">
                  <c:v>45007</c:v>
                </c:pt>
                <c:pt idx="644">
                  <c:v>45008</c:v>
                </c:pt>
                <c:pt idx="645">
                  <c:v>45009</c:v>
                </c:pt>
                <c:pt idx="646">
                  <c:v>45012</c:v>
                </c:pt>
                <c:pt idx="647">
                  <c:v>45013</c:v>
                </c:pt>
                <c:pt idx="648">
                  <c:v>45014</c:v>
                </c:pt>
                <c:pt idx="649">
                  <c:v>45016</c:v>
                </c:pt>
                <c:pt idx="650">
                  <c:v>45019</c:v>
                </c:pt>
                <c:pt idx="651">
                  <c:v>45021</c:v>
                </c:pt>
                <c:pt idx="652">
                  <c:v>45022</c:v>
                </c:pt>
                <c:pt idx="653">
                  <c:v>45026</c:v>
                </c:pt>
                <c:pt idx="654">
                  <c:v>45027</c:v>
                </c:pt>
                <c:pt idx="655">
                  <c:v>45028</c:v>
                </c:pt>
                <c:pt idx="656">
                  <c:v>45029</c:v>
                </c:pt>
                <c:pt idx="657">
                  <c:v>45033</c:v>
                </c:pt>
                <c:pt idx="658">
                  <c:v>45034</c:v>
                </c:pt>
                <c:pt idx="659">
                  <c:v>45035</c:v>
                </c:pt>
                <c:pt idx="660">
                  <c:v>45036</c:v>
                </c:pt>
                <c:pt idx="661">
                  <c:v>45037</c:v>
                </c:pt>
                <c:pt idx="662">
                  <c:v>45040</c:v>
                </c:pt>
                <c:pt idx="663">
                  <c:v>45041</c:v>
                </c:pt>
                <c:pt idx="664">
                  <c:v>45042</c:v>
                </c:pt>
                <c:pt idx="665">
                  <c:v>45043</c:v>
                </c:pt>
                <c:pt idx="666">
                  <c:v>45044</c:v>
                </c:pt>
                <c:pt idx="667">
                  <c:v>45048</c:v>
                </c:pt>
                <c:pt idx="668">
                  <c:v>45049</c:v>
                </c:pt>
                <c:pt idx="669">
                  <c:v>45050</c:v>
                </c:pt>
                <c:pt idx="670">
                  <c:v>45051</c:v>
                </c:pt>
                <c:pt idx="671">
                  <c:v>45054</c:v>
                </c:pt>
                <c:pt idx="672">
                  <c:v>45055</c:v>
                </c:pt>
                <c:pt idx="673">
                  <c:v>45056</c:v>
                </c:pt>
                <c:pt idx="674">
                  <c:v>45057</c:v>
                </c:pt>
                <c:pt idx="675">
                  <c:v>45058</c:v>
                </c:pt>
                <c:pt idx="676">
                  <c:v>45061</c:v>
                </c:pt>
                <c:pt idx="677">
                  <c:v>45062</c:v>
                </c:pt>
                <c:pt idx="678">
                  <c:v>45063</c:v>
                </c:pt>
                <c:pt idx="679">
                  <c:v>45064</c:v>
                </c:pt>
                <c:pt idx="680">
                  <c:v>45065</c:v>
                </c:pt>
                <c:pt idx="681">
                  <c:v>45068</c:v>
                </c:pt>
                <c:pt idx="682">
                  <c:v>45069</c:v>
                </c:pt>
                <c:pt idx="683">
                  <c:v>45070</c:v>
                </c:pt>
                <c:pt idx="684">
                  <c:v>45071</c:v>
                </c:pt>
                <c:pt idx="685">
                  <c:v>45072</c:v>
                </c:pt>
                <c:pt idx="686">
                  <c:v>45075</c:v>
                </c:pt>
                <c:pt idx="687">
                  <c:v>45076</c:v>
                </c:pt>
                <c:pt idx="688">
                  <c:v>45077</c:v>
                </c:pt>
                <c:pt idx="689">
                  <c:v>45078</c:v>
                </c:pt>
                <c:pt idx="690">
                  <c:v>45079</c:v>
                </c:pt>
                <c:pt idx="691">
                  <c:v>45082</c:v>
                </c:pt>
                <c:pt idx="692">
                  <c:v>45083</c:v>
                </c:pt>
                <c:pt idx="693">
                  <c:v>45084</c:v>
                </c:pt>
                <c:pt idx="694">
                  <c:v>45085</c:v>
                </c:pt>
                <c:pt idx="695">
                  <c:v>45086</c:v>
                </c:pt>
                <c:pt idx="696">
                  <c:v>45089</c:v>
                </c:pt>
                <c:pt idx="697">
                  <c:v>45090</c:v>
                </c:pt>
                <c:pt idx="698">
                  <c:v>45091</c:v>
                </c:pt>
                <c:pt idx="699">
                  <c:v>45092</c:v>
                </c:pt>
                <c:pt idx="700">
                  <c:v>45093</c:v>
                </c:pt>
                <c:pt idx="701">
                  <c:v>45096</c:v>
                </c:pt>
                <c:pt idx="702">
                  <c:v>45097</c:v>
                </c:pt>
                <c:pt idx="703">
                  <c:v>45098</c:v>
                </c:pt>
                <c:pt idx="704">
                  <c:v>45099</c:v>
                </c:pt>
                <c:pt idx="705">
                  <c:v>45100</c:v>
                </c:pt>
                <c:pt idx="706">
                  <c:v>45103</c:v>
                </c:pt>
                <c:pt idx="707">
                  <c:v>45104</c:v>
                </c:pt>
                <c:pt idx="708">
                  <c:v>45105</c:v>
                </c:pt>
                <c:pt idx="709">
                  <c:v>45107</c:v>
                </c:pt>
                <c:pt idx="710">
                  <c:v>45110</c:v>
                </c:pt>
                <c:pt idx="711">
                  <c:v>45111</c:v>
                </c:pt>
                <c:pt idx="712">
                  <c:v>45112</c:v>
                </c:pt>
                <c:pt idx="713">
                  <c:v>45113</c:v>
                </c:pt>
                <c:pt idx="714">
                  <c:v>45114</c:v>
                </c:pt>
                <c:pt idx="715">
                  <c:v>45117</c:v>
                </c:pt>
                <c:pt idx="716">
                  <c:v>45118</c:v>
                </c:pt>
                <c:pt idx="717">
                  <c:v>45119</c:v>
                </c:pt>
                <c:pt idx="718">
                  <c:v>45120</c:v>
                </c:pt>
                <c:pt idx="719">
                  <c:v>45121</c:v>
                </c:pt>
                <c:pt idx="720">
                  <c:v>45124</c:v>
                </c:pt>
                <c:pt idx="721">
                  <c:v>45125</c:v>
                </c:pt>
                <c:pt idx="722">
                  <c:v>45126</c:v>
                </c:pt>
                <c:pt idx="723">
                  <c:v>45127</c:v>
                </c:pt>
                <c:pt idx="724">
                  <c:v>45128</c:v>
                </c:pt>
                <c:pt idx="725">
                  <c:v>45131</c:v>
                </c:pt>
                <c:pt idx="726">
                  <c:v>45132</c:v>
                </c:pt>
                <c:pt idx="727">
                  <c:v>45133</c:v>
                </c:pt>
                <c:pt idx="728">
                  <c:v>45134</c:v>
                </c:pt>
                <c:pt idx="729">
                  <c:v>45135</c:v>
                </c:pt>
                <c:pt idx="730">
                  <c:v>45138</c:v>
                </c:pt>
                <c:pt idx="731">
                  <c:v>45139</c:v>
                </c:pt>
                <c:pt idx="732">
                  <c:v>45140</c:v>
                </c:pt>
                <c:pt idx="733">
                  <c:v>45141</c:v>
                </c:pt>
                <c:pt idx="734">
                  <c:v>45142</c:v>
                </c:pt>
                <c:pt idx="735">
                  <c:v>45145</c:v>
                </c:pt>
                <c:pt idx="736">
                  <c:v>45146</c:v>
                </c:pt>
                <c:pt idx="737">
                  <c:v>45147</c:v>
                </c:pt>
                <c:pt idx="738">
                  <c:v>45148</c:v>
                </c:pt>
                <c:pt idx="739">
                  <c:v>45149</c:v>
                </c:pt>
                <c:pt idx="740">
                  <c:v>45152</c:v>
                </c:pt>
                <c:pt idx="741">
                  <c:v>45154</c:v>
                </c:pt>
                <c:pt idx="742">
                  <c:v>45155</c:v>
                </c:pt>
                <c:pt idx="743">
                  <c:v>45156</c:v>
                </c:pt>
                <c:pt idx="744">
                  <c:v>45159</c:v>
                </c:pt>
                <c:pt idx="745">
                  <c:v>45160</c:v>
                </c:pt>
                <c:pt idx="746">
                  <c:v>45161</c:v>
                </c:pt>
                <c:pt idx="747">
                  <c:v>45162</c:v>
                </c:pt>
                <c:pt idx="748">
                  <c:v>45163</c:v>
                </c:pt>
                <c:pt idx="749">
                  <c:v>45166</c:v>
                </c:pt>
                <c:pt idx="750">
                  <c:v>45167</c:v>
                </c:pt>
                <c:pt idx="751">
                  <c:v>45168</c:v>
                </c:pt>
                <c:pt idx="752">
                  <c:v>45169</c:v>
                </c:pt>
                <c:pt idx="753">
                  <c:v>45170</c:v>
                </c:pt>
                <c:pt idx="754">
                  <c:v>45173</c:v>
                </c:pt>
                <c:pt idx="755">
                  <c:v>45174</c:v>
                </c:pt>
                <c:pt idx="756">
                  <c:v>45175</c:v>
                </c:pt>
                <c:pt idx="757">
                  <c:v>45176</c:v>
                </c:pt>
                <c:pt idx="758">
                  <c:v>45177</c:v>
                </c:pt>
                <c:pt idx="759">
                  <c:v>45180</c:v>
                </c:pt>
                <c:pt idx="760">
                  <c:v>45181</c:v>
                </c:pt>
                <c:pt idx="761">
                  <c:v>45182</c:v>
                </c:pt>
                <c:pt idx="762">
                  <c:v>45183</c:v>
                </c:pt>
                <c:pt idx="763">
                  <c:v>45184</c:v>
                </c:pt>
                <c:pt idx="764">
                  <c:v>45187</c:v>
                </c:pt>
                <c:pt idx="765">
                  <c:v>45189</c:v>
                </c:pt>
                <c:pt idx="766">
                  <c:v>45190</c:v>
                </c:pt>
                <c:pt idx="767">
                  <c:v>45191</c:v>
                </c:pt>
                <c:pt idx="768">
                  <c:v>45194</c:v>
                </c:pt>
                <c:pt idx="769">
                  <c:v>45195</c:v>
                </c:pt>
                <c:pt idx="770">
                  <c:v>45196</c:v>
                </c:pt>
                <c:pt idx="771">
                  <c:v>45197</c:v>
                </c:pt>
                <c:pt idx="772">
                  <c:v>45198</c:v>
                </c:pt>
                <c:pt idx="773">
                  <c:v>45202</c:v>
                </c:pt>
                <c:pt idx="774">
                  <c:v>45203</c:v>
                </c:pt>
                <c:pt idx="775">
                  <c:v>45204</c:v>
                </c:pt>
                <c:pt idx="776">
                  <c:v>45205</c:v>
                </c:pt>
                <c:pt idx="777">
                  <c:v>45208</c:v>
                </c:pt>
                <c:pt idx="778">
                  <c:v>45209</c:v>
                </c:pt>
                <c:pt idx="779">
                  <c:v>45210</c:v>
                </c:pt>
                <c:pt idx="780">
                  <c:v>45211</c:v>
                </c:pt>
                <c:pt idx="781">
                  <c:v>45212</c:v>
                </c:pt>
                <c:pt idx="782">
                  <c:v>45215</c:v>
                </c:pt>
                <c:pt idx="783">
                  <c:v>45216</c:v>
                </c:pt>
                <c:pt idx="784">
                  <c:v>45217</c:v>
                </c:pt>
                <c:pt idx="785">
                  <c:v>45218</c:v>
                </c:pt>
                <c:pt idx="786">
                  <c:v>45219</c:v>
                </c:pt>
                <c:pt idx="787">
                  <c:v>45222</c:v>
                </c:pt>
                <c:pt idx="788">
                  <c:v>45224</c:v>
                </c:pt>
                <c:pt idx="789">
                  <c:v>45225</c:v>
                </c:pt>
                <c:pt idx="790">
                  <c:v>45226</c:v>
                </c:pt>
                <c:pt idx="791">
                  <c:v>45229</c:v>
                </c:pt>
                <c:pt idx="792">
                  <c:v>45230</c:v>
                </c:pt>
                <c:pt idx="793">
                  <c:v>45231</c:v>
                </c:pt>
                <c:pt idx="794">
                  <c:v>45232</c:v>
                </c:pt>
                <c:pt idx="795">
                  <c:v>45233</c:v>
                </c:pt>
                <c:pt idx="796">
                  <c:v>45236</c:v>
                </c:pt>
                <c:pt idx="797">
                  <c:v>45237</c:v>
                </c:pt>
                <c:pt idx="798">
                  <c:v>45238</c:v>
                </c:pt>
                <c:pt idx="799">
                  <c:v>45239</c:v>
                </c:pt>
                <c:pt idx="800">
                  <c:v>45240</c:v>
                </c:pt>
                <c:pt idx="801">
                  <c:v>45242</c:v>
                </c:pt>
                <c:pt idx="802">
                  <c:v>45243</c:v>
                </c:pt>
                <c:pt idx="803">
                  <c:v>45245</c:v>
                </c:pt>
                <c:pt idx="804">
                  <c:v>45246</c:v>
                </c:pt>
                <c:pt idx="805">
                  <c:v>45247</c:v>
                </c:pt>
                <c:pt idx="806">
                  <c:v>45250</c:v>
                </c:pt>
                <c:pt idx="807">
                  <c:v>45251</c:v>
                </c:pt>
                <c:pt idx="808">
                  <c:v>45252</c:v>
                </c:pt>
                <c:pt idx="809">
                  <c:v>45253</c:v>
                </c:pt>
                <c:pt idx="810">
                  <c:v>45254</c:v>
                </c:pt>
                <c:pt idx="811">
                  <c:v>45258</c:v>
                </c:pt>
                <c:pt idx="812">
                  <c:v>45259</c:v>
                </c:pt>
                <c:pt idx="813">
                  <c:v>45260</c:v>
                </c:pt>
                <c:pt idx="814">
                  <c:v>45261</c:v>
                </c:pt>
                <c:pt idx="815">
                  <c:v>45264</c:v>
                </c:pt>
                <c:pt idx="816">
                  <c:v>45265</c:v>
                </c:pt>
                <c:pt idx="817">
                  <c:v>45266</c:v>
                </c:pt>
                <c:pt idx="818">
                  <c:v>45267</c:v>
                </c:pt>
                <c:pt idx="819">
                  <c:v>45268</c:v>
                </c:pt>
                <c:pt idx="820">
                  <c:v>45271</c:v>
                </c:pt>
                <c:pt idx="821">
                  <c:v>45272</c:v>
                </c:pt>
                <c:pt idx="822">
                  <c:v>45273</c:v>
                </c:pt>
                <c:pt idx="823">
                  <c:v>45274</c:v>
                </c:pt>
                <c:pt idx="824">
                  <c:v>45275</c:v>
                </c:pt>
                <c:pt idx="825">
                  <c:v>45278</c:v>
                </c:pt>
                <c:pt idx="826">
                  <c:v>45279</c:v>
                </c:pt>
                <c:pt idx="827">
                  <c:v>45280</c:v>
                </c:pt>
                <c:pt idx="828">
                  <c:v>45281</c:v>
                </c:pt>
                <c:pt idx="829">
                  <c:v>45282</c:v>
                </c:pt>
                <c:pt idx="830">
                  <c:v>45286</c:v>
                </c:pt>
                <c:pt idx="831">
                  <c:v>45287</c:v>
                </c:pt>
                <c:pt idx="832">
                  <c:v>45288</c:v>
                </c:pt>
                <c:pt idx="833">
                  <c:v>45289</c:v>
                </c:pt>
                <c:pt idx="834">
                  <c:v>45292</c:v>
                </c:pt>
                <c:pt idx="835">
                  <c:v>45293</c:v>
                </c:pt>
                <c:pt idx="836">
                  <c:v>45294</c:v>
                </c:pt>
                <c:pt idx="837">
                  <c:v>45295</c:v>
                </c:pt>
                <c:pt idx="838">
                  <c:v>45296</c:v>
                </c:pt>
                <c:pt idx="839">
                  <c:v>45299</c:v>
                </c:pt>
                <c:pt idx="840">
                  <c:v>45300</c:v>
                </c:pt>
                <c:pt idx="841">
                  <c:v>45301</c:v>
                </c:pt>
                <c:pt idx="842">
                  <c:v>45302</c:v>
                </c:pt>
                <c:pt idx="843">
                  <c:v>45303</c:v>
                </c:pt>
                <c:pt idx="844">
                  <c:v>45306</c:v>
                </c:pt>
                <c:pt idx="845">
                  <c:v>45307</c:v>
                </c:pt>
                <c:pt idx="846">
                  <c:v>45308</c:v>
                </c:pt>
                <c:pt idx="847">
                  <c:v>45309</c:v>
                </c:pt>
                <c:pt idx="848">
                  <c:v>45310</c:v>
                </c:pt>
                <c:pt idx="849">
                  <c:v>45311</c:v>
                </c:pt>
                <c:pt idx="850">
                  <c:v>45314</c:v>
                </c:pt>
                <c:pt idx="851">
                  <c:v>45315</c:v>
                </c:pt>
                <c:pt idx="852">
                  <c:v>45316</c:v>
                </c:pt>
                <c:pt idx="853">
                  <c:v>45320</c:v>
                </c:pt>
                <c:pt idx="854">
                  <c:v>45321</c:v>
                </c:pt>
                <c:pt idx="855">
                  <c:v>45322</c:v>
                </c:pt>
                <c:pt idx="856">
                  <c:v>45323</c:v>
                </c:pt>
                <c:pt idx="857">
                  <c:v>45324</c:v>
                </c:pt>
                <c:pt idx="858">
                  <c:v>45327</c:v>
                </c:pt>
                <c:pt idx="859">
                  <c:v>45328</c:v>
                </c:pt>
                <c:pt idx="860">
                  <c:v>45329</c:v>
                </c:pt>
                <c:pt idx="861">
                  <c:v>45330</c:v>
                </c:pt>
                <c:pt idx="862">
                  <c:v>45331</c:v>
                </c:pt>
                <c:pt idx="863">
                  <c:v>45334</c:v>
                </c:pt>
                <c:pt idx="864">
                  <c:v>45335</c:v>
                </c:pt>
                <c:pt idx="865">
                  <c:v>45336</c:v>
                </c:pt>
                <c:pt idx="866">
                  <c:v>45337</c:v>
                </c:pt>
                <c:pt idx="867">
                  <c:v>45338</c:v>
                </c:pt>
                <c:pt idx="868">
                  <c:v>45341</c:v>
                </c:pt>
                <c:pt idx="869">
                  <c:v>45342</c:v>
                </c:pt>
                <c:pt idx="870">
                  <c:v>45343</c:v>
                </c:pt>
                <c:pt idx="871">
                  <c:v>45344</c:v>
                </c:pt>
                <c:pt idx="872">
                  <c:v>45345</c:v>
                </c:pt>
                <c:pt idx="873">
                  <c:v>45348</c:v>
                </c:pt>
                <c:pt idx="874">
                  <c:v>45349</c:v>
                </c:pt>
                <c:pt idx="875">
                  <c:v>45350</c:v>
                </c:pt>
                <c:pt idx="876">
                  <c:v>45351</c:v>
                </c:pt>
                <c:pt idx="877">
                  <c:v>45352</c:v>
                </c:pt>
                <c:pt idx="878">
                  <c:v>45353</c:v>
                </c:pt>
                <c:pt idx="879">
                  <c:v>45355</c:v>
                </c:pt>
                <c:pt idx="880">
                  <c:v>45356</c:v>
                </c:pt>
                <c:pt idx="881">
                  <c:v>45357</c:v>
                </c:pt>
                <c:pt idx="882">
                  <c:v>45358</c:v>
                </c:pt>
                <c:pt idx="883">
                  <c:v>45362</c:v>
                </c:pt>
                <c:pt idx="884">
                  <c:v>45363</c:v>
                </c:pt>
                <c:pt idx="885">
                  <c:v>45364</c:v>
                </c:pt>
                <c:pt idx="886">
                  <c:v>45365</c:v>
                </c:pt>
                <c:pt idx="887">
                  <c:v>45366</c:v>
                </c:pt>
                <c:pt idx="888">
                  <c:v>45369</c:v>
                </c:pt>
                <c:pt idx="889">
                  <c:v>45370</c:v>
                </c:pt>
                <c:pt idx="890">
                  <c:v>45371</c:v>
                </c:pt>
                <c:pt idx="891">
                  <c:v>45372</c:v>
                </c:pt>
                <c:pt idx="892">
                  <c:v>45373</c:v>
                </c:pt>
                <c:pt idx="893">
                  <c:v>45377</c:v>
                </c:pt>
                <c:pt idx="894">
                  <c:v>45378</c:v>
                </c:pt>
                <c:pt idx="895">
                  <c:v>45379</c:v>
                </c:pt>
                <c:pt idx="896">
                  <c:v>45383</c:v>
                </c:pt>
                <c:pt idx="897">
                  <c:v>45384</c:v>
                </c:pt>
                <c:pt idx="898">
                  <c:v>45385</c:v>
                </c:pt>
                <c:pt idx="899">
                  <c:v>45386</c:v>
                </c:pt>
                <c:pt idx="900">
                  <c:v>45387</c:v>
                </c:pt>
                <c:pt idx="901">
                  <c:v>45390</c:v>
                </c:pt>
                <c:pt idx="902">
                  <c:v>45391</c:v>
                </c:pt>
                <c:pt idx="903">
                  <c:v>45392</c:v>
                </c:pt>
                <c:pt idx="904">
                  <c:v>45394</c:v>
                </c:pt>
                <c:pt idx="905">
                  <c:v>45397</c:v>
                </c:pt>
                <c:pt idx="906">
                  <c:v>45398</c:v>
                </c:pt>
                <c:pt idx="907">
                  <c:v>45400</c:v>
                </c:pt>
                <c:pt idx="908">
                  <c:v>45401</c:v>
                </c:pt>
                <c:pt idx="909">
                  <c:v>45404</c:v>
                </c:pt>
                <c:pt idx="910">
                  <c:v>45405</c:v>
                </c:pt>
                <c:pt idx="911">
                  <c:v>45406</c:v>
                </c:pt>
                <c:pt idx="912">
                  <c:v>45407</c:v>
                </c:pt>
                <c:pt idx="913">
                  <c:v>45408</c:v>
                </c:pt>
                <c:pt idx="914">
                  <c:v>45411</c:v>
                </c:pt>
                <c:pt idx="915">
                  <c:v>45412</c:v>
                </c:pt>
                <c:pt idx="916">
                  <c:v>45414</c:v>
                </c:pt>
                <c:pt idx="917">
                  <c:v>45415</c:v>
                </c:pt>
                <c:pt idx="918">
                  <c:v>45418</c:v>
                </c:pt>
                <c:pt idx="919">
                  <c:v>45419</c:v>
                </c:pt>
                <c:pt idx="920">
                  <c:v>45420</c:v>
                </c:pt>
                <c:pt idx="921">
                  <c:v>45421</c:v>
                </c:pt>
                <c:pt idx="922">
                  <c:v>45422</c:v>
                </c:pt>
                <c:pt idx="923">
                  <c:v>45425</c:v>
                </c:pt>
                <c:pt idx="924">
                  <c:v>45426</c:v>
                </c:pt>
                <c:pt idx="925">
                  <c:v>45427</c:v>
                </c:pt>
                <c:pt idx="926">
                  <c:v>45428</c:v>
                </c:pt>
                <c:pt idx="927">
                  <c:v>45429</c:v>
                </c:pt>
                <c:pt idx="928">
                  <c:v>45430</c:v>
                </c:pt>
                <c:pt idx="929">
                  <c:v>45433</c:v>
                </c:pt>
                <c:pt idx="930">
                  <c:v>45434</c:v>
                </c:pt>
                <c:pt idx="931">
                  <c:v>45435</c:v>
                </c:pt>
                <c:pt idx="932">
                  <c:v>45436</c:v>
                </c:pt>
                <c:pt idx="933">
                  <c:v>45439</c:v>
                </c:pt>
                <c:pt idx="934">
                  <c:v>45440</c:v>
                </c:pt>
                <c:pt idx="935">
                  <c:v>45441</c:v>
                </c:pt>
                <c:pt idx="936">
                  <c:v>45442</c:v>
                </c:pt>
                <c:pt idx="937">
                  <c:v>45443</c:v>
                </c:pt>
                <c:pt idx="938">
                  <c:v>45446</c:v>
                </c:pt>
                <c:pt idx="939">
                  <c:v>45447</c:v>
                </c:pt>
                <c:pt idx="940">
                  <c:v>45448</c:v>
                </c:pt>
                <c:pt idx="941">
                  <c:v>45449</c:v>
                </c:pt>
                <c:pt idx="942">
                  <c:v>45450</c:v>
                </c:pt>
                <c:pt idx="943">
                  <c:v>45453</c:v>
                </c:pt>
                <c:pt idx="944">
                  <c:v>45454</c:v>
                </c:pt>
                <c:pt idx="945">
                  <c:v>45455</c:v>
                </c:pt>
                <c:pt idx="946">
                  <c:v>45456</c:v>
                </c:pt>
                <c:pt idx="947">
                  <c:v>45457</c:v>
                </c:pt>
                <c:pt idx="948">
                  <c:v>45461</c:v>
                </c:pt>
                <c:pt idx="949">
                  <c:v>45462</c:v>
                </c:pt>
                <c:pt idx="950">
                  <c:v>45463</c:v>
                </c:pt>
                <c:pt idx="951">
                  <c:v>45464</c:v>
                </c:pt>
                <c:pt idx="952">
                  <c:v>45467</c:v>
                </c:pt>
                <c:pt idx="953">
                  <c:v>45468</c:v>
                </c:pt>
                <c:pt idx="954">
                  <c:v>45469</c:v>
                </c:pt>
                <c:pt idx="955">
                  <c:v>45470</c:v>
                </c:pt>
                <c:pt idx="956">
                  <c:v>45471</c:v>
                </c:pt>
                <c:pt idx="957">
                  <c:v>45474</c:v>
                </c:pt>
                <c:pt idx="958">
                  <c:v>45475</c:v>
                </c:pt>
                <c:pt idx="959">
                  <c:v>45476</c:v>
                </c:pt>
                <c:pt idx="960">
                  <c:v>45477</c:v>
                </c:pt>
                <c:pt idx="961">
                  <c:v>45478</c:v>
                </c:pt>
                <c:pt idx="962">
                  <c:v>45481</c:v>
                </c:pt>
                <c:pt idx="963">
                  <c:v>45482</c:v>
                </c:pt>
                <c:pt idx="964">
                  <c:v>45483</c:v>
                </c:pt>
                <c:pt idx="965">
                  <c:v>45484</c:v>
                </c:pt>
                <c:pt idx="966">
                  <c:v>45485</c:v>
                </c:pt>
                <c:pt idx="967">
                  <c:v>45488</c:v>
                </c:pt>
                <c:pt idx="968">
                  <c:v>45489</c:v>
                </c:pt>
                <c:pt idx="969">
                  <c:v>45491</c:v>
                </c:pt>
                <c:pt idx="970">
                  <c:v>45492</c:v>
                </c:pt>
                <c:pt idx="971">
                  <c:v>45495</c:v>
                </c:pt>
                <c:pt idx="972">
                  <c:v>45496</c:v>
                </c:pt>
                <c:pt idx="973">
                  <c:v>45497</c:v>
                </c:pt>
                <c:pt idx="974">
                  <c:v>45498</c:v>
                </c:pt>
                <c:pt idx="975">
                  <c:v>45499</c:v>
                </c:pt>
                <c:pt idx="976">
                  <c:v>45502</c:v>
                </c:pt>
                <c:pt idx="977">
                  <c:v>45503</c:v>
                </c:pt>
                <c:pt idx="978">
                  <c:v>45504</c:v>
                </c:pt>
                <c:pt idx="979">
                  <c:v>45505</c:v>
                </c:pt>
                <c:pt idx="980">
                  <c:v>45506</c:v>
                </c:pt>
                <c:pt idx="981">
                  <c:v>45509</c:v>
                </c:pt>
                <c:pt idx="982">
                  <c:v>45510</c:v>
                </c:pt>
                <c:pt idx="983">
                  <c:v>45511</c:v>
                </c:pt>
                <c:pt idx="984">
                  <c:v>45512</c:v>
                </c:pt>
                <c:pt idx="985">
                  <c:v>45513</c:v>
                </c:pt>
                <c:pt idx="986">
                  <c:v>45516</c:v>
                </c:pt>
                <c:pt idx="987">
                  <c:v>45517</c:v>
                </c:pt>
                <c:pt idx="988">
                  <c:v>45518</c:v>
                </c:pt>
                <c:pt idx="989">
                  <c:v>45520</c:v>
                </c:pt>
                <c:pt idx="990">
                  <c:v>45523</c:v>
                </c:pt>
                <c:pt idx="991">
                  <c:v>45524</c:v>
                </c:pt>
                <c:pt idx="992">
                  <c:v>45525</c:v>
                </c:pt>
                <c:pt idx="993">
                  <c:v>45526</c:v>
                </c:pt>
                <c:pt idx="994">
                  <c:v>45527</c:v>
                </c:pt>
                <c:pt idx="995">
                  <c:v>45530</c:v>
                </c:pt>
                <c:pt idx="996">
                  <c:v>45531</c:v>
                </c:pt>
                <c:pt idx="997">
                  <c:v>45532</c:v>
                </c:pt>
                <c:pt idx="998">
                  <c:v>45533</c:v>
                </c:pt>
                <c:pt idx="999">
                  <c:v>45534</c:v>
                </c:pt>
                <c:pt idx="1000">
                  <c:v>45537</c:v>
                </c:pt>
                <c:pt idx="1001">
                  <c:v>45538</c:v>
                </c:pt>
                <c:pt idx="1002">
                  <c:v>45539</c:v>
                </c:pt>
                <c:pt idx="1003">
                  <c:v>45540</c:v>
                </c:pt>
                <c:pt idx="1004">
                  <c:v>45541</c:v>
                </c:pt>
                <c:pt idx="1005">
                  <c:v>45544</c:v>
                </c:pt>
                <c:pt idx="1006">
                  <c:v>45545</c:v>
                </c:pt>
                <c:pt idx="1007">
                  <c:v>45546</c:v>
                </c:pt>
                <c:pt idx="1008">
                  <c:v>45547</c:v>
                </c:pt>
                <c:pt idx="1009">
                  <c:v>45548</c:v>
                </c:pt>
                <c:pt idx="1010">
                  <c:v>45551</c:v>
                </c:pt>
                <c:pt idx="1011">
                  <c:v>45552</c:v>
                </c:pt>
                <c:pt idx="1012">
                  <c:v>45553</c:v>
                </c:pt>
                <c:pt idx="1013">
                  <c:v>45554</c:v>
                </c:pt>
                <c:pt idx="1014">
                  <c:v>45555</c:v>
                </c:pt>
                <c:pt idx="1015">
                  <c:v>45558</c:v>
                </c:pt>
                <c:pt idx="1016">
                  <c:v>45559</c:v>
                </c:pt>
                <c:pt idx="1017">
                  <c:v>45560</c:v>
                </c:pt>
                <c:pt idx="1018">
                  <c:v>45561</c:v>
                </c:pt>
                <c:pt idx="1019">
                  <c:v>45562</c:v>
                </c:pt>
                <c:pt idx="1020">
                  <c:v>45565</c:v>
                </c:pt>
                <c:pt idx="1021">
                  <c:v>45566</c:v>
                </c:pt>
                <c:pt idx="1022">
                  <c:v>45568</c:v>
                </c:pt>
                <c:pt idx="1023">
                  <c:v>45569</c:v>
                </c:pt>
                <c:pt idx="1024">
                  <c:v>45572</c:v>
                </c:pt>
                <c:pt idx="1025">
                  <c:v>45573</c:v>
                </c:pt>
                <c:pt idx="1026">
                  <c:v>45574</c:v>
                </c:pt>
                <c:pt idx="1027">
                  <c:v>45575</c:v>
                </c:pt>
                <c:pt idx="1028">
                  <c:v>45576</c:v>
                </c:pt>
                <c:pt idx="1029">
                  <c:v>45579</c:v>
                </c:pt>
                <c:pt idx="1030">
                  <c:v>45580</c:v>
                </c:pt>
                <c:pt idx="1031">
                  <c:v>45581</c:v>
                </c:pt>
                <c:pt idx="1032">
                  <c:v>45582</c:v>
                </c:pt>
                <c:pt idx="1033">
                  <c:v>45583</c:v>
                </c:pt>
                <c:pt idx="1034">
                  <c:v>45586</c:v>
                </c:pt>
                <c:pt idx="1035">
                  <c:v>45587</c:v>
                </c:pt>
                <c:pt idx="1036">
                  <c:v>45588</c:v>
                </c:pt>
                <c:pt idx="1037">
                  <c:v>45589</c:v>
                </c:pt>
                <c:pt idx="1038">
                  <c:v>45590</c:v>
                </c:pt>
                <c:pt idx="1039">
                  <c:v>45593</c:v>
                </c:pt>
                <c:pt idx="1040">
                  <c:v>45594</c:v>
                </c:pt>
                <c:pt idx="1041">
                  <c:v>45595</c:v>
                </c:pt>
                <c:pt idx="1042">
                  <c:v>45596</c:v>
                </c:pt>
                <c:pt idx="1043">
                  <c:v>45597</c:v>
                </c:pt>
                <c:pt idx="1044">
                  <c:v>45600</c:v>
                </c:pt>
                <c:pt idx="1045">
                  <c:v>45601</c:v>
                </c:pt>
                <c:pt idx="1046">
                  <c:v>45602</c:v>
                </c:pt>
                <c:pt idx="1047">
                  <c:v>45603</c:v>
                </c:pt>
                <c:pt idx="1048">
                  <c:v>45604</c:v>
                </c:pt>
                <c:pt idx="1049">
                  <c:v>45607</c:v>
                </c:pt>
                <c:pt idx="1050">
                  <c:v>45608</c:v>
                </c:pt>
                <c:pt idx="1051">
                  <c:v>45609</c:v>
                </c:pt>
                <c:pt idx="1052">
                  <c:v>45610</c:v>
                </c:pt>
                <c:pt idx="1053">
                  <c:v>45614</c:v>
                </c:pt>
                <c:pt idx="1054">
                  <c:v>45615</c:v>
                </c:pt>
                <c:pt idx="1055">
                  <c:v>45617</c:v>
                </c:pt>
                <c:pt idx="1056">
                  <c:v>45618</c:v>
                </c:pt>
                <c:pt idx="1057">
                  <c:v>45621</c:v>
                </c:pt>
                <c:pt idx="1058">
                  <c:v>45622</c:v>
                </c:pt>
                <c:pt idx="1059">
                  <c:v>45623</c:v>
                </c:pt>
                <c:pt idx="1060">
                  <c:v>45624</c:v>
                </c:pt>
                <c:pt idx="1061">
                  <c:v>45625</c:v>
                </c:pt>
                <c:pt idx="1062">
                  <c:v>45628</c:v>
                </c:pt>
                <c:pt idx="1063">
                  <c:v>45629</c:v>
                </c:pt>
                <c:pt idx="1064">
                  <c:v>45630</c:v>
                </c:pt>
                <c:pt idx="1065">
                  <c:v>45631</c:v>
                </c:pt>
                <c:pt idx="1066">
                  <c:v>45632</c:v>
                </c:pt>
                <c:pt idx="1067">
                  <c:v>45635</c:v>
                </c:pt>
                <c:pt idx="1068">
                  <c:v>45636</c:v>
                </c:pt>
                <c:pt idx="1069">
                  <c:v>45637</c:v>
                </c:pt>
                <c:pt idx="1070">
                  <c:v>45638</c:v>
                </c:pt>
                <c:pt idx="1071">
                  <c:v>45639</c:v>
                </c:pt>
                <c:pt idx="1072">
                  <c:v>45642</c:v>
                </c:pt>
                <c:pt idx="1073">
                  <c:v>45643</c:v>
                </c:pt>
                <c:pt idx="1074">
                  <c:v>45644</c:v>
                </c:pt>
                <c:pt idx="1075">
                  <c:v>45645</c:v>
                </c:pt>
                <c:pt idx="1076">
                  <c:v>45646</c:v>
                </c:pt>
                <c:pt idx="1077">
                  <c:v>45649</c:v>
                </c:pt>
                <c:pt idx="1078">
                  <c:v>45650</c:v>
                </c:pt>
                <c:pt idx="1079">
                  <c:v>45652</c:v>
                </c:pt>
                <c:pt idx="1080">
                  <c:v>45653</c:v>
                </c:pt>
                <c:pt idx="1081">
                  <c:v>45656</c:v>
                </c:pt>
                <c:pt idx="1082">
                  <c:v>45657</c:v>
                </c:pt>
                <c:pt idx="1083">
                  <c:v>45658</c:v>
                </c:pt>
                <c:pt idx="1084">
                  <c:v>45659</c:v>
                </c:pt>
                <c:pt idx="1085">
                  <c:v>45660</c:v>
                </c:pt>
                <c:pt idx="1086">
                  <c:v>45663</c:v>
                </c:pt>
                <c:pt idx="1087">
                  <c:v>45664</c:v>
                </c:pt>
                <c:pt idx="1088">
                  <c:v>45665</c:v>
                </c:pt>
                <c:pt idx="1089">
                  <c:v>45666</c:v>
                </c:pt>
                <c:pt idx="1090">
                  <c:v>45667</c:v>
                </c:pt>
                <c:pt idx="1091">
                  <c:v>45670</c:v>
                </c:pt>
                <c:pt idx="1092">
                  <c:v>45671</c:v>
                </c:pt>
                <c:pt idx="1093">
                  <c:v>45672</c:v>
                </c:pt>
                <c:pt idx="1094">
                  <c:v>45673</c:v>
                </c:pt>
                <c:pt idx="1095">
                  <c:v>45674</c:v>
                </c:pt>
                <c:pt idx="1096">
                  <c:v>45677</c:v>
                </c:pt>
                <c:pt idx="1097">
                  <c:v>45678</c:v>
                </c:pt>
                <c:pt idx="1098">
                  <c:v>45679</c:v>
                </c:pt>
                <c:pt idx="1099">
                  <c:v>45680</c:v>
                </c:pt>
                <c:pt idx="1100">
                  <c:v>45681</c:v>
                </c:pt>
                <c:pt idx="1101">
                  <c:v>45684</c:v>
                </c:pt>
                <c:pt idx="1102">
                  <c:v>45685</c:v>
                </c:pt>
                <c:pt idx="1103">
                  <c:v>45686</c:v>
                </c:pt>
                <c:pt idx="1104">
                  <c:v>45687</c:v>
                </c:pt>
                <c:pt idx="1105">
                  <c:v>45688</c:v>
                </c:pt>
                <c:pt idx="1106">
                  <c:v>45689</c:v>
                </c:pt>
                <c:pt idx="1107">
                  <c:v>45691</c:v>
                </c:pt>
                <c:pt idx="1108">
                  <c:v>45692</c:v>
                </c:pt>
                <c:pt idx="1109">
                  <c:v>45693</c:v>
                </c:pt>
                <c:pt idx="1110">
                  <c:v>45694</c:v>
                </c:pt>
                <c:pt idx="1111">
                  <c:v>45695</c:v>
                </c:pt>
                <c:pt idx="1112">
                  <c:v>45698</c:v>
                </c:pt>
                <c:pt idx="1113">
                  <c:v>45699</c:v>
                </c:pt>
                <c:pt idx="1114">
                  <c:v>45700</c:v>
                </c:pt>
                <c:pt idx="1115">
                  <c:v>45701</c:v>
                </c:pt>
                <c:pt idx="1116">
                  <c:v>45702</c:v>
                </c:pt>
                <c:pt idx="1117">
                  <c:v>45705</c:v>
                </c:pt>
                <c:pt idx="1118">
                  <c:v>45706</c:v>
                </c:pt>
                <c:pt idx="1119">
                  <c:v>45707</c:v>
                </c:pt>
                <c:pt idx="1120">
                  <c:v>45708</c:v>
                </c:pt>
                <c:pt idx="1121">
                  <c:v>45709</c:v>
                </c:pt>
                <c:pt idx="1122">
                  <c:v>45712</c:v>
                </c:pt>
                <c:pt idx="1123">
                  <c:v>45713</c:v>
                </c:pt>
                <c:pt idx="1124">
                  <c:v>45715</c:v>
                </c:pt>
                <c:pt idx="1125">
                  <c:v>45716</c:v>
                </c:pt>
                <c:pt idx="1126">
                  <c:v>45719</c:v>
                </c:pt>
                <c:pt idx="1127">
                  <c:v>45720</c:v>
                </c:pt>
                <c:pt idx="1128">
                  <c:v>45721</c:v>
                </c:pt>
                <c:pt idx="1129">
                  <c:v>45722</c:v>
                </c:pt>
                <c:pt idx="1130">
                  <c:v>45723</c:v>
                </c:pt>
                <c:pt idx="1131">
                  <c:v>45726</c:v>
                </c:pt>
                <c:pt idx="1132">
                  <c:v>45727</c:v>
                </c:pt>
                <c:pt idx="1133">
                  <c:v>45728</c:v>
                </c:pt>
                <c:pt idx="1134">
                  <c:v>45729</c:v>
                </c:pt>
                <c:pt idx="1135">
                  <c:v>45733</c:v>
                </c:pt>
                <c:pt idx="1136">
                  <c:v>45734</c:v>
                </c:pt>
                <c:pt idx="1137">
                  <c:v>45735</c:v>
                </c:pt>
                <c:pt idx="1138">
                  <c:v>45736</c:v>
                </c:pt>
                <c:pt idx="1139">
                  <c:v>45737</c:v>
                </c:pt>
                <c:pt idx="1140">
                  <c:v>45740</c:v>
                </c:pt>
                <c:pt idx="1141">
                  <c:v>45741</c:v>
                </c:pt>
                <c:pt idx="1142">
                  <c:v>45742</c:v>
                </c:pt>
                <c:pt idx="1143">
                  <c:v>45743</c:v>
                </c:pt>
                <c:pt idx="1144">
                  <c:v>45744</c:v>
                </c:pt>
                <c:pt idx="1145">
                  <c:v>45748</c:v>
                </c:pt>
                <c:pt idx="1146">
                  <c:v>45749</c:v>
                </c:pt>
                <c:pt idx="1147">
                  <c:v>45750</c:v>
                </c:pt>
                <c:pt idx="1148">
                  <c:v>45751</c:v>
                </c:pt>
                <c:pt idx="1149">
                  <c:v>45754</c:v>
                </c:pt>
                <c:pt idx="1150">
                  <c:v>45755</c:v>
                </c:pt>
                <c:pt idx="1151">
                  <c:v>45756</c:v>
                </c:pt>
                <c:pt idx="1152">
                  <c:v>45758</c:v>
                </c:pt>
                <c:pt idx="1153">
                  <c:v>45762</c:v>
                </c:pt>
                <c:pt idx="1154">
                  <c:v>45763</c:v>
                </c:pt>
                <c:pt idx="1155">
                  <c:v>45764</c:v>
                </c:pt>
                <c:pt idx="1156">
                  <c:v>45768</c:v>
                </c:pt>
                <c:pt idx="1157">
                  <c:v>45769</c:v>
                </c:pt>
                <c:pt idx="1158">
                  <c:v>45770</c:v>
                </c:pt>
                <c:pt idx="1159">
                  <c:v>45771</c:v>
                </c:pt>
                <c:pt idx="1160">
                  <c:v>45772</c:v>
                </c:pt>
                <c:pt idx="1161">
                  <c:v>45775</c:v>
                </c:pt>
                <c:pt idx="1162">
                  <c:v>45776</c:v>
                </c:pt>
                <c:pt idx="1163">
                  <c:v>45777</c:v>
                </c:pt>
                <c:pt idx="1164">
                  <c:v>45779</c:v>
                </c:pt>
                <c:pt idx="1165">
                  <c:v>45782</c:v>
                </c:pt>
                <c:pt idx="1166">
                  <c:v>45783</c:v>
                </c:pt>
                <c:pt idx="1167">
                  <c:v>45784</c:v>
                </c:pt>
                <c:pt idx="1168">
                  <c:v>45785</c:v>
                </c:pt>
                <c:pt idx="1169">
                  <c:v>45786</c:v>
                </c:pt>
                <c:pt idx="1170">
                  <c:v>45789</c:v>
                </c:pt>
                <c:pt idx="1171">
                  <c:v>45790</c:v>
                </c:pt>
                <c:pt idx="1172">
                  <c:v>45791</c:v>
                </c:pt>
                <c:pt idx="1173">
                  <c:v>45792</c:v>
                </c:pt>
                <c:pt idx="1174">
                  <c:v>45793</c:v>
                </c:pt>
                <c:pt idx="1175">
                  <c:v>45796</c:v>
                </c:pt>
                <c:pt idx="1176">
                  <c:v>45797</c:v>
                </c:pt>
                <c:pt idx="1177">
                  <c:v>45798</c:v>
                </c:pt>
                <c:pt idx="1178">
                  <c:v>45799</c:v>
                </c:pt>
                <c:pt idx="1179">
                  <c:v>45800</c:v>
                </c:pt>
                <c:pt idx="1180">
                  <c:v>45803</c:v>
                </c:pt>
                <c:pt idx="1181">
                  <c:v>45804</c:v>
                </c:pt>
                <c:pt idx="1182">
                  <c:v>45805</c:v>
                </c:pt>
                <c:pt idx="1183">
                  <c:v>45806</c:v>
                </c:pt>
                <c:pt idx="1184">
                  <c:v>45807</c:v>
                </c:pt>
                <c:pt idx="1185">
                  <c:v>45810</c:v>
                </c:pt>
                <c:pt idx="1186">
                  <c:v>45811</c:v>
                </c:pt>
                <c:pt idx="1187">
                  <c:v>45812</c:v>
                </c:pt>
                <c:pt idx="1188">
                  <c:v>45813</c:v>
                </c:pt>
                <c:pt idx="1189">
                  <c:v>45814</c:v>
                </c:pt>
                <c:pt idx="1190">
                  <c:v>45817</c:v>
                </c:pt>
                <c:pt idx="1191">
                  <c:v>45818</c:v>
                </c:pt>
                <c:pt idx="1192">
                  <c:v>45819</c:v>
                </c:pt>
                <c:pt idx="1193">
                  <c:v>45820</c:v>
                </c:pt>
                <c:pt idx="1194">
                  <c:v>45821</c:v>
                </c:pt>
                <c:pt idx="1195">
                  <c:v>45824</c:v>
                </c:pt>
                <c:pt idx="1196">
                  <c:v>45825</c:v>
                </c:pt>
                <c:pt idx="1197">
                  <c:v>45826</c:v>
                </c:pt>
                <c:pt idx="1198">
                  <c:v>45827</c:v>
                </c:pt>
                <c:pt idx="1199">
                  <c:v>45828</c:v>
                </c:pt>
                <c:pt idx="1200">
                  <c:v>45831</c:v>
                </c:pt>
                <c:pt idx="1201">
                  <c:v>45832</c:v>
                </c:pt>
                <c:pt idx="1202">
                  <c:v>45833</c:v>
                </c:pt>
                <c:pt idx="1203">
                  <c:v>45834</c:v>
                </c:pt>
                <c:pt idx="1204">
                  <c:v>45835</c:v>
                </c:pt>
                <c:pt idx="1205">
                  <c:v>45838</c:v>
                </c:pt>
                <c:pt idx="1206">
                  <c:v>45839</c:v>
                </c:pt>
                <c:pt idx="1207">
                  <c:v>45840</c:v>
                </c:pt>
                <c:pt idx="1208">
                  <c:v>45841</c:v>
                </c:pt>
                <c:pt idx="1209">
                  <c:v>45842</c:v>
                </c:pt>
                <c:pt idx="1210">
                  <c:v>45845</c:v>
                </c:pt>
                <c:pt idx="1211">
                  <c:v>45846</c:v>
                </c:pt>
                <c:pt idx="1212">
                  <c:v>45847</c:v>
                </c:pt>
                <c:pt idx="1213">
                  <c:v>45848</c:v>
                </c:pt>
                <c:pt idx="1214">
                  <c:v>45849</c:v>
                </c:pt>
                <c:pt idx="1215">
                  <c:v>45852</c:v>
                </c:pt>
                <c:pt idx="1216">
                  <c:v>45853</c:v>
                </c:pt>
                <c:pt idx="1217">
                  <c:v>45854</c:v>
                </c:pt>
                <c:pt idx="1218">
                  <c:v>45855</c:v>
                </c:pt>
                <c:pt idx="1219">
                  <c:v>45856</c:v>
                </c:pt>
                <c:pt idx="1220">
                  <c:v>45859</c:v>
                </c:pt>
                <c:pt idx="1221">
                  <c:v>45860</c:v>
                </c:pt>
                <c:pt idx="1222">
                  <c:v>45861</c:v>
                </c:pt>
                <c:pt idx="1223">
                  <c:v>45862</c:v>
                </c:pt>
                <c:pt idx="1224">
                  <c:v>45863</c:v>
                </c:pt>
                <c:pt idx="1225">
                  <c:v>45866</c:v>
                </c:pt>
                <c:pt idx="1226">
                  <c:v>45867</c:v>
                </c:pt>
                <c:pt idx="1227">
                  <c:v>45868</c:v>
                </c:pt>
                <c:pt idx="1228">
                  <c:v>45869</c:v>
                </c:pt>
                <c:pt idx="1229">
                  <c:v>45870</c:v>
                </c:pt>
                <c:pt idx="1230">
                  <c:v>45873</c:v>
                </c:pt>
                <c:pt idx="1231">
                  <c:v>45874</c:v>
                </c:pt>
                <c:pt idx="1232">
                  <c:v>45875</c:v>
                </c:pt>
                <c:pt idx="1233">
                  <c:v>45876</c:v>
                </c:pt>
                <c:pt idx="1234">
                  <c:v>45877</c:v>
                </c:pt>
                <c:pt idx="1235">
                  <c:v>45880</c:v>
                </c:pt>
                <c:pt idx="1236">
                  <c:v>45881</c:v>
                </c:pt>
                <c:pt idx="1237">
                  <c:v>45882</c:v>
                </c:pt>
                <c:pt idx="1238">
                  <c:v>45883</c:v>
                </c:pt>
                <c:pt idx="1239">
                  <c:v>45887</c:v>
                </c:pt>
                <c:pt idx="1240">
                  <c:v>45888</c:v>
                </c:pt>
                <c:pt idx="1241">
                  <c:v>45889</c:v>
                </c:pt>
              </c:numCache>
            </c:numRef>
          </c:cat>
          <c:val>
            <c:numRef>
              <c:f>'Historical Data'!$C$5:$C$1246</c:f>
              <c:numCache>
                <c:formatCode>General</c:formatCode>
                <c:ptCount val="1242"/>
                <c:pt idx="0">
                  <c:v>43.53</c:v>
                </c:pt>
                <c:pt idx="1">
                  <c:v>48.65</c:v>
                </c:pt>
                <c:pt idx="2">
                  <c:v>31.3</c:v>
                </c:pt>
                <c:pt idx="3">
                  <c:v>90.27</c:v>
                </c:pt>
                <c:pt idx="4">
                  <c:v>197.52</c:v>
                </c:pt>
                <c:pt idx="5">
                  <c:v>181.38</c:v>
                </c:pt>
                <c:pt idx="6">
                  <c:v>95.2</c:v>
                </c:pt>
                <c:pt idx="7">
                  <c:v>160.56</c:v>
                </c:pt>
                <c:pt idx="8">
                  <c:v>58.81</c:v>
                </c:pt>
                <c:pt idx="9">
                  <c:v>74.95</c:v>
                </c:pt>
                <c:pt idx="10">
                  <c:v>110.16</c:v>
                </c:pt>
                <c:pt idx="11">
                  <c:v>95.57</c:v>
                </c:pt>
                <c:pt idx="12">
                  <c:v>82.62</c:v>
                </c:pt>
                <c:pt idx="13">
                  <c:v>76.3</c:v>
                </c:pt>
                <c:pt idx="14">
                  <c:v>105.36</c:v>
                </c:pt>
                <c:pt idx="15">
                  <c:v>79.61</c:v>
                </c:pt>
                <c:pt idx="16">
                  <c:v>65.14</c:v>
                </c:pt>
                <c:pt idx="17">
                  <c:v>84.51</c:v>
                </c:pt>
                <c:pt idx="18">
                  <c:v>42.89</c:v>
                </c:pt>
                <c:pt idx="19">
                  <c:v>85.06</c:v>
                </c:pt>
                <c:pt idx="20">
                  <c:v>48.12</c:v>
                </c:pt>
                <c:pt idx="21">
                  <c:v>46.27</c:v>
                </c:pt>
                <c:pt idx="22">
                  <c:v>64.739999999999995</c:v>
                </c:pt>
                <c:pt idx="23">
                  <c:v>87.3</c:v>
                </c:pt>
                <c:pt idx="24">
                  <c:v>74.98</c:v>
                </c:pt>
                <c:pt idx="25">
                  <c:v>62.42</c:v>
                </c:pt>
                <c:pt idx="26">
                  <c:v>65.040000000000006</c:v>
                </c:pt>
                <c:pt idx="27">
                  <c:v>61.83</c:v>
                </c:pt>
                <c:pt idx="28">
                  <c:v>63.37</c:v>
                </c:pt>
                <c:pt idx="29">
                  <c:v>48.86</c:v>
                </c:pt>
                <c:pt idx="30">
                  <c:v>40.49</c:v>
                </c:pt>
                <c:pt idx="31">
                  <c:v>55.27</c:v>
                </c:pt>
                <c:pt idx="32">
                  <c:v>162.05000000000001</c:v>
                </c:pt>
                <c:pt idx="33">
                  <c:v>68.27</c:v>
                </c:pt>
                <c:pt idx="34">
                  <c:v>40.94</c:v>
                </c:pt>
                <c:pt idx="35">
                  <c:v>37.1</c:v>
                </c:pt>
                <c:pt idx="36">
                  <c:v>39.28</c:v>
                </c:pt>
                <c:pt idx="37">
                  <c:v>38.97</c:v>
                </c:pt>
                <c:pt idx="38">
                  <c:v>45.79</c:v>
                </c:pt>
                <c:pt idx="39">
                  <c:v>64</c:v>
                </c:pt>
                <c:pt idx="40">
                  <c:v>62.55</c:v>
                </c:pt>
                <c:pt idx="41">
                  <c:v>33.159999999999997</c:v>
                </c:pt>
                <c:pt idx="42">
                  <c:v>27.47</c:v>
                </c:pt>
                <c:pt idx="43">
                  <c:v>39.25</c:v>
                </c:pt>
                <c:pt idx="44">
                  <c:v>48.81</c:v>
                </c:pt>
                <c:pt idx="45">
                  <c:v>68.709999999999994</c:v>
                </c:pt>
                <c:pt idx="46">
                  <c:v>88.53</c:v>
                </c:pt>
                <c:pt idx="47">
                  <c:v>56.86</c:v>
                </c:pt>
                <c:pt idx="48">
                  <c:v>152.36000000000001</c:v>
                </c:pt>
                <c:pt idx="49">
                  <c:v>66.63</c:v>
                </c:pt>
                <c:pt idx="50">
                  <c:v>51.13</c:v>
                </c:pt>
                <c:pt idx="51">
                  <c:v>40.39</c:v>
                </c:pt>
                <c:pt idx="52">
                  <c:v>52.07</c:v>
                </c:pt>
                <c:pt idx="53">
                  <c:v>44.68</c:v>
                </c:pt>
                <c:pt idx="54">
                  <c:v>38.93</c:v>
                </c:pt>
                <c:pt idx="55">
                  <c:v>67.97</c:v>
                </c:pt>
                <c:pt idx="56">
                  <c:v>40.28</c:v>
                </c:pt>
                <c:pt idx="57">
                  <c:v>68.790000000000006</c:v>
                </c:pt>
                <c:pt idx="58">
                  <c:v>78.58</c:v>
                </c:pt>
                <c:pt idx="59">
                  <c:v>56.15</c:v>
                </c:pt>
                <c:pt idx="60">
                  <c:v>32.57</c:v>
                </c:pt>
                <c:pt idx="61">
                  <c:v>82.64</c:v>
                </c:pt>
                <c:pt idx="62">
                  <c:v>171.8</c:v>
                </c:pt>
                <c:pt idx="63">
                  <c:v>109.45</c:v>
                </c:pt>
                <c:pt idx="64">
                  <c:v>66.94</c:v>
                </c:pt>
                <c:pt idx="65">
                  <c:v>54.57</c:v>
                </c:pt>
                <c:pt idx="66">
                  <c:v>47.7</c:v>
                </c:pt>
                <c:pt idx="67">
                  <c:v>54.37</c:v>
                </c:pt>
                <c:pt idx="68">
                  <c:v>39.090000000000003</c:v>
                </c:pt>
                <c:pt idx="69">
                  <c:v>125.93</c:v>
                </c:pt>
                <c:pt idx="70">
                  <c:v>48.88</c:v>
                </c:pt>
                <c:pt idx="71">
                  <c:v>88.11</c:v>
                </c:pt>
                <c:pt idx="72">
                  <c:v>33.33</c:v>
                </c:pt>
                <c:pt idx="73">
                  <c:v>48</c:v>
                </c:pt>
                <c:pt idx="74">
                  <c:v>29.8</c:v>
                </c:pt>
                <c:pt idx="75">
                  <c:v>42.14</c:v>
                </c:pt>
                <c:pt idx="76">
                  <c:v>40.299999999999997</c:v>
                </c:pt>
                <c:pt idx="77">
                  <c:v>38.369999999999997</c:v>
                </c:pt>
                <c:pt idx="78">
                  <c:v>43.07</c:v>
                </c:pt>
                <c:pt idx="79">
                  <c:v>33.19</c:v>
                </c:pt>
                <c:pt idx="80">
                  <c:v>41.19</c:v>
                </c:pt>
                <c:pt idx="81">
                  <c:v>51.26</c:v>
                </c:pt>
                <c:pt idx="82">
                  <c:v>34.1</c:v>
                </c:pt>
                <c:pt idx="83">
                  <c:v>46.07</c:v>
                </c:pt>
                <c:pt idx="84">
                  <c:v>75.58</c:v>
                </c:pt>
                <c:pt idx="85">
                  <c:v>110.01</c:v>
                </c:pt>
                <c:pt idx="86">
                  <c:v>56.93</c:v>
                </c:pt>
                <c:pt idx="87">
                  <c:v>73.83</c:v>
                </c:pt>
                <c:pt idx="88">
                  <c:v>98.01</c:v>
                </c:pt>
                <c:pt idx="89">
                  <c:v>71.319999999999993</c:v>
                </c:pt>
                <c:pt idx="90">
                  <c:v>38.58</c:v>
                </c:pt>
                <c:pt idx="91">
                  <c:v>48.98</c:v>
                </c:pt>
                <c:pt idx="92">
                  <c:v>27.33</c:v>
                </c:pt>
                <c:pt idx="93">
                  <c:v>63.98</c:v>
                </c:pt>
                <c:pt idx="94">
                  <c:v>75.75</c:v>
                </c:pt>
                <c:pt idx="95">
                  <c:v>75.62</c:v>
                </c:pt>
                <c:pt idx="96">
                  <c:v>66.02</c:v>
                </c:pt>
                <c:pt idx="97">
                  <c:v>53.99</c:v>
                </c:pt>
                <c:pt idx="98">
                  <c:v>182.48</c:v>
                </c:pt>
                <c:pt idx="99">
                  <c:v>390.58</c:v>
                </c:pt>
                <c:pt idx="100">
                  <c:v>164.65</c:v>
                </c:pt>
                <c:pt idx="101">
                  <c:v>86.82</c:v>
                </c:pt>
                <c:pt idx="102">
                  <c:v>250.04</c:v>
                </c:pt>
                <c:pt idx="103">
                  <c:v>173.38</c:v>
                </c:pt>
                <c:pt idx="104">
                  <c:v>136.86000000000001</c:v>
                </c:pt>
                <c:pt idx="105">
                  <c:v>205.15</c:v>
                </c:pt>
                <c:pt idx="106">
                  <c:v>283.61</c:v>
                </c:pt>
                <c:pt idx="107">
                  <c:v>316.01</c:v>
                </c:pt>
                <c:pt idx="108">
                  <c:v>164.35</c:v>
                </c:pt>
                <c:pt idx="109">
                  <c:v>126.59</c:v>
                </c:pt>
                <c:pt idx="110">
                  <c:v>129.16</c:v>
                </c:pt>
                <c:pt idx="111">
                  <c:v>138.44</c:v>
                </c:pt>
                <c:pt idx="112">
                  <c:v>165.66</c:v>
                </c:pt>
                <c:pt idx="113">
                  <c:v>251.97</c:v>
                </c:pt>
                <c:pt idx="114">
                  <c:v>224.19</c:v>
                </c:pt>
                <c:pt idx="115">
                  <c:v>121.03</c:v>
                </c:pt>
                <c:pt idx="116">
                  <c:v>103.51</c:v>
                </c:pt>
                <c:pt idx="117">
                  <c:v>102.12</c:v>
                </c:pt>
                <c:pt idx="118">
                  <c:v>105.98</c:v>
                </c:pt>
                <c:pt idx="119">
                  <c:v>93.47</c:v>
                </c:pt>
                <c:pt idx="120">
                  <c:v>55.26</c:v>
                </c:pt>
                <c:pt idx="121">
                  <c:v>64.09</c:v>
                </c:pt>
                <c:pt idx="122">
                  <c:v>78.680000000000007</c:v>
                </c:pt>
                <c:pt idx="123">
                  <c:v>65.94</c:v>
                </c:pt>
                <c:pt idx="124">
                  <c:v>52.15</c:v>
                </c:pt>
                <c:pt idx="125">
                  <c:v>49.2</c:v>
                </c:pt>
                <c:pt idx="126">
                  <c:v>80.27</c:v>
                </c:pt>
                <c:pt idx="127">
                  <c:v>57.72</c:v>
                </c:pt>
                <c:pt idx="128">
                  <c:v>133.31</c:v>
                </c:pt>
                <c:pt idx="129">
                  <c:v>50.82</c:v>
                </c:pt>
                <c:pt idx="130">
                  <c:v>64.510000000000005</c:v>
                </c:pt>
                <c:pt idx="131">
                  <c:v>91.9</c:v>
                </c:pt>
                <c:pt idx="132">
                  <c:v>61.19</c:v>
                </c:pt>
                <c:pt idx="133">
                  <c:v>127.71</c:v>
                </c:pt>
                <c:pt idx="134">
                  <c:v>92.01</c:v>
                </c:pt>
                <c:pt idx="135">
                  <c:v>59.86</c:v>
                </c:pt>
                <c:pt idx="136">
                  <c:v>86.74</c:v>
                </c:pt>
                <c:pt idx="137">
                  <c:v>81.93</c:v>
                </c:pt>
                <c:pt idx="138">
                  <c:v>74.7</c:v>
                </c:pt>
                <c:pt idx="139">
                  <c:v>58.64</c:v>
                </c:pt>
                <c:pt idx="140">
                  <c:v>48.36</c:v>
                </c:pt>
                <c:pt idx="141">
                  <c:v>45.08</c:v>
                </c:pt>
                <c:pt idx="142">
                  <c:v>39.270000000000003</c:v>
                </c:pt>
                <c:pt idx="143">
                  <c:v>47.26</c:v>
                </c:pt>
                <c:pt idx="144">
                  <c:v>73.73</c:v>
                </c:pt>
                <c:pt idx="145">
                  <c:v>109.93</c:v>
                </c:pt>
                <c:pt idx="146">
                  <c:v>56.39</c:v>
                </c:pt>
                <c:pt idx="147">
                  <c:v>60.24</c:v>
                </c:pt>
                <c:pt idx="148">
                  <c:v>61.52</c:v>
                </c:pt>
                <c:pt idx="149">
                  <c:v>84.53</c:v>
                </c:pt>
                <c:pt idx="150">
                  <c:v>80.92</c:v>
                </c:pt>
                <c:pt idx="151">
                  <c:v>45.26</c:v>
                </c:pt>
                <c:pt idx="152">
                  <c:v>58.57</c:v>
                </c:pt>
                <c:pt idx="153">
                  <c:v>44.09</c:v>
                </c:pt>
                <c:pt idx="154">
                  <c:v>66.180000000000007</c:v>
                </c:pt>
                <c:pt idx="155">
                  <c:v>63.03</c:v>
                </c:pt>
                <c:pt idx="156">
                  <c:v>39.07</c:v>
                </c:pt>
                <c:pt idx="157">
                  <c:v>62.46</c:v>
                </c:pt>
                <c:pt idx="158">
                  <c:v>75.459999999999994</c:v>
                </c:pt>
                <c:pt idx="159">
                  <c:v>105.34</c:v>
                </c:pt>
                <c:pt idx="160">
                  <c:v>116.87</c:v>
                </c:pt>
                <c:pt idx="161">
                  <c:v>75.260000000000005</c:v>
                </c:pt>
                <c:pt idx="162">
                  <c:v>75.33</c:v>
                </c:pt>
                <c:pt idx="163">
                  <c:v>65.790000000000006</c:v>
                </c:pt>
                <c:pt idx="164">
                  <c:v>56.74</c:v>
                </c:pt>
                <c:pt idx="165">
                  <c:v>61.02</c:v>
                </c:pt>
                <c:pt idx="166">
                  <c:v>58.16</c:v>
                </c:pt>
                <c:pt idx="167">
                  <c:v>30.58</c:v>
                </c:pt>
                <c:pt idx="168">
                  <c:v>35.04</c:v>
                </c:pt>
                <c:pt idx="169">
                  <c:v>44.67</c:v>
                </c:pt>
                <c:pt idx="170">
                  <c:v>36.65</c:v>
                </c:pt>
                <c:pt idx="171">
                  <c:v>36.119999999999997</c:v>
                </c:pt>
                <c:pt idx="172">
                  <c:v>35.380000000000003</c:v>
                </c:pt>
                <c:pt idx="173">
                  <c:v>38.64</c:v>
                </c:pt>
                <c:pt idx="174">
                  <c:v>29.35</c:v>
                </c:pt>
                <c:pt idx="175">
                  <c:v>45.03</c:v>
                </c:pt>
                <c:pt idx="176">
                  <c:v>41.59</c:v>
                </c:pt>
                <c:pt idx="177">
                  <c:v>53.26</c:v>
                </c:pt>
                <c:pt idx="178">
                  <c:v>58.47</c:v>
                </c:pt>
                <c:pt idx="179">
                  <c:v>111.58</c:v>
                </c:pt>
                <c:pt idx="180">
                  <c:v>81.31</c:v>
                </c:pt>
                <c:pt idx="181">
                  <c:v>51.16</c:v>
                </c:pt>
                <c:pt idx="182">
                  <c:v>86.15</c:v>
                </c:pt>
                <c:pt idx="183">
                  <c:v>119.41</c:v>
                </c:pt>
                <c:pt idx="184">
                  <c:v>54.04</c:v>
                </c:pt>
                <c:pt idx="185">
                  <c:v>40.36</c:v>
                </c:pt>
                <c:pt idx="186">
                  <c:v>31.96</c:v>
                </c:pt>
                <c:pt idx="187">
                  <c:v>37.380000000000003</c:v>
                </c:pt>
                <c:pt idx="188">
                  <c:v>28.64</c:v>
                </c:pt>
                <c:pt idx="189">
                  <c:v>49.48</c:v>
                </c:pt>
                <c:pt idx="190">
                  <c:v>26.62</c:v>
                </c:pt>
                <c:pt idx="191">
                  <c:v>30.92</c:v>
                </c:pt>
                <c:pt idx="192">
                  <c:v>32.6</c:v>
                </c:pt>
                <c:pt idx="193">
                  <c:v>26.32</c:v>
                </c:pt>
                <c:pt idx="194">
                  <c:v>21.41</c:v>
                </c:pt>
                <c:pt idx="195">
                  <c:v>41.28</c:v>
                </c:pt>
                <c:pt idx="196">
                  <c:v>64.989999999999995</c:v>
                </c:pt>
                <c:pt idx="197">
                  <c:v>44.11</c:v>
                </c:pt>
                <c:pt idx="198">
                  <c:v>59.33</c:v>
                </c:pt>
                <c:pt idx="199">
                  <c:v>24.35</c:v>
                </c:pt>
                <c:pt idx="200">
                  <c:v>36.44</c:v>
                </c:pt>
                <c:pt idx="201">
                  <c:v>38.479999999999997</c:v>
                </c:pt>
                <c:pt idx="202">
                  <c:v>35.53</c:v>
                </c:pt>
                <c:pt idx="203">
                  <c:v>27.55</c:v>
                </c:pt>
                <c:pt idx="204">
                  <c:v>29.24</c:v>
                </c:pt>
                <c:pt idx="205">
                  <c:v>49.44</c:v>
                </c:pt>
                <c:pt idx="206">
                  <c:v>29.12</c:v>
                </c:pt>
                <c:pt idx="207">
                  <c:v>26.71</c:v>
                </c:pt>
                <c:pt idx="208">
                  <c:v>25.74</c:v>
                </c:pt>
                <c:pt idx="209">
                  <c:v>15.58</c:v>
                </c:pt>
                <c:pt idx="210">
                  <c:v>22.43</c:v>
                </c:pt>
                <c:pt idx="211">
                  <c:v>17.84</c:v>
                </c:pt>
                <c:pt idx="212">
                  <c:v>22.46</c:v>
                </c:pt>
                <c:pt idx="213">
                  <c:v>18.28</c:v>
                </c:pt>
                <c:pt idx="214">
                  <c:v>27.94</c:v>
                </c:pt>
                <c:pt idx="215">
                  <c:v>18.3</c:v>
                </c:pt>
                <c:pt idx="216">
                  <c:v>18.399999999999999</c:v>
                </c:pt>
                <c:pt idx="217">
                  <c:v>164.08</c:v>
                </c:pt>
                <c:pt idx="218">
                  <c:v>112.18</c:v>
                </c:pt>
                <c:pt idx="219">
                  <c:v>87.36</c:v>
                </c:pt>
                <c:pt idx="220">
                  <c:v>48.81</c:v>
                </c:pt>
                <c:pt idx="221">
                  <c:v>32.28</c:v>
                </c:pt>
                <c:pt idx="222">
                  <c:v>25.74</c:v>
                </c:pt>
                <c:pt idx="223">
                  <c:v>21.86</c:v>
                </c:pt>
                <c:pt idx="224">
                  <c:v>23.62</c:v>
                </c:pt>
                <c:pt idx="225">
                  <c:v>25.15</c:v>
                </c:pt>
                <c:pt idx="226">
                  <c:v>21.35</c:v>
                </c:pt>
                <c:pt idx="227">
                  <c:v>27.67</c:v>
                </c:pt>
                <c:pt idx="228">
                  <c:v>21.34</c:v>
                </c:pt>
                <c:pt idx="229">
                  <c:v>33.44</c:v>
                </c:pt>
                <c:pt idx="230">
                  <c:v>27.5</c:v>
                </c:pt>
                <c:pt idx="231">
                  <c:v>55.13</c:v>
                </c:pt>
                <c:pt idx="232">
                  <c:v>36.14</c:v>
                </c:pt>
                <c:pt idx="233">
                  <c:v>57.73</c:v>
                </c:pt>
                <c:pt idx="234">
                  <c:v>30.59</c:v>
                </c:pt>
                <c:pt idx="235">
                  <c:v>19.27</c:v>
                </c:pt>
                <c:pt idx="236">
                  <c:v>31.06</c:v>
                </c:pt>
                <c:pt idx="237">
                  <c:v>26.19</c:v>
                </c:pt>
                <c:pt idx="238">
                  <c:v>20.7</c:v>
                </c:pt>
                <c:pt idx="239">
                  <c:v>16</c:v>
                </c:pt>
                <c:pt idx="240">
                  <c:v>16.989999999999998</c:v>
                </c:pt>
                <c:pt idx="241">
                  <c:v>15.17</c:v>
                </c:pt>
                <c:pt idx="242">
                  <c:v>20.8</c:v>
                </c:pt>
                <c:pt idx="243">
                  <c:v>33.65</c:v>
                </c:pt>
                <c:pt idx="244">
                  <c:v>34.92</c:v>
                </c:pt>
                <c:pt idx="245">
                  <c:v>14.35</c:v>
                </c:pt>
                <c:pt idx="246">
                  <c:v>25.54</c:v>
                </c:pt>
                <c:pt idx="247">
                  <c:v>18</c:v>
                </c:pt>
                <c:pt idx="248">
                  <c:v>32.58</c:v>
                </c:pt>
                <c:pt idx="249">
                  <c:v>24.5</c:v>
                </c:pt>
                <c:pt idx="250">
                  <c:v>37.590000000000003</c:v>
                </c:pt>
                <c:pt idx="251">
                  <c:v>31.54</c:v>
                </c:pt>
                <c:pt idx="252">
                  <c:v>17.86</c:v>
                </c:pt>
                <c:pt idx="253">
                  <c:v>13.48</c:v>
                </c:pt>
                <c:pt idx="254">
                  <c:v>17.22</c:v>
                </c:pt>
                <c:pt idx="255">
                  <c:v>36.950000000000003</c:v>
                </c:pt>
                <c:pt idx="256">
                  <c:v>33.1</c:v>
                </c:pt>
                <c:pt idx="257">
                  <c:v>14.91</c:v>
                </c:pt>
                <c:pt idx="258">
                  <c:v>16.59</c:v>
                </c:pt>
                <c:pt idx="259">
                  <c:v>16.62</c:v>
                </c:pt>
                <c:pt idx="260">
                  <c:v>14.33</c:v>
                </c:pt>
                <c:pt idx="261">
                  <c:v>14.92</c:v>
                </c:pt>
                <c:pt idx="262">
                  <c:v>34.020000000000003</c:v>
                </c:pt>
                <c:pt idx="263">
                  <c:v>16.34</c:v>
                </c:pt>
                <c:pt idx="264">
                  <c:v>23.23</c:v>
                </c:pt>
                <c:pt idx="265">
                  <c:v>26.81</c:v>
                </c:pt>
                <c:pt idx="266">
                  <c:v>26.25</c:v>
                </c:pt>
                <c:pt idx="267">
                  <c:v>24.97</c:v>
                </c:pt>
                <c:pt idx="268">
                  <c:v>19.63</c:v>
                </c:pt>
                <c:pt idx="269">
                  <c:v>19.440000000000001</c:v>
                </c:pt>
                <c:pt idx="270">
                  <c:v>29.55</c:v>
                </c:pt>
                <c:pt idx="271">
                  <c:v>52.7</c:v>
                </c:pt>
                <c:pt idx="272">
                  <c:v>28.9</c:v>
                </c:pt>
                <c:pt idx="273">
                  <c:v>56.31</c:v>
                </c:pt>
                <c:pt idx="274">
                  <c:v>28.5</c:v>
                </c:pt>
                <c:pt idx="275">
                  <c:v>19.739999999999998</c:v>
                </c:pt>
                <c:pt idx="276">
                  <c:v>30.27</c:v>
                </c:pt>
                <c:pt idx="277">
                  <c:v>29.88</c:v>
                </c:pt>
                <c:pt idx="278">
                  <c:v>29.55</c:v>
                </c:pt>
                <c:pt idx="279">
                  <c:v>31.86</c:v>
                </c:pt>
                <c:pt idx="280">
                  <c:v>25.27</c:v>
                </c:pt>
                <c:pt idx="281">
                  <c:v>163.24</c:v>
                </c:pt>
                <c:pt idx="282">
                  <c:v>93.73</c:v>
                </c:pt>
                <c:pt idx="283">
                  <c:v>113.41</c:v>
                </c:pt>
                <c:pt idx="284">
                  <c:v>97.35</c:v>
                </c:pt>
                <c:pt idx="285">
                  <c:v>197.95</c:v>
                </c:pt>
                <c:pt idx="286">
                  <c:v>103.63</c:v>
                </c:pt>
                <c:pt idx="287">
                  <c:v>72.319999999999993</c:v>
                </c:pt>
                <c:pt idx="288">
                  <c:v>57.43</c:v>
                </c:pt>
                <c:pt idx="289">
                  <c:v>55.44</c:v>
                </c:pt>
                <c:pt idx="290">
                  <c:v>52.61</c:v>
                </c:pt>
                <c:pt idx="291">
                  <c:v>42.74</c:v>
                </c:pt>
                <c:pt idx="292">
                  <c:v>33.11</c:v>
                </c:pt>
                <c:pt idx="293">
                  <c:v>58.03</c:v>
                </c:pt>
                <c:pt idx="294">
                  <c:v>30.36</c:v>
                </c:pt>
                <c:pt idx="295">
                  <c:v>25.18</c:v>
                </c:pt>
                <c:pt idx="296">
                  <c:v>31.05</c:v>
                </c:pt>
                <c:pt idx="297">
                  <c:v>34.32</c:v>
                </c:pt>
                <c:pt idx="298">
                  <c:v>51.58</c:v>
                </c:pt>
                <c:pt idx="299">
                  <c:v>22.95</c:v>
                </c:pt>
                <c:pt idx="300">
                  <c:v>5.53</c:v>
                </c:pt>
                <c:pt idx="301">
                  <c:v>31.74</c:v>
                </c:pt>
                <c:pt idx="302">
                  <c:v>50.46</c:v>
                </c:pt>
                <c:pt idx="303">
                  <c:v>26.62</c:v>
                </c:pt>
                <c:pt idx="304">
                  <c:v>29.26</c:v>
                </c:pt>
                <c:pt idx="305">
                  <c:v>20.73</c:v>
                </c:pt>
                <c:pt idx="306">
                  <c:v>18.02</c:v>
                </c:pt>
                <c:pt idx="307">
                  <c:v>55.9</c:v>
                </c:pt>
                <c:pt idx="308">
                  <c:v>48.46</c:v>
                </c:pt>
                <c:pt idx="309">
                  <c:v>47.2</c:v>
                </c:pt>
                <c:pt idx="310">
                  <c:v>40.04</c:v>
                </c:pt>
                <c:pt idx="311">
                  <c:v>27.55</c:v>
                </c:pt>
                <c:pt idx="312">
                  <c:v>20.92</c:v>
                </c:pt>
                <c:pt idx="313">
                  <c:v>15.34</c:v>
                </c:pt>
                <c:pt idx="314">
                  <c:v>51.79</c:v>
                </c:pt>
                <c:pt idx="315">
                  <c:v>42.82</c:v>
                </c:pt>
                <c:pt idx="316">
                  <c:v>35.47</c:v>
                </c:pt>
                <c:pt idx="317">
                  <c:v>28.26</c:v>
                </c:pt>
                <c:pt idx="318">
                  <c:v>21.01</c:v>
                </c:pt>
                <c:pt idx="319">
                  <c:v>20.95</c:v>
                </c:pt>
                <c:pt idx="320">
                  <c:v>17.47</c:v>
                </c:pt>
                <c:pt idx="321">
                  <c:v>21.28</c:v>
                </c:pt>
                <c:pt idx="322">
                  <c:v>20.58</c:v>
                </c:pt>
                <c:pt idx="323">
                  <c:v>16.95</c:v>
                </c:pt>
                <c:pt idx="324">
                  <c:v>14.57</c:v>
                </c:pt>
                <c:pt idx="325">
                  <c:v>21.92</c:v>
                </c:pt>
                <c:pt idx="326">
                  <c:v>17.72</c:v>
                </c:pt>
                <c:pt idx="327">
                  <c:v>16.260000000000002</c:v>
                </c:pt>
                <c:pt idx="328">
                  <c:v>13.58</c:v>
                </c:pt>
                <c:pt idx="329">
                  <c:v>27.34</c:v>
                </c:pt>
                <c:pt idx="330">
                  <c:v>33.01</c:v>
                </c:pt>
                <c:pt idx="331">
                  <c:v>18.84</c:v>
                </c:pt>
                <c:pt idx="332">
                  <c:v>22.73</c:v>
                </c:pt>
                <c:pt idx="333">
                  <c:v>12.12</c:v>
                </c:pt>
                <c:pt idx="334">
                  <c:v>15.49</c:v>
                </c:pt>
                <c:pt idx="335">
                  <c:v>12.56</c:v>
                </c:pt>
                <c:pt idx="336">
                  <c:v>22.86</c:v>
                </c:pt>
                <c:pt idx="337">
                  <c:v>10.26</c:v>
                </c:pt>
                <c:pt idx="338">
                  <c:v>11.92</c:v>
                </c:pt>
                <c:pt idx="339">
                  <c:v>15.54</c:v>
                </c:pt>
                <c:pt idx="340">
                  <c:v>32.75</c:v>
                </c:pt>
                <c:pt idx="341">
                  <c:v>24.1</c:v>
                </c:pt>
                <c:pt idx="342">
                  <c:v>15.42</c:v>
                </c:pt>
                <c:pt idx="343">
                  <c:v>16.559999999999999</c:v>
                </c:pt>
                <c:pt idx="344">
                  <c:v>15.53</c:v>
                </c:pt>
                <c:pt idx="345">
                  <c:v>25.19</c:v>
                </c:pt>
                <c:pt idx="346">
                  <c:v>16.27</c:v>
                </c:pt>
                <c:pt idx="347">
                  <c:v>16.260000000000002</c:v>
                </c:pt>
                <c:pt idx="348">
                  <c:v>27.57</c:v>
                </c:pt>
                <c:pt idx="349">
                  <c:v>12.66</c:v>
                </c:pt>
                <c:pt idx="350">
                  <c:v>27.94</c:v>
                </c:pt>
                <c:pt idx="351">
                  <c:v>19.350000000000001</c:v>
                </c:pt>
                <c:pt idx="352">
                  <c:v>21.8</c:v>
                </c:pt>
                <c:pt idx="353">
                  <c:v>18.36</c:v>
                </c:pt>
                <c:pt idx="354">
                  <c:v>17.95</c:v>
                </c:pt>
                <c:pt idx="355">
                  <c:v>25.23</c:v>
                </c:pt>
                <c:pt idx="356">
                  <c:v>22.57</c:v>
                </c:pt>
                <c:pt idx="357">
                  <c:v>26.68</c:v>
                </c:pt>
                <c:pt idx="358">
                  <c:v>21.78</c:v>
                </c:pt>
                <c:pt idx="359">
                  <c:v>27.31</c:v>
                </c:pt>
                <c:pt idx="360">
                  <c:v>48.03</c:v>
                </c:pt>
                <c:pt idx="361">
                  <c:v>14.31</c:v>
                </c:pt>
                <c:pt idx="362">
                  <c:v>15.25</c:v>
                </c:pt>
                <c:pt idx="363">
                  <c:v>12.66</c:v>
                </c:pt>
                <c:pt idx="364">
                  <c:v>13.39</c:v>
                </c:pt>
                <c:pt idx="365">
                  <c:v>23.38</c:v>
                </c:pt>
                <c:pt idx="366">
                  <c:v>12.43</c:v>
                </c:pt>
                <c:pt idx="367">
                  <c:v>14.54</c:v>
                </c:pt>
                <c:pt idx="368">
                  <c:v>13.53</c:v>
                </c:pt>
                <c:pt idx="369">
                  <c:v>22.16</c:v>
                </c:pt>
                <c:pt idx="370">
                  <c:v>30.62</c:v>
                </c:pt>
                <c:pt idx="371">
                  <c:v>20.18</c:v>
                </c:pt>
                <c:pt idx="372">
                  <c:v>27.94</c:v>
                </c:pt>
                <c:pt idx="373">
                  <c:v>15.48</c:v>
                </c:pt>
                <c:pt idx="374">
                  <c:v>22.59</c:v>
                </c:pt>
                <c:pt idx="375">
                  <c:v>27.96</c:v>
                </c:pt>
                <c:pt idx="376">
                  <c:v>17.7</c:v>
                </c:pt>
                <c:pt idx="377">
                  <c:v>57.27</c:v>
                </c:pt>
                <c:pt idx="378">
                  <c:v>48.88</c:v>
                </c:pt>
                <c:pt idx="379">
                  <c:v>34.479999999999997</c:v>
                </c:pt>
                <c:pt idx="380">
                  <c:v>25.79</c:v>
                </c:pt>
                <c:pt idx="381">
                  <c:v>29.6</c:v>
                </c:pt>
                <c:pt idx="382">
                  <c:v>38.770000000000003</c:v>
                </c:pt>
                <c:pt idx="383">
                  <c:v>44.84</c:v>
                </c:pt>
                <c:pt idx="384">
                  <c:v>55.54</c:v>
                </c:pt>
                <c:pt idx="385">
                  <c:v>48.38</c:v>
                </c:pt>
                <c:pt idx="386">
                  <c:v>59.78</c:v>
                </c:pt>
                <c:pt idx="387">
                  <c:v>51.51</c:v>
                </c:pt>
                <c:pt idx="388">
                  <c:v>40.72</c:v>
                </c:pt>
                <c:pt idx="389">
                  <c:v>47.71</c:v>
                </c:pt>
                <c:pt idx="390">
                  <c:v>27.19</c:v>
                </c:pt>
                <c:pt idx="391">
                  <c:v>26.7</c:v>
                </c:pt>
                <c:pt idx="392">
                  <c:v>18.27</c:v>
                </c:pt>
                <c:pt idx="393">
                  <c:v>30.44</c:v>
                </c:pt>
                <c:pt idx="394">
                  <c:v>25.47</c:v>
                </c:pt>
                <c:pt idx="395">
                  <c:v>17.11</c:v>
                </c:pt>
                <c:pt idx="396">
                  <c:v>15.1</c:v>
                </c:pt>
                <c:pt idx="397">
                  <c:v>16.760000000000002</c:v>
                </c:pt>
                <c:pt idx="398">
                  <c:v>18.71</c:v>
                </c:pt>
                <c:pt idx="399">
                  <c:v>18.149999999999999</c:v>
                </c:pt>
                <c:pt idx="400">
                  <c:v>14.25</c:v>
                </c:pt>
                <c:pt idx="401">
                  <c:v>19.38</c:v>
                </c:pt>
                <c:pt idx="402">
                  <c:v>18.66</c:v>
                </c:pt>
                <c:pt idx="403">
                  <c:v>28.53</c:v>
                </c:pt>
                <c:pt idx="404">
                  <c:v>24.97</c:v>
                </c:pt>
                <c:pt idx="405">
                  <c:v>19.95</c:v>
                </c:pt>
                <c:pt idx="406">
                  <c:v>16.32</c:v>
                </c:pt>
                <c:pt idx="407">
                  <c:v>14.34</c:v>
                </c:pt>
                <c:pt idx="408">
                  <c:v>22.7</c:v>
                </c:pt>
                <c:pt idx="409">
                  <c:v>16.82</c:v>
                </c:pt>
                <c:pt idx="410">
                  <c:v>15.3</c:v>
                </c:pt>
                <c:pt idx="411">
                  <c:v>12.67</c:v>
                </c:pt>
                <c:pt idx="412">
                  <c:v>19.64</c:v>
                </c:pt>
                <c:pt idx="413">
                  <c:v>14.12</c:v>
                </c:pt>
                <c:pt idx="414">
                  <c:v>14.36</c:v>
                </c:pt>
                <c:pt idx="415">
                  <c:v>14.73</c:v>
                </c:pt>
                <c:pt idx="416">
                  <c:v>13.58</c:v>
                </c:pt>
                <c:pt idx="417">
                  <c:v>13.7</c:v>
                </c:pt>
                <c:pt idx="418">
                  <c:v>13.88</c:v>
                </c:pt>
                <c:pt idx="419">
                  <c:v>21.99</c:v>
                </c:pt>
                <c:pt idx="420">
                  <c:v>18.95</c:v>
                </c:pt>
                <c:pt idx="421">
                  <c:v>14.93</c:v>
                </c:pt>
                <c:pt idx="422">
                  <c:v>12.24</c:v>
                </c:pt>
                <c:pt idx="423">
                  <c:v>25.14</c:v>
                </c:pt>
                <c:pt idx="424">
                  <c:v>18.079999999999998</c:v>
                </c:pt>
                <c:pt idx="425">
                  <c:v>16.54</c:v>
                </c:pt>
                <c:pt idx="426">
                  <c:v>29.22</c:v>
                </c:pt>
                <c:pt idx="427">
                  <c:v>33.51</c:v>
                </c:pt>
                <c:pt idx="428">
                  <c:v>71.430000000000007</c:v>
                </c:pt>
                <c:pt idx="429">
                  <c:v>24.94</c:v>
                </c:pt>
                <c:pt idx="430">
                  <c:v>24.65</c:v>
                </c:pt>
                <c:pt idx="431">
                  <c:v>20.49</c:v>
                </c:pt>
                <c:pt idx="432">
                  <c:v>17.71</c:v>
                </c:pt>
                <c:pt idx="433">
                  <c:v>23.5</c:v>
                </c:pt>
                <c:pt idx="434">
                  <c:v>16.350000000000001</c:v>
                </c:pt>
                <c:pt idx="435">
                  <c:v>14.53</c:v>
                </c:pt>
                <c:pt idx="436">
                  <c:v>13.54</c:v>
                </c:pt>
                <c:pt idx="437">
                  <c:v>17.71</c:v>
                </c:pt>
                <c:pt idx="438">
                  <c:v>16.87</c:v>
                </c:pt>
                <c:pt idx="439">
                  <c:v>18.5</c:v>
                </c:pt>
                <c:pt idx="440">
                  <c:v>22.31</c:v>
                </c:pt>
                <c:pt idx="441">
                  <c:v>11.93</c:v>
                </c:pt>
                <c:pt idx="442">
                  <c:v>12.74</c:v>
                </c:pt>
                <c:pt idx="443">
                  <c:v>12.78</c:v>
                </c:pt>
                <c:pt idx="444">
                  <c:v>11.9</c:v>
                </c:pt>
                <c:pt idx="445">
                  <c:v>11.15</c:v>
                </c:pt>
                <c:pt idx="446">
                  <c:v>12.84</c:v>
                </c:pt>
                <c:pt idx="447">
                  <c:v>13.04</c:v>
                </c:pt>
                <c:pt idx="448">
                  <c:v>11.91</c:v>
                </c:pt>
                <c:pt idx="449">
                  <c:v>17.440000000000001</c:v>
                </c:pt>
                <c:pt idx="450">
                  <c:v>19.63</c:v>
                </c:pt>
                <c:pt idx="451">
                  <c:v>15.19</c:v>
                </c:pt>
                <c:pt idx="452">
                  <c:v>22.26</c:v>
                </c:pt>
                <c:pt idx="453">
                  <c:v>24.82</c:v>
                </c:pt>
                <c:pt idx="454">
                  <c:v>17.05</c:v>
                </c:pt>
                <c:pt idx="455">
                  <c:v>14.74</c:v>
                </c:pt>
                <c:pt idx="456">
                  <c:v>12.43</c:v>
                </c:pt>
                <c:pt idx="457">
                  <c:v>26.51</c:v>
                </c:pt>
                <c:pt idx="458">
                  <c:v>14.81</c:v>
                </c:pt>
                <c:pt idx="459">
                  <c:v>12.02</c:v>
                </c:pt>
                <c:pt idx="460">
                  <c:v>13.24</c:v>
                </c:pt>
                <c:pt idx="461">
                  <c:v>13.1</c:v>
                </c:pt>
                <c:pt idx="462">
                  <c:v>20.12</c:v>
                </c:pt>
                <c:pt idx="463">
                  <c:v>14.73</c:v>
                </c:pt>
                <c:pt idx="464">
                  <c:v>11.53</c:v>
                </c:pt>
                <c:pt idx="465">
                  <c:v>16.77</c:v>
                </c:pt>
                <c:pt idx="466">
                  <c:v>12.2</c:v>
                </c:pt>
                <c:pt idx="467">
                  <c:v>17.62</c:v>
                </c:pt>
                <c:pt idx="468">
                  <c:v>23.73</c:v>
                </c:pt>
                <c:pt idx="469">
                  <c:v>12.62</c:v>
                </c:pt>
                <c:pt idx="470">
                  <c:v>9.52</c:v>
                </c:pt>
                <c:pt idx="471">
                  <c:v>10.18</c:v>
                </c:pt>
                <c:pt idx="472">
                  <c:v>10.74</c:v>
                </c:pt>
                <c:pt idx="473">
                  <c:v>15.77</c:v>
                </c:pt>
                <c:pt idx="474">
                  <c:v>21.19</c:v>
                </c:pt>
                <c:pt idx="475">
                  <c:v>11.55</c:v>
                </c:pt>
                <c:pt idx="476">
                  <c:v>17.149999999999999</c:v>
                </c:pt>
                <c:pt idx="477">
                  <c:v>10.93</c:v>
                </c:pt>
                <c:pt idx="478">
                  <c:v>10.34</c:v>
                </c:pt>
                <c:pt idx="479">
                  <c:v>12.51</c:v>
                </c:pt>
                <c:pt idx="480">
                  <c:v>11.56</c:v>
                </c:pt>
                <c:pt idx="481">
                  <c:v>10.08</c:v>
                </c:pt>
                <c:pt idx="482">
                  <c:v>36.380000000000003</c:v>
                </c:pt>
                <c:pt idx="483">
                  <c:v>16</c:v>
                </c:pt>
                <c:pt idx="484">
                  <c:v>43.08</c:v>
                </c:pt>
                <c:pt idx="485">
                  <c:v>19.07</c:v>
                </c:pt>
                <c:pt idx="486">
                  <c:v>19.13</c:v>
                </c:pt>
                <c:pt idx="487">
                  <c:v>18.54</c:v>
                </c:pt>
                <c:pt idx="488">
                  <c:v>11.92</c:v>
                </c:pt>
                <c:pt idx="489">
                  <c:v>10.56</c:v>
                </c:pt>
                <c:pt idx="490">
                  <c:v>13.36</c:v>
                </c:pt>
                <c:pt idx="491">
                  <c:v>12.78</c:v>
                </c:pt>
                <c:pt idx="492">
                  <c:v>13.48</c:v>
                </c:pt>
                <c:pt idx="493">
                  <c:v>16.8</c:v>
                </c:pt>
                <c:pt idx="494">
                  <c:v>15.95</c:v>
                </c:pt>
                <c:pt idx="495">
                  <c:v>12.07</c:v>
                </c:pt>
                <c:pt idx="496">
                  <c:v>16.64</c:v>
                </c:pt>
                <c:pt idx="497">
                  <c:v>15.05</c:v>
                </c:pt>
                <c:pt idx="498">
                  <c:v>17.78</c:v>
                </c:pt>
                <c:pt idx="499">
                  <c:v>12.21</c:v>
                </c:pt>
                <c:pt idx="500">
                  <c:v>11.26</c:v>
                </c:pt>
                <c:pt idx="501">
                  <c:v>11.25</c:v>
                </c:pt>
                <c:pt idx="502">
                  <c:v>11.65</c:v>
                </c:pt>
                <c:pt idx="503">
                  <c:v>14.42</c:v>
                </c:pt>
                <c:pt idx="504">
                  <c:v>13.39</c:v>
                </c:pt>
                <c:pt idx="505">
                  <c:v>10.81</c:v>
                </c:pt>
                <c:pt idx="506">
                  <c:v>9.3800000000000008</c:v>
                </c:pt>
                <c:pt idx="507">
                  <c:v>9.81</c:v>
                </c:pt>
                <c:pt idx="508">
                  <c:v>20.76</c:v>
                </c:pt>
                <c:pt idx="509">
                  <c:v>19.34</c:v>
                </c:pt>
                <c:pt idx="510">
                  <c:v>14.29</c:v>
                </c:pt>
                <c:pt idx="511">
                  <c:v>8.9600000000000009</c:v>
                </c:pt>
                <c:pt idx="512">
                  <c:v>10.66</c:v>
                </c:pt>
                <c:pt idx="513">
                  <c:v>10.36</c:v>
                </c:pt>
                <c:pt idx="514">
                  <c:v>10.36</c:v>
                </c:pt>
                <c:pt idx="515">
                  <c:v>20.99</c:v>
                </c:pt>
                <c:pt idx="516">
                  <c:v>15.24</c:v>
                </c:pt>
                <c:pt idx="517">
                  <c:v>17.559999999999999</c:v>
                </c:pt>
                <c:pt idx="518">
                  <c:v>10.83</c:v>
                </c:pt>
                <c:pt idx="519">
                  <c:v>13.6</c:v>
                </c:pt>
                <c:pt idx="520">
                  <c:v>13.44</c:v>
                </c:pt>
                <c:pt idx="521">
                  <c:v>33.229999999999997</c:v>
                </c:pt>
                <c:pt idx="522">
                  <c:v>21.93</c:v>
                </c:pt>
                <c:pt idx="523">
                  <c:v>18.11</c:v>
                </c:pt>
                <c:pt idx="524">
                  <c:v>20.73</c:v>
                </c:pt>
                <c:pt idx="525">
                  <c:v>20.95</c:v>
                </c:pt>
                <c:pt idx="526">
                  <c:v>20.329999999999998</c:v>
                </c:pt>
                <c:pt idx="527">
                  <c:v>12.76</c:v>
                </c:pt>
                <c:pt idx="528">
                  <c:v>12.77</c:v>
                </c:pt>
                <c:pt idx="529">
                  <c:v>10.67</c:v>
                </c:pt>
                <c:pt idx="530">
                  <c:v>32.909999999999997</c:v>
                </c:pt>
                <c:pt idx="531">
                  <c:v>14.64</c:v>
                </c:pt>
                <c:pt idx="532">
                  <c:v>14.29</c:v>
                </c:pt>
                <c:pt idx="533">
                  <c:v>12.58</c:v>
                </c:pt>
                <c:pt idx="534">
                  <c:v>12.88</c:v>
                </c:pt>
                <c:pt idx="535">
                  <c:v>9.5399999999999991</c:v>
                </c:pt>
                <c:pt idx="536">
                  <c:v>14.22</c:v>
                </c:pt>
                <c:pt idx="537">
                  <c:v>8.65</c:v>
                </c:pt>
                <c:pt idx="538">
                  <c:v>10.75</c:v>
                </c:pt>
                <c:pt idx="539">
                  <c:v>10.28</c:v>
                </c:pt>
                <c:pt idx="540">
                  <c:v>2.87</c:v>
                </c:pt>
                <c:pt idx="541">
                  <c:v>17.98</c:v>
                </c:pt>
                <c:pt idx="542">
                  <c:v>14.61</c:v>
                </c:pt>
                <c:pt idx="543">
                  <c:v>12.49</c:v>
                </c:pt>
                <c:pt idx="544">
                  <c:v>9.93</c:v>
                </c:pt>
                <c:pt idx="545">
                  <c:v>17.32</c:v>
                </c:pt>
                <c:pt idx="546">
                  <c:v>12.43</c:v>
                </c:pt>
                <c:pt idx="547">
                  <c:v>10.99</c:v>
                </c:pt>
                <c:pt idx="548">
                  <c:v>12.28</c:v>
                </c:pt>
                <c:pt idx="549">
                  <c:v>15.06</c:v>
                </c:pt>
                <c:pt idx="550">
                  <c:v>14.47</c:v>
                </c:pt>
                <c:pt idx="551">
                  <c:v>26.25</c:v>
                </c:pt>
                <c:pt idx="552">
                  <c:v>19.3</c:v>
                </c:pt>
                <c:pt idx="553">
                  <c:v>18</c:v>
                </c:pt>
                <c:pt idx="554">
                  <c:v>10.7</c:v>
                </c:pt>
                <c:pt idx="555">
                  <c:v>8.2100000000000009</c:v>
                </c:pt>
                <c:pt idx="556">
                  <c:v>15.62</c:v>
                </c:pt>
                <c:pt idx="557">
                  <c:v>9.85</c:v>
                </c:pt>
                <c:pt idx="558">
                  <c:v>9.5</c:v>
                </c:pt>
                <c:pt idx="559">
                  <c:v>6.41</c:v>
                </c:pt>
                <c:pt idx="560">
                  <c:v>6.57</c:v>
                </c:pt>
                <c:pt idx="561">
                  <c:v>6.77</c:v>
                </c:pt>
                <c:pt idx="562">
                  <c:v>18.760000000000002</c:v>
                </c:pt>
                <c:pt idx="563">
                  <c:v>10.7</c:v>
                </c:pt>
                <c:pt idx="564">
                  <c:v>8.6300000000000008</c:v>
                </c:pt>
                <c:pt idx="565">
                  <c:v>14.73</c:v>
                </c:pt>
                <c:pt idx="566">
                  <c:v>8.91</c:v>
                </c:pt>
                <c:pt idx="567">
                  <c:v>8.35</c:v>
                </c:pt>
                <c:pt idx="568">
                  <c:v>12.86</c:v>
                </c:pt>
                <c:pt idx="569">
                  <c:v>8.4600000000000009</c:v>
                </c:pt>
                <c:pt idx="570">
                  <c:v>12.13</c:v>
                </c:pt>
                <c:pt idx="571">
                  <c:v>9.5399999999999991</c:v>
                </c:pt>
                <c:pt idx="572">
                  <c:v>9.92</c:v>
                </c:pt>
                <c:pt idx="573">
                  <c:v>8.01</c:v>
                </c:pt>
                <c:pt idx="574">
                  <c:v>9.7200000000000006</c:v>
                </c:pt>
                <c:pt idx="575">
                  <c:v>6.31</c:v>
                </c:pt>
                <c:pt idx="576">
                  <c:v>7.54</c:v>
                </c:pt>
                <c:pt idx="577">
                  <c:v>50.95</c:v>
                </c:pt>
                <c:pt idx="578">
                  <c:v>9.81</c:v>
                </c:pt>
                <c:pt idx="579">
                  <c:v>12.34</c:v>
                </c:pt>
                <c:pt idx="580">
                  <c:v>11.61</c:v>
                </c:pt>
                <c:pt idx="581">
                  <c:v>14.91</c:v>
                </c:pt>
                <c:pt idx="582">
                  <c:v>19.899999999999999</c:v>
                </c:pt>
                <c:pt idx="583">
                  <c:v>16.98</c:v>
                </c:pt>
                <c:pt idx="584">
                  <c:v>14.37</c:v>
                </c:pt>
                <c:pt idx="585">
                  <c:v>8.44</c:v>
                </c:pt>
                <c:pt idx="586">
                  <c:v>15.63</c:v>
                </c:pt>
                <c:pt idx="587">
                  <c:v>9.1999999999999993</c:v>
                </c:pt>
                <c:pt idx="588">
                  <c:v>10.5</c:v>
                </c:pt>
                <c:pt idx="589">
                  <c:v>9.43</c:v>
                </c:pt>
                <c:pt idx="590">
                  <c:v>16.12</c:v>
                </c:pt>
                <c:pt idx="591">
                  <c:v>10.44</c:v>
                </c:pt>
                <c:pt idx="592">
                  <c:v>8.7200000000000006</c:v>
                </c:pt>
                <c:pt idx="593">
                  <c:v>14.69</c:v>
                </c:pt>
                <c:pt idx="594">
                  <c:v>54.02</c:v>
                </c:pt>
                <c:pt idx="595">
                  <c:v>22.22</c:v>
                </c:pt>
                <c:pt idx="596">
                  <c:v>12.48</c:v>
                </c:pt>
                <c:pt idx="597">
                  <c:v>10.45</c:v>
                </c:pt>
                <c:pt idx="598">
                  <c:v>11.46</c:v>
                </c:pt>
                <c:pt idx="599">
                  <c:v>12.34</c:v>
                </c:pt>
                <c:pt idx="600">
                  <c:v>13.31</c:v>
                </c:pt>
                <c:pt idx="601">
                  <c:v>13.13</c:v>
                </c:pt>
                <c:pt idx="602">
                  <c:v>23.91</c:v>
                </c:pt>
                <c:pt idx="603">
                  <c:v>13.11</c:v>
                </c:pt>
                <c:pt idx="604">
                  <c:v>30.2</c:v>
                </c:pt>
                <c:pt idx="605">
                  <c:v>22.98</c:v>
                </c:pt>
                <c:pt idx="606">
                  <c:v>63.36</c:v>
                </c:pt>
                <c:pt idx="607">
                  <c:v>18.32</c:v>
                </c:pt>
                <c:pt idx="608">
                  <c:v>25.15</c:v>
                </c:pt>
                <c:pt idx="609">
                  <c:v>23.8</c:v>
                </c:pt>
                <c:pt idx="610">
                  <c:v>11.34</c:v>
                </c:pt>
                <c:pt idx="611">
                  <c:v>13.07</c:v>
                </c:pt>
                <c:pt idx="612">
                  <c:v>6.8</c:v>
                </c:pt>
                <c:pt idx="613">
                  <c:v>9.02</c:v>
                </c:pt>
                <c:pt idx="614">
                  <c:v>8.67</c:v>
                </c:pt>
                <c:pt idx="615">
                  <c:v>7.35</c:v>
                </c:pt>
                <c:pt idx="616">
                  <c:v>14.8</c:v>
                </c:pt>
                <c:pt idx="617">
                  <c:v>8.33</c:v>
                </c:pt>
                <c:pt idx="618">
                  <c:v>8.57</c:v>
                </c:pt>
                <c:pt idx="619">
                  <c:v>9.86</c:v>
                </c:pt>
                <c:pt idx="620">
                  <c:v>7.67</c:v>
                </c:pt>
                <c:pt idx="621">
                  <c:v>6.96</c:v>
                </c:pt>
                <c:pt idx="622">
                  <c:v>9.7200000000000006</c:v>
                </c:pt>
                <c:pt idx="623">
                  <c:v>8.9600000000000009</c:v>
                </c:pt>
                <c:pt idx="624">
                  <c:v>7.21</c:v>
                </c:pt>
                <c:pt idx="625">
                  <c:v>9.2799999999999994</c:v>
                </c:pt>
                <c:pt idx="626">
                  <c:v>7.9</c:v>
                </c:pt>
                <c:pt idx="627">
                  <c:v>10.44</c:v>
                </c:pt>
                <c:pt idx="628">
                  <c:v>9.65</c:v>
                </c:pt>
                <c:pt idx="629">
                  <c:v>7.6</c:v>
                </c:pt>
                <c:pt idx="630">
                  <c:v>5.66</c:v>
                </c:pt>
                <c:pt idx="631">
                  <c:v>8.0299999999999994</c:v>
                </c:pt>
                <c:pt idx="632">
                  <c:v>11.31</c:v>
                </c:pt>
                <c:pt idx="633">
                  <c:v>7.85</c:v>
                </c:pt>
                <c:pt idx="634">
                  <c:v>5.7</c:v>
                </c:pt>
                <c:pt idx="635">
                  <c:v>10.42</c:v>
                </c:pt>
                <c:pt idx="636">
                  <c:v>8.7799999999999994</c:v>
                </c:pt>
                <c:pt idx="637">
                  <c:v>9.19</c:v>
                </c:pt>
                <c:pt idx="638">
                  <c:v>7.68</c:v>
                </c:pt>
                <c:pt idx="639">
                  <c:v>11.85</c:v>
                </c:pt>
                <c:pt idx="640">
                  <c:v>8.66</c:v>
                </c:pt>
                <c:pt idx="641">
                  <c:v>10.08</c:v>
                </c:pt>
                <c:pt idx="642">
                  <c:v>7.39</c:v>
                </c:pt>
                <c:pt idx="643">
                  <c:v>5.73</c:v>
                </c:pt>
                <c:pt idx="644">
                  <c:v>9.82</c:v>
                </c:pt>
                <c:pt idx="645">
                  <c:v>6.88</c:v>
                </c:pt>
                <c:pt idx="646">
                  <c:v>7.43</c:v>
                </c:pt>
                <c:pt idx="647">
                  <c:v>9.5500000000000007</c:v>
                </c:pt>
                <c:pt idx="648">
                  <c:v>10.48</c:v>
                </c:pt>
                <c:pt idx="649">
                  <c:v>11.04</c:v>
                </c:pt>
                <c:pt idx="650">
                  <c:v>6.95</c:v>
                </c:pt>
                <c:pt idx="651">
                  <c:v>8.82</c:v>
                </c:pt>
                <c:pt idx="652">
                  <c:v>10.91</c:v>
                </c:pt>
                <c:pt idx="653">
                  <c:v>50.46</c:v>
                </c:pt>
                <c:pt idx="654">
                  <c:v>14.5</c:v>
                </c:pt>
                <c:pt idx="655">
                  <c:v>13.55</c:v>
                </c:pt>
                <c:pt idx="656">
                  <c:v>12.73</c:v>
                </c:pt>
                <c:pt idx="657">
                  <c:v>10.71</c:v>
                </c:pt>
                <c:pt idx="658">
                  <c:v>16.14</c:v>
                </c:pt>
                <c:pt idx="659">
                  <c:v>7.37</c:v>
                </c:pt>
                <c:pt idx="660">
                  <c:v>14.26</c:v>
                </c:pt>
                <c:pt idx="661">
                  <c:v>8.48</c:v>
                </c:pt>
                <c:pt idx="662">
                  <c:v>8.02</c:v>
                </c:pt>
                <c:pt idx="663">
                  <c:v>6.89</c:v>
                </c:pt>
                <c:pt idx="664">
                  <c:v>7.79</c:v>
                </c:pt>
                <c:pt idx="665">
                  <c:v>7.09</c:v>
                </c:pt>
                <c:pt idx="666">
                  <c:v>9.9499999999999993</c:v>
                </c:pt>
                <c:pt idx="667">
                  <c:v>11.54</c:v>
                </c:pt>
                <c:pt idx="668">
                  <c:v>8.5299999999999994</c:v>
                </c:pt>
                <c:pt idx="669">
                  <c:v>5.65</c:v>
                </c:pt>
                <c:pt idx="670">
                  <c:v>4.83</c:v>
                </c:pt>
                <c:pt idx="671">
                  <c:v>23.52</c:v>
                </c:pt>
                <c:pt idx="672">
                  <c:v>19.82</c:v>
                </c:pt>
                <c:pt idx="673">
                  <c:v>12.48</c:v>
                </c:pt>
                <c:pt idx="674">
                  <c:v>11.45</c:v>
                </c:pt>
                <c:pt idx="675">
                  <c:v>19.77</c:v>
                </c:pt>
                <c:pt idx="676">
                  <c:v>38.270000000000003</c:v>
                </c:pt>
                <c:pt idx="677">
                  <c:v>16.510000000000002</c:v>
                </c:pt>
                <c:pt idx="678">
                  <c:v>13.68</c:v>
                </c:pt>
                <c:pt idx="679">
                  <c:v>12.29</c:v>
                </c:pt>
                <c:pt idx="680">
                  <c:v>19.34</c:v>
                </c:pt>
                <c:pt idx="681">
                  <c:v>9.98</c:v>
                </c:pt>
                <c:pt idx="682">
                  <c:v>12.26</c:v>
                </c:pt>
                <c:pt idx="683">
                  <c:v>7.65</c:v>
                </c:pt>
                <c:pt idx="684">
                  <c:v>11.54</c:v>
                </c:pt>
                <c:pt idx="685">
                  <c:v>8.36</c:v>
                </c:pt>
                <c:pt idx="686">
                  <c:v>6.6</c:v>
                </c:pt>
                <c:pt idx="687">
                  <c:v>5.13</c:v>
                </c:pt>
                <c:pt idx="688">
                  <c:v>12.33</c:v>
                </c:pt>
                <c:pt idx="689">
                  <c:v>12.51</c:v>
                </c:pt>
                <c:pt idx="690">
                  <c:v>12.29</c:v>
                </c:pt>
                <c:pt idx="691">
                  <c:v>15.01</c:v>
                </c:pt>
                <c:pt idx="692">
                  <c:v>15.4</c:v>
                </c:pt>
                <c:pt idx="693">
                  <c:v>20.86</c:v>
                </c:pt>
                <c:pt idx="694">
                  <c:v>21.53</c:v>
                </c:pt>
                <c:pt idx="695">
                  <c:v>9.36</c:v>
                </c:pt>
                <c:pt idx="696">
                  <c:v>7.6</c:v>
                </c:pt>
                <c:pt idx="697">
                  <c:v>12.85</c:v>
                </c:pt>
                <c:pt idx="698">
                  <c:v>12.71</c:v>
                </c:pt>
                <c:pt idx="699">
                  <c:v>12.48</c:v>
                </c:pt>
                <c:pt idx="700">
                  <c:v>8.74</c:v>
                </c:pt>
                <c:pt idx="701">
                  <c:v>6.28</c:v>
                </c:pt>
                <c:pt idx="702">
                  <c:v>18.07</c:v>
                </c:pt>
                <c:pt idx="703">
                  <c:v>9.15</c:v>
                </c:pt>
                <c:pt idx="704">
                  <c:v>11.23</c:v>
                </c:pt>
                <c:pt idx="705">
                  <c:v>9.36</c:v>
                </c:pt>
                <c:pt idx="706">
                  <c:v>6.99</c:v>
                </c:pt>
                <c:pt idx="707">
                  <c:v>9.4</c:v>
                </c:pt>
                <c:pt idx="708">
                  <c:v>16.72</c:v>
                </c:pt>
                <c:pt idx="709">
                  <c:v>12.49</c:v>
                </c:pt>
                <c:pt idx="710">
                  <c:v>11.13</c:v>
                </c:pt>
                <c:pt idx="711">
                  <c:v>6.92</c:v>
                </c:pt>
                <c:pt idx="712">
                  <c:v>8.7200000000000006</c:v>
                </c:pt>
                <c:pt idx="713">
                  <c:v>14.36</c:v>
                </c:pt>
                <c:pt idx="714">
                  <c:v>21.07</c:v>
                </c:pt>
                <c:pt idx="715">
                  <c:v>23.8</c:v>
                </c:pt>
                <c:pt idx="716">
                  <c:v>12.05</c:v>
                </c:pt>
                <c:pt idx="717">
                  <c:v>10.79</c:v>
                </c:pt>
                <c:pt idx="718">
                  <c:v>9.69</c:v>
                </c:pt>
                <c:pt idx="719">
                  <c:v>7.01</c:v>
                </c:pt>
                <c:pt idx="720">
                  <c:v>7.58</c:v>
                </c:pt>
                <c:pt idx="721">
                  <c:v>10.36</c:v>
                </c:pt>
                <c:pt idx="722">
                  <c:v>11.13</c:v>
                </c:pt>
                <c:pt idx="723">
                  <c:v>7.83</c:v>
                </c:pt>
                <c:pt idx="724">
                  <c:v>12.91</c:v>
                </c:pt>
                <c:pt idx="725">
                  <c:v>12.25</c:v>
                </c:pt>
                <c:pt idx="726">
                  <c:v>13.99</c:v>
                </c:pt>
                <c:pt idx="727">
                  <c:v>31.67</c:v>
                </c:pt>
                <c:pt idx="728">
                  <c:v>11.7</c:v>
                </c:pt>
                <c:pt idx="729">
                  <c:v>9.3000000000000007</c:v>
                </c:pt>
                <c:pt idx="730">
                  <c:v>7.5</c:v>
                </c:pt>
                <c:pt idx="731">
                  <c:v>8.92</c:v>
                </c:pt>
                <c:pt idx="732">
                  <c:v>15.76</c:v>
                </c:pt>
                <c:pt idx="733">
                  <c:v>11.46</c:v>
                </c:pt>
                <c:pt idx="734">
                  <c:v>11.81</c:v>
                </c:pt>
                <c:pt idx="735">
                  <c:v>9.89</c:v>
                </c:pt>
                <c:pt idx="736">
                  <c:v>8.86</c:v>
                </c:pt>
                <c:pt idx="737">
                  <c:v>13.36</c:v>
                </c:pt>
                <c:pt idx="738">
                  <c:v>53.12</c:v>
                </c:pt>
                <c:pt idx="739">
                  <c:v>9.35</c:v>
                </c:pt>
                <c:pt idx="740">
                  <c:v>14.49</c:v>
                </c:pt>
                <c:pt idx="741">
                  <c:v>14.56</c:v>
                </c:pt>
                <c:pt idx="742">
                  <c:v>12.12</c:v>
                </c:pt>
                <c:pt idx="743">
                  <c:v>11.19</c:v>
                </c:pt>
                <c:pt idx="744">
                  <c:v>9.58</c:v>
                </c:pt>
                <c:pt idx="745">
                  <c:v>8.5299999999999994</c:v>
                </c:pt>
                <c:pt idx="746">
                  <c:v>8.25</c:v>
                </c:pt>
                <c:pt idx="747">
                  <c:v>7.1</c:v>
                </c:pt>
                <c:pt idx="748">
                  <c:v>16.079999999999998</c:v>
                </c:pt>
                <c:pt idx="749">
                  <c:v>7.48</c:v>
                </c:pt>
                <c:pt idx="750">
                  <c:v>6.96</c:v>
                </c:pt>
                <c:pt idx="751">
                  <c:v>5.68</c:v>
                </c:pt>
                <c:pt idx="752">
                  <c:v>10.54</c:v>
                </c:pt>
                <c:pt idx="753">
                  <c:v>10.3</c:v>
                </c:pt>
                <c:pt idx="754">
                  <c:v>8.39</c:v>
                </c:pt>
                <c:pt idx="755">
                  <c:v>8.56</c:v>
                </c:pt>
                <c:pt idx="756">
                  <c:v>6.52</c:v>
                </c:pt>
                <c:pt idx="757">
                  <c:v>6.52</c:v>
                </c:pt>
                <c:pt idx="758">
                  <c:v>16.190000000000001</c:v>
                </c:pt>
                <c:pt idx="759">
                  <c:v>8.7799999999999994</c:v>
                </c:pt>
                <c:pt idx="760">
                  <c:v>12.54</c:v>
                </c:pt>
                <c:pt idx="761">
                  <c:v>6.99</c:v>
                </c:pt>
                <c:pt idx="762">
                  <c:v>5.72</c:v>
                </c:pt>
                <c:pt idx="763">
                  <c:v>18.920000000000002</c:v>
                </c:pt>
                <c:pt idx="764">
                  <c:v>11.11</c:v>
                </c:pt>
                <c:pt idx="765">
                  <c:v>11.78</c:v>
                </c:pt>
                <c:pt idx="766">
                  <c:v>9.27</c:v>
                </c:pt>
                <c:pt idx="767">
                  <c:v>6.55</c:v>
                </c:pt>
                <c:pt idx="768">
                  <c:v>6.39</c:v>
                </c:pt>
                <c:pt idx="769">
                  <c:v>6.27</c:v>
                </c:pt>
                <c:pt idx="770">
                  <c:v>5.96</c:v>
                </c:pt>
                <c:pt idx="771">
                  <c:v>6.77</c:v>
                </c:pt>
                <c:pt idx="772">
                  <c:v>8.9700000000000006</c:v>
                </c:pt>
                <c:pt idx="773">
                  <c:v>6.89</c:v>
                </c:pt>
                <c:pt idx="774">
                  <c:v>7.61</c:v>
                </c:pt>
                <c:pt idx="775">
                  <c:v>7.89</c:v>
                </c:pt>
                <c:pt idx="776">
                  <c:v>7.92</c:v>
                </c:pt>
                <c:pt idx="777">
                  <c:v>6.38</c:v>
                </c:pt>
                <c:pt idx="778">
                  <c:v>9.83</c:v>
                </c:pt>
                <c:pt idx="779">
                  <c:v>7.7</c:v>
                </c:pt>
                <c:pt idx="780">
                  <c:v>5.93</c:v>
                </c:pt>
                <c:pt idx="781">
                  <c:v>28.01</c:v>
                </c:pt>
                <c:pt idx="782">
                  <c:v>20.010000000000002</c:v>
                </c:pt>
                <c:pt idx="783">
                  <c:v>10.26</c:v>
                </c:pt>
                <c:pt idx="784">
                  <c:v>14.91</c:v>
                </c:pt>
                <c:pt idx="785">
                  <c:v>10.63</c:v>
                </c:pt>
                <c:pt idx="786">
                  <c:v>11.76</c:v>
                </c:pt>
                <c:pt idx="787">
                  <c:v>8.56</c:v>
                </c:pt>
                <c:pt idx="788">
                  <c:v>8.23</c:v>
                </c:pt>
                <c:pt idx="789">
                  <c:v>8.89</c:v>
                </c:pt>
                <c:pt idx="790">
                  <c:v>10.23</c:v>
                </c:pt>
                <c:pt idx="791">
                  <c:v>12.79</c:v>
                </c:pt>
                <c:pt idx="792">
                  <c:v>11.4</c:v>
                </c:pt>
                <c:pt idx="793">
                  <c:v>8.7899999999999991</c:v>
                </c:pt>
                <c:pt idx="794">
                  <c:v>9.93</c:v>
                </c:pt>
                <c:pt idx="795">
                  <c:v>23.09</c:v>
                </c:pt>
                <c:pt idx="796">
                  <c:v>10.8</c:v>
                </c:pt>
                <c:pt idx="797">
                  <c:v>6.59</c:v>
                </c:pt>
                <c:pt idx="798">
                  <c:v>6.55</c:v>
                </c:pt>
                <c:pt idx="799">
                  <c:v>10.16</c:v>
                </c:pt>
                <c:pt idx="800">
                  <c:v>6.43</c:v>
                </c:pt>
                <c:pt idx="801">
                  <c:v>2.2400000000000002</c:v>
                </c:pt>
                <c:pt idx="802">
                  <c:v>3.28</c:v>
                </c:pt>
                <c:pt idx="803">
                  <c:v>11.32</c:v>
                </c:pt>
                <c:pt idx="804">
                  <c:v>17.5</c:v>
                </c:pt>
                <c:pt idx="805">
                  <c:v>9.56</c:v>
                </c:pt>
                <c:pt idx="806">
                  <c:v>8.32</c:v>
                </c:pt>
                <c:pt idx="807">
                  <c:v>7.29</c:v>
                </c:pt>
                <c:pt idx="808">
                  <c:v>9.2799999999999994</c:v>
                </c:pt>
                <c:pt idx="809">
                  <c:v>5.89</c:v>
                </c:pt>
                <c:pt idx="810">
                  <c:v>6.95</c:v>
                </c:pt>
                <c:pt idx="811">
                  <c:v>16.02</c:v>
                </c:pt>
                <c:pt idx="812">
                  <c:v>16.12</c:v>
                </c:pt>
                <c:pt idx="813">
                  <c:v>24.28</c:v>
                </c:pt>
                <c:pt idx="814">
                  <c:v>10.57</c:v>
                </c:pt>
                <c:pt idx="815">
                  <c:v>9.35</c:v>
                </c:pt>
                <c:pt idx="816">
                  <c:v>9.6</c:v>
                </c:pt>
                <c:pt idx="817">
                  <c:v>12.15</c:v>
                </c:pt>
                <c:pt idx="818">
                  <c:v>10.45</c:v>
                </c:pt>
                <c:pt idx="819">
                  <c:v>8.56</c:v>
                </c:pt>
                <c:pt idx="820">
                  <c:v>6.4</c:v>
                </c:pt>
                <c:pt idx="821">
                  <c:v>6.46</c:v>
                </c:pt>
                <c:pt idx="822">
                  <c:v>5.81</c:v>
                </c:pt>
                <c:pt idx="823">
                  <c:v>6.73</c:v>
                </c:pt>
                <c:pt idx="824">
                  <c:v>12.08</c:v>
                </c:pt>
                <c:pt idx="825">
                  <c:v>5.45</c:v>
                </c:pt>
                <c:pt idx="826">
                  <c:v>4.51</c:v>
                </c:pt>
                <c:pt idx="827">
                  <c:v>8.11</c:v>
                </c:pt>
                <c:pt idx="828">
                  <c:v>7.7</c:v>
                </c:pt>
                <c:pt idx="829">
                  <c:v>12.06</c:v>
                </c:pt>
                <c:pt idx="830">
                  <c:v>7.23</c:v>
                </c:pt>
                <c:pt idx="831">
                  <c:v>15.05</c:v>
                </c:pt>
                <c:pt idx="832">
                  <c:v>14.91</c:v>
                </c:pt>
                <c:pt idx="833">
                  <c:v>41.17</c:v>
                </c:pt>
                <c:pt idx="834">
                  <c:v>12.57</c:v>
                </c:pt>
                <c:pt idx="835">
                  <c:v>13.79</c:v>
                </c:pt>
                <c:pt idx="836">
                  <c:v>8.56</c:v>
                </c:pt>
                <c:pt idx="837">
                  <c:v>14.3</c:v>
                </c:pt>
                <c:pt idx="838">
                  <c:v>11.09</c:v>
                </c:pt>
                <c:pt idx="839">
                  <c:v>7.67</c:v>
                </c:pt>
                <c:pt idx="840">
                  <c:v>12.87</c:v>
                </c:pt>
                <c:pt idx="841">
                  <c:v>9.98</c:v>
                </c:pt>
                <c:pt idx="842">
                  <c:v>11.08</c:v>
                </c:pt>
                <c:pt idx="843">
                  <c:v>7.66</c:v>
                </c:pt>
                <c:pt idx="844">
                  <c:v>4.84</c:v>
                </c:pt>
                <c:pt idx="845">
                  <c:v>10.16</c:v>
                </c:pt>
                <c:pt idx="846">
                  <c:v>7.9</c:v>
                </c:pt>
                <c:pt idx="847">
                  <c:v>11.5</c:v>
                </c:pt>
                <c:pt idx="848">
                  <c:v>5.71</c:v>
                </c:pt>
                <c:pt idx="849">
                  <c:v>2.84</c:v>
                </c:pt>
                <c:pt idx="850">
                  <c:v>9.44</c:v>
                </c:pt>
                <c:pt idx="851">
                  <c:v>7.22</c:v>
                </c:pt>
                <c:pt idx="852">
                  <c:v>10.11</c:v>
                </c:pt>
                <c:pt idx="853">
                  <c:v>12.82</c:v>
                </c:pt>
                <c:pt idx="854">
                  <c:v>19.73</c:v>
                </c:pt>
                <c:pt idx="855">
                  <c:v>24.56</c:v>
                </c:pt>
                <c:pt idx="856">
                  <c:v>14.51</c:v>
                </c:pt>
                <c:pt idx="857">
                  <c:v>13</c:v>
                </c:pt>
                <c:pt idx="858">
                  <c:v>38.69</c:v>
                </c:pt>
                <c:pt idx="859">
                  <c:v>12.71</c:v>
                </c:pt>
                <c:pt idx="860">
                  <c:v>7.91</c:v>
                </c:pt>
                <c:pt idx="861">
                  <c:v>11.58</c:v>
                </c:pt>
                <c:pt idx="862">
                  <c:v>7.9</c:v>
                </c:pt>
                <c:pt idx="863">
                  <c:v>7.29</c:v>
                </c:pt>
                <c:pt idx="864">
                  <c:v>8.57</c:v>
                </c:pt>
                <c:pt idx="865">
                  <c:v>6.57</c:v>
                </c:pt>
                <c:pt idx="866">
                  <c:v>6.43</c:v>
                </c:pt>
                <c:pt idx="867">
                  <c:v>12.83</c:v>
                </c:pt>
                <c:pt idx="868">
                  <c:v>4.63</c:v>
                </c:pt>
                <c:pt idx="869">
                  <c:v>4.7300000000000004</c:v>
                </c:pt>
                <c:pt idx="870">
                  <c:v>6.01</c:v>
                </c:pt>
                <c:pt idx="871">
                  <c:v>6.44</c:v>
                </c:pt>
                <c:pt idx="872">
                  <c:v>7.05</c:v>
                </c:pt>
                <c:pt idx="873">
                  <c:v>5.6</c:v>
                </c:pt>
                <c:pt idx="874">
                  <c:v>12.81</c:v>
                </c:pt>
                <c:pt idx="875">
                  <c:v>15.22</c:v>
                </c:pt>
                <c:pt idx="876">
                  <c:v>10.35</c:v>
                </c:pt>
                <c:pt idx="877">
                  <c:v>10.65</c:v>
                </c:pt>
                <c:pt idx="878">
                  <c:v>1.78</c:v>
                </c:pt>
                <c:pt idx="879">
                  <c:v>6.08</c:v>
                </c:pt>
                <c:pt idx="880">
                  <c:v>59.81</c:v>
                </c:pt>
                <c:pt idx="881">
                  <c:v>14.21</c:v>
                </c:pt>
                <c:pt idx="882">
                  <c:v>16.88</c:v>
                </c:pt>
                <c:pt idx="883">
                  <c:v>7.5</c:v>
                </c:pt>
                <c:pt idx="884">
                  <c:v>8.76</c:v>
                </c:pt>
                <c:pt idx="885">
                  <c:v>16.559999999999999</c:v>
                </c:pt>
                <c:pt idx="886">
                  <c:v>22.93</c:v>
                </c:pt>
                <c:pt idx="887">
                  <c:v>23.39</c:v>
                </c:pt>
                <c:pt idx="888">
                  <c:v>12.12</c:v>
                </c:pt>
                <c:pt idx="889">
                  <c:v>9.48</c:v>
                </c:pt>
                <c:pt idx="890">
                  <c:v>13.9</c:v>
                </c:pt>
                <c:pt idx="891">
                  <c:v>11.07</c:v>
                </c:pt>
                <c:pt idx="892">
                  <c:v>13.64</c:v>
                </c:pt>
                <c:pt idx="893">
                  <c:v>9.4600000000000009</c:v>
                </c:pt>
                <c:pt idx="894">
                  <c:v>6.64</c:v>
                </c:pt>
                <c:pt idx="895">
                  <c:v>9.86</c:v>
                </c:pt>
                <c:pt idx="896">
                  <c:v>8.6300000000000008</c:v>
                </c:pt>
                <c:pt idx="897">
                  <c:v>8</c:v>
                </c:pt>
                <c:pt idx="898">
                  <c:v>8.0399999999999991</c:v>
                </c:pt>
                <c:pt idx="899">
                  <c:v>9.14</c:v>
                </c:pt>
                <c:pt idx="900">
                  <c:v>4.5199999999999996</c:v>
                </c:pt>
                <c:pt idx="901">
                  <c:v>5.19</c:v>
                </c:pt>
                <c:pt idx="902">
                  <c:v>8.5399999999999991</c:v>
                </c:pt>
                <c:pt idx="903">
                  <c:v>4.55</c:v>
                </c:pt>
                <c:pt idx="904">
                  <c:v>11.58</c:v>
                </c:pt>
                <c:pt idx="905">
                  <c:v>12.63</c:v>
                </c:pt>
                <c:pt idx="906">
                  <c:v>9.57</c:v>
                </c:pt>
                <c:pt idx="907">
                  <c:v>13.54</c:v>
                </c:pt>
                <c:pt idx="908">
                  <c:v>15.38</c:v>
                </c:pt>
                <c:pt idx="909">
                  <c:v>7.19</c:v>
                </c:pt>
                <c:pt idx="910">
                  <c:v>7.99</c:v>
                </c:pt>
                <c:pt idx="911">
                  <c:v>4.67</c:v>
                </c:pt>
                <c:pt idx="912">
                  <c:v>8.3699999999999992</c:v>
                </c:pt>
                <c:pt idx="913">
                  <c:v>7.94</c:v>
                </c:pt>
                <c:pt idx="914">
                  <c:v>4.76</c:v>
                </c:pt>
                <c:pt idx="915">
                  <c:v>9.0500000000000007</c:v>
                </c:pt>
                <c:pt idx="916">
                  <c:v>12.7</c:v>
                </c:pt>
                <c:pt idx="917">
                  <c:v>11.87</c:v>
                </c:pt>
                <c:pt idx="918">
                  <c:v>5.72</c:v>
                </c:pt>
                <c:pt idx="919">
                  <c:v>8.8800000000000008</c:v>
                </c:pt>
                <c:pt idx="920">
                  <c:v>7.52</c:v>
                </c:pt>
                <c:pt idx="921">
                  <c:v>19.190000000000001</c:v>
                </c:pt>
                <c:pt idx="922">
                  <c:v>13.38</c:v>
                </c:pt>
                <c:pt idx="923">
                  <c:v>58.97</c:v>
                </c:pt>
                <c:pt idx="924">
                  <c:v>16.329999999999998</c:v>
                </c:pt>
                <c:pt idx="925">
                  <c:v>19.670000000000002</c:v>
                </c:pt>
                <c:pt idx="926">
                  <c:v>31.24</c:v>
                </c:pt>
                <c:pt idx="927">
                  <c:v>13.21</c:v>
                </c:pt>
                <c:pt idx="928">
                  <c:v>1.93</c:v>
                </c:pt>
                <c:pt idx="929">
                  <c:v>10.06</c:v>
                </c:pt>
                <c:pt idx="930">
                  <c:v>9.5</c:v>
                </c:pt>
                <c:pt idx="931">
                  <c:v>11.21</c:v>
                </c:pt>
                <c:pt idx="932">
                  <c:v>9.59</c:v>
                </c:pt>
                <c:pt idx="933">
                  <c:v>6.92</c:v>
                </c:pt>
                <c:pt idx="934">
                  <c:v>6.62</c:v>
                </c:pt>
                <c:pt idx="935">
                  <c:v>8.18</c:v>
                </c:pt>
                <c:pt idx="936">
                  <c:v>10.17</c:v>
                </c:pt>
                <c:pt idx="937">
                  <c:v>14.29</c:v>
                </c:pt>
                <c:pt idx="938">
                  <c:v>12.31</c:v>
                </c:pt>
                <c:pt idx="939">
                  <c:v>26.55</c:v>
                </c:pt>
                <c:pt idx="940">
                  <c:v>13.75</c:v>
                </c:pt>
                <c:pt idx="941">
                  <c:v>11.79</c:v>
                </c:pt>
                <c:pt idx="942">
                  <c:v>15.58</c:v>
                </c:pt>
                <c:pt idx="943">
                  <c:v>9.26</c:v>
                </c:pt>
                <c:pt idx="944">
                  <c:v>14.83</c:v>
                </c:pt>
                <c:pt idx="945">
                  <c:v>17.53</c:v>
                </c:pt>
                <c:pt idx="946">
                  <c:v>12.16</c:v>
                </c:pt>
                <c:pt idx="947">
                  <c:v>11.59</c:v>
                </c:pt>
                <c:pt idx="948">
                  <c:v>9.85</c:v>
                </c:pt>
                <c:pt idx="949">
                  <c:v>7.61</c:v>
                </c:pt>
                <c:pt idx="950">
                  <c:v>7.3</c:v>
                </c:pt>
                <c:pt idx="951">
                  <c:v>14.3</c:v>
                </c:pt>
                <c:pt idx="952">
                  <c:v>6.66</c:v>
                </c:pt>
                <c:pt idx="953">
                  <c:v>7.3</c:v>
                </c:pt>
                <c:pt idx="954">
                  <c:v>6.91</c:v>
                </c:pt>
                <c:pt idx="955">
                  <c:v>19.39</c:v>
                </c:pt>
                <c:pt idx="956">
                  <c:v>23.03</c:v>
                </c:pt>
                <c:pt idx="957">
                  <c:v>14.01</c:v>
                </c:pt>
                <c:pt idx="958">
                  <c:v>12.28</c:v>
                </c:pt>
                <c:pt idx="959">
                  <c:v>7.35</c:v>
                </c:pt>
                <c:pt idx="960">
                  <c:v>12.14</c:v>
                </c:pt>
                <c:pt idx="961">
                  <c:v>9.0500000000000007</c:v>
                </c:pt>
                <c:pt idx="962">
                  <c:v>13.31</c:v>
                </c:pt>
                <c:pt idx="963">
                  <c:v>10.95</c:v>
                </c:pt>
                <c:pt idx="964">
                  <c:v>13.41</c:v>
                </c:pt>
                <c:pt idx="965">
                  <c:v>11.98</c:v>
                </c:pt>
                <c:pt idx="966">
                  <c:v>7.34</c:v>
                </c:pt>
                <c:pt idx="967">
                  <c:v>5.85</c:v>
                </c:pt>
                <c:pt idx="968">
                  <c:v>4.82</c:v>
                </c:pt>
                <c:pt idx="969">
                  <c:v>8.01</c:v>
                </c:pt>
                <c:pt idx="970">
                  <c:v>7.4</c:v>
                </c:pt>
                <c:pt idx="971">
                  <c:v>7.4</c:v>
                </c:pt>
                <c:pt idx="972">
                  <c:v>10.38</c:v>
                </c:pt>
                <c:pt idx="973">
                  <c:v>11.47</c:v>
                </c:pt>
                <c:pt idx="974">
                  <c:v>32.770000000000003</c:v>
                </c:pt>
                <c:pt idx="975">
                  <c:v>21.23</c:v>
                </c:pt>
                <c:pt idx="976">
                  <c:v>11.85</c:v>
                </c:pt>
                <c:pt idx="977">
                  <c:v>28.59</c:v>
                </c:pt>
                <c:pt idx="978">
                  <c:v>10.86</c:v>
                </c:pt>
                <c:pt idx="979">
                  <c:v>14.38</c:v>
                </c:pt>
                <c:pt idx="980">
                  <c:v>21.97</c:v>
                </c:pt>
                <c:pt idx="981">
                  <c:v>26.65</c:v>
                </c:pt>
                <c:pt idx="982">
                  <c:v>16.73</c:v>
                </c:pt>
                <c:pt idx="983">
                  <c:v>9.98</c:v>
                </c:pt>
                <c:pt idx="984">
                  <c:v>19.53</c:v>
                </c:pt>
                <c:pt idx="985">
                  <c:v>15.44</c:v>
                </c:pt>
                <c:pt idx="986">
                  <c:v>11.31</c:v>
                </c:pt>
                <c:pt idx="987">
                  <c:v>7.51</c:v>
                </c:pt>
                <c:pt idx="988">
                  <c:v>8.2100000000000009</c:v>
                </c:pt>
                <c:pt idx="989">
                  <c:v>11.44</c:v>
                </c:pt>
                <c:pt idx="990">
                  <c:v>6.91</c:v>
                </c:pt>
                <c:pt idx="991">
                  <c:v>5.63</c:v>
                </c:pt>
                <c:pt idx="992">
                  <c:v>4.87</c:v>
                </c:pt>
                <c:pt idx="993">
                  <c:v>9.3800000000000008</c:v>
                </c:pt>
                <c:pt idx="994">
                  <c:v>10.18</c:v>
                </c:pt>
                <c:pt idx="995">
                  <c:v>9.42</c:v>
                </c:pt>
                <c:pt idx="996">
                  <c:v>8.81</c:v>
                </c:pt>
                <c:pt idx="997">
                  <c:v>8.15</c:v>
                </c:pt>
                <c:pt idx="998">
                  <c:v>40.659999999999997</c:v>
                </c:pt>
                <c:pt idx="999">
                  <c:v>17.649999999999999</c:v>
                </c:pt>
                <c:pt idx="1000">
                  <c:v>8.1199999999999992</c:v>
                </c:pt>
                <c:pt idx="1001">
                  <c:v>5.09</c:v>
                </c:pt>
                <c:pt idx="1002">
                  <c:v>4.67</c:v>
                </c:pt>
                <c:pt idx="1003">
                  <c:v>7.9</c:v>
                </c:pt>
                <c:pt idx="1004">
                  <c:v>8.7200000000000006</c:v>
                </c:pt>
                <c:pt idx="1005">
                  <c:v>7.21</c:v>
                </c:pt>
                <c:pt idx="1006">
                  <c:v>6.92</c:v>
                </c:pt>
                <c:pt idx="1007">
                  <c:v>36.14</c:v>
                </c:pt>
                <c:pt idx="1008">
                  <c:v>25.68</c:v>
                </c:pt>
                <c:pt idx="1009">
                  <c:v>13.2</c:v>
                </c:pt>
                <c:pt idx="1010">
                  <c:v>5.84</c:v>
                </c:pt>
                <c:pt idx="1011">
                  <c:v>44.52</c:v>
                </c:pt>
                <c:pt idx="1012">
                  <c:v>12.04</c:v>
                </c:pt>
                <c:pt idx="1013">
                  <c:v>13.47</c:v>
                </c:pt>
                <c:pt idx="1014">
                  <c:v>16.760000000000002</c:v>
                </c:pt>
                <c:pt idx="1015">
                  <c:v>10.25</c:v>
                </c:pt>
                <c:pt idx="1016">
                  <c:v>12.76</c:v>
                </c:pt>
                <c:pt idx="1017">
                  <c:v>12.96</c:v>
                </c:pt>
                <c:pt idx="1018">
                  <c:v>21.64</c:v>
                </c:pt>
                <c:pt idx="1019">
                  <c:v>10.36</c:v>
                </c:pt>
                <c:pt idx="1020">
                  <c:v>12.23</c:v>
                </c:pt>
                <c:pt idx="1021">
                  <c:v>10.09</c:v>
                </c:pt>
                <c:pt idx="1022">
                  <c:v>24.42</c:v>
                </c:pt>
                <c:pt idx="1023">
                  <c:v>19.190000000000001</c:v>
                </c:pt>
                <c:pt idx="1024">
                  <c:v>11.77</c:v>
                </c:pt>
                <c:pt idx="1025">
                  <c:v>21.18</c:v>
                </c:pt>
                <c:pt idx="1026">
                  <c:v>11.56</c:v>
                </c:pt>
                <c:pt idx="1027">
                  <c:v>13.25</c:v>
                </c:pt>
                <c:pt idx="1028">
                  <c:v>4.46</c:v>
                </c:pt>
                <c:pt idx="1029">
                  <c:v>5.74</c:v>
                </c:pt>
                <c:pt idx="1030">
                  <c:v>9.06</c:v>
                </c:pt>
                <c:pt idx="1031">
                  <c:v>10.3</c:v>
                </c:pt>
                <c:pt idx="1032">
                  <c:v>13.86</c:v>
                </c:pt>
                <c:pt idx="1033">
                  <c:v>11.53</c:v>
                </c:pt>
                <c:pt idx="1034">
                  <c:v>7.39</c:v>
                </c:pt>
                <c:pt idx="1035">
                  <c:v>13.62</c:v>
                </c:pt>
                <c:pt idx="1036">
                  <c:v>10.55</c:v>
                </c:pt>
                <c:pt idx="1037">
                  <c:v>7.23</c:v>
                </c:pt>
                <c:pt idx="1038">
                  <c:v>10.87</c:v>
                </c:pt>
                <c:pt idx="1039">
                  <c:v>7.11</c:v>
                </c:pt>
                <c:pt idx="1040">
                  <c:v>26.82</c:v>
                </c:pt>
                <c:pt idx="1041">
                  <c:v>12.93</c:v>
                </c:pt>
                <c:pt idx="1042">
                  <c:v>11.9</c:v>
                </c:pt>
                <c:pt idx="1043">
                  <c:v>2.9</c:v>
                </c:pt>
                <c:pt idx="1044">
                  <c:v>15.51</c:v>
                </c:pt>
                <c:pt idx="1045">
                  <c:v>10.220000000000001</c:v>
                </c:pt>
                <c:pt idx="1046">
                  <c:v>10.58</c:v>
                </c:pt>
                <c:pt idx="1047">
                  <c:v>13.24</c:v>
                </c:pt>
                <c:pt idx="1048">
                  <c:v>16.07</c:v>
                </c:pt>
                <c:pt idx="1049">
                  <c:v>27.59</c:v>
                </c:pt>
                <c:pt idx="1050">
                  <c:v>16.53</c:v>
                </c:pt>
                <c:pt idx="1051">
                  <c:v>14.67</c:v>
                </c:pt>
                <c:pt idx="1052">
                  <c:v>11.74</c:v>
                </c:pt>
                <c:pt idx="1053">
                  <c:v>17.05</c:v>
                </c:pt>
                <c:pt idx="1054">
                  <c:v>14.01</c:v>
                </c:pt>
                <c:pt idx="1055">
                  <c:v>14.19</c:v>
                </c:pt>
                <c:pt idx="1056">
                  <c:v>14.54</c:v>
                </c:pt>
                <c:pt idx="1057">
                  <c:v>15.19</c:v>
                </c:pt>
                <c:pt idx="1058">
                  <c:v>10.31</c:v>
                </c:pt>
                <c:pt idx="1059">
                  <c:v>10.01</c:v>
                </c:pt>
                <c:pt idx="1060">
                  <c:v>10.94</c:v>
                </c:pt>
                <c:pt idx="1061">
                  <c:v>10.36</c:v>
                </c:pt>
                <c:pt idx="1062">
                  <c:v>8.43</c:v>
                </c:pt>
                <c:pt idx="1063">
                  <c:v>9.8699999999999992</c:v>
                </c:pt>
                <c:pt idx="1064">
                  <c:v>12.39</c:v>
                </c:pt>
                <c:pt idx="1065">
                  <c:v>12.17</c:v>
                </c:pt>
                <c:pt idx="1066">
                  <c:v>19.72</c:v>
                </c:pt>
                <c:pt idx="1067">
                  <c:v>15.57</c:v>
                </c:pt>
                <c:pt idx="1068">
                  <c:v>13.11</c:v>
                </c:pt>
                <c:pt idx="1069">
                  <c:v>7.76</c:v>
                </c:pt>
                <c:pt idx="1070">
                  <c:v>10.6</c:v>
                </c:pt>
                <c:pt idx="1071">
                  <c:v>14.1</c:v>
                </c:pt>
                <c:pt idx="1072">
                  <c:v>10.02</c:v>
                </c:pt>
                <c:pt idx="1073">
                  <c:v>10.27</c:v>
                </c:pt>
                <c:pt idx="1074">
                  <c:v>19.09</c:v>
                </c:pt>
                <c:pt idx="1075">
                  <c:v>17.12</c:v>
                </c:pt>
                <c:pt idx="1076">
                  <c:v>17.96</c:v>
                </c:pt>
                <c:pt idx="1077">
                  <c:v>9.65</c:v>
                </c:pt>
                <c:pt idx="1078">
                  <c:v>12.55</c:v>
                </c:pt>
                <c:pt idx="1079">
                  <c:v>9.34</c:v>
                </c:pt>
                <c:pt idx="1080">
                  <c:v>15.84</c:v>
                </c:pt>
                <c:pt idx="1081">
                  <c:v>17.440000000000001</c:v>
                </c:pt>
                <c:pt idx="1082">
                  <c:v>7.09</c:v>
                </c:pt>
                <c:pt idx="1083">
                  <c:v>7.79</c:v>
                </c:pt>
                <c:pt idx="1084">
                  <c:v>15.29</c:v>
                </c:pt>
                <c:pt idx="1085">
                  <c:v>24.77</c:v>
                </c:pt>
                <c:pt idx="1086">
                  <c:v>16.95</c:v>
                </c:pt>
                <c:pt idx="1087">
                  <c:v>15.55</c:v>
                </c:pt>
                <c:pt idx="1088">
                  <c:v>11.86</c:v>
                </c:pt>
                <c:pt idx="1089">
                  <c:v>17.95</c:v>
                </c:pt>
                <c:pt idx="1090">
                  <c:v>11.14</c:v>
                </c:pt>
                <c:pt idx="1091">
                  <c:v>12.23</c:v>
                </c:pt>
                <c:pt idx="1092">
                  <c:v>11.38</c:v>
                </c:pt>
                <c:pt idx="1093">
                  <c:v>10.5</c:v>
                </c:pt>
                <c:pt idx="1094">
                  <c:v>8.68</c:v>
                </c:pt>
                <c:pt idx="1095">
                  <c:v>7.01</c:v>
                </c:pt>
                <c:pt idx="1096">
                  <c:v>9.9600000000000009</c:v>
                </c:pt>
                <c:pt idx="1097">
                  <c:v>11.66</c:v>
                </c:pt>
                <c:pt idx="1098">
                  <c:v>12.42</c:v>
                </c:pt>
                <c:pt idx="1099">
                  <c:v>7.92</c:v>
                </c:pt>
                <c:pt idx="1100">
                  <c:v>9.51</c:v>
                </c:pt>
                <c:pt idx="1101">
                  <c:v>14.12</c:v>
                </c:pt>
                <c:pt idx="1102">
                  <c:v>16.100000000000001</c:v>
                </c:pt>
                <c:pt idx="1103">
                  <c:v>12.46</c:v>
                </c:pt>
                <c:pt idx="1104">
                  <c:v>59.39</c:v>
                </c:pt>
                <c:pt idx="1105">
                  <c:v>19.16</c:v>
                </c:pt>
                <c:pt idx="1106">
                  <c:v>14.09</c:v>
                </c:pt>
                <c:pt idx="1107">
                  <c:v>17.809999999999999</c:v>
                </c:pt>
                <c:pt idx="1108">
                  <c:v>16.79</c:v>
                </c:pt>
                <c:pt idx="1109">
                  <c:v>12.91</c:v>
                </c:pt>
                <c:pt idx="1110">
                  <c:v>10.02</c:v>
                </c:pt>
                <c:pt idx="1111">
                  <c:v>12.26</c:v>
                </c:pt>
                <c:pt idx="1112">
                  <c:v>10.98</c:v>
                </c:pt>
                <c:pt idx="1113">
                  <c:v>11.94</c:v>
                </c:pt>
                <c:pt idx="1114">
                  <c:v>12.31</c:v>
                </c:pt>
                <c:pt idx="1115">
                  <c:v>8.49</c:v>
                </c:pt>
                <c:pt idx="1116">
                  <c:v>9.9700000000000006</c:v>
                </c:pt>
                <c:pt idx="1117">
                  <c:v>10.31</c:v>
                </c:pt>
                <c:pt idx="1118">
                  <c:v>7.81</c:v>
                </c:pt>
                <c:pt idx="1119">
                  <c:v>9.99</c:v>
                </c:pt>
                <c:pt idx="1120">
                  <c:v>8.67</c:v>
                </c:pt>
                <c:pt idx="1121">
                  <c:v>14.58</c:v>
                </c:pt>
                <c:pt idx="1122">
                  <c:v>8.86</c:v>
                </c:pt>
                <c:pt idx="1123">
                  <c:v>10.25</c:v>
                </c:pt>
                <c:pt idx="1124">
                  <c:v>12.28</c:v>
                </c:pt>
                <c:pt idx="1125">
                  <c:v>20.48</c:v>
                </c:pt>
                <c:pt idx="1126">
                  <c:v>18.36</c:v>
                </c:pt>
                <c:pt idx="1127">
                  <c:v>11.88</c:v>
                </c:pt>
                <c:pt idx="1128">
                  <c:v>12.37</c:v>
                </c:pt>
                <c:pt idx="1129">
                  <c:v>16.989999999999998</c:v>
                </c:pt>
                <c:pt idx="1130">
                  <c:v>10.119999999999999</c:v>
                </c:pt>
                <c:pt idx="1131">
                  <c:v>10.31</c:v>
                </c:pt>
                <c:pt idx="1132">
                  <c:v>9.5299999999999994</c:v>
                </c:pt>
                <c:pt idx="1133">
                  <c:v>18.73</c:v>
                </c:pt>
                <c:pt idx="1134">
                  <c:v>14</c:v>
                </c:pt>
                <c:pt idx="1135">
                  <c:v>9.17</c:v>
                </c:pt>
                <c:pt idx="1136">
                  <c:v>11.24</c:v>
                </c:pt>
                <c:pt idx="1137">
                  <c:v>9.34</c:v>
                </c:pt>
                <c:pt idx="1138">
                  <c:v>9.7100000000000009</c:v>
                </c:pt>
                <c:pt idx="1139">
                  <c:v>14.82</c:v>
                </c:pt>
                <c:pt idx="1140">
                  <c:v>11.67</c:v>
                </c:pt>
                <c:pt idx="1141">
                  <c:v>13.62</c:v>
                </c:pt>
                <c:pt idx="1142">
                  <c:v>9.36</c:v>
                </c:pt>
                <c:pt idx="1143">
                  <c:v>34.24</c:v>
                </c:pt>
                <c:pt idx="1144">
                  <c:v>16.010000000000002</c:v>
                </c:pt>
                <c:pt idx="1145">
                  <c:v>9.59</c:v>
                </c:pt>
                <c:pt idx="1146">
                  <c:v>8.0299999999999994</c:v>
                </c:pt>
                <c:pt idx="1147">
                  <c:v>13.47</c:v>
                </c:pt>
                <c:pt idx="1148">
                  <c:v>26.62</c:v>
                </c:pt>
                <c:pt idx="1149">
                  <c:v>49.46</c:v>
                </c:pt>
                <c:pt idx="1150">
                  <c:v>20.99</c:v>
                </c:pt>
                <c:pt idx="1151">
                  <c:v>17.48</c:v>
                </c:pt>
                <c:pt idx="1152">
                  <c:v>21.06</c:v>
                </c:pt>
                <c:pt idx="1153">
                  <c:v>19.72</c:v>
                </c:pt>
                <c:pt idx="1154">
                  <c:v>12.32</c:v>
                </c:pt>
                <c:pt idx="1155">
                  <c:v>14.34</c:v>
                </c:pt>
                <c:pt idx="1156">
                  <c:v>12.79</c:v>
                </c:pt>
                <c:pt idx="1157">
                  <c:v>10.29</c:v>
                </c:pt>
                <c:pt idx="1158">
                  <c:v>23.39</c:v>
                </c:pt>
                <c:pt idx="1159">
                  <c:v>15.17</c:v>
                </c:pt>
                <c:pt idx="1160">
                  <c:v>13.21</c:v>
                </c:pt>
                <c:pt idx="1161">
                  <c:v>10.24</c:v>
                </c:pt>
                <c:pt idx="1162">
                  <c:v>13.75</c:v>
                </c:pt>
                <c:pt idx="1163">
                  <c:v>19.489999999999998</c:v>
                </c:pt>
                <c:pt idx="1164">
                  <c:v>13.14</c:v>
                </c:pt>
                <c:pt idx="1165">
                  <c:v>8.8699999999999992</c:v>
                </c:pt>
                <c:pt idx="1166">
                  <c:v>12.72</c:v>
                </c:pt>
                <c:pt idx="1167">
                  <c:v>30.39</c:v>
                </c:pt>
                <c:pt idx="1168">
                  <c:v>29.32</c:v>
                </c:pt>
                <c:pt idx="1169">
                  <c:v>40.18</c:v>
                </c:pt>
                <c:pt idx="1170">
                  <c:v>20.13</c:v>
                </c:pt>
                <c:pt idx="1171">
                  <c:v>16.13</c:v>
                </c:pt>
                <c:pt idx="1172">
                  <c:v>31.51</c:v>
                </c:pt>
                <c:pt idx="1173">
                  <c:v>28.63</c:v>
                </c:pt>
                <c:pt idx="1174">
                  <c:v>20.63</c:v>
                </c:pt>
                <c:pt idx="1175">
                  <c:v>10.46</c:v>
                </c:pt>
                <c:pt idx="1176">
                  <c:v>14.47</c:v>
                </c:pt>
                <c:pt idx="1177">
                  <c:v>9</c:v>
                </c:pt>
                <c:pt idx="1178">
                  <c:v>10.050000000000001</c:v>
                </c:pt>
                <c:pt idx="1179">
                  <c:v>7.92</c:v>
                </c:pt>
                <c:pt idx="1180">
                  <c:v>13.02</c:v>
                </c:pt>
                <c:pt idx="1181">
                  <c:v>12.22</c:v>
                </c:pt>
                <c:pt idx="1182">
                  <c:v>7.57</c:v>
                </c:pt>
                <c:pt idx="1183">
                  <c:v>8.84</c:v>
                </c:pt>
                <c:pt idx="1184">
                  <c:v>14.53</c:v>
                </c:pt>
                <c:pt idx="1185">
                  <c:v>9.7100000000000009</c:v>
                </c:pt>
                <c:pt idx="1186">
                  <c:v>9.16</c:v>
                </c:pt>
                <c:pt idx="1187">
                  <c:v>11.29</c:v>
                </c:pt>
                <c:pt idx="1188">
                  <c:v>10.199999999999999</c:v>
                </c:pt>
                <c:pt idx="1189">
                  <c:v>11.98</c:v>
                </c:pt>
                <c:pt idx="1190">
                  <c:v>9.9</c:v>
                </c:pt>
                <c:pt idx="1191">
                  <c:v>19.149999999999999</c:v>
                </c:pt>
                <c:pt idx="1192">
                  <c:v>12.63</c:v>
                </c:pt>
                <c:pt idx="1193">
                  <c:v>12.59</c:v>
                </c:pt>
                <c:pt idx="1194">
                  <c:v>10.52</c:v>
                </c:pt>
                <c:pt idx="1195">
                  <c:v>31.25</c:v>
                </c:pt>
                <c:pt idx="1196">
                  <c:v>17.11</c:v>
                </c:pt>
                <c:pt idx="1197">
                  <c:v>12.56</c:v>
                </c:pt>
                <c:pt idx="1198">
                  <c:v>10.9</c:v>
                </c:pt>
                <c:pt idx="1199">
                  <c:v>11.39</c:v>
                </c:pt>
                <c:pt idx="1200">
                  <c:v>10.27</c:v>
                </c:pt>
                <c:pt idx="1201">
                  <c:v>15.36</c:v>
                </c:pt>
                <c:pt idx="1202">
                  <c:v>10.46</c:v>
                </c:pt>
                <c:pt idx="1203">
                  <c:v>10.1</c:v>
                </c:pt>
                <c:pt idx="1204">
                  <c:v>7.2</c:v>
                </c:pt>
                <c:pt idx="1205">
                  <c:v>6.96</c:v>
                </c:pt>
                <c:pt idx="1206">
                  <c:v>6.87</c:v>
                </c:pt>
                <c:pt idx="1207">
                  <c:v>8.0299999999999994</c:v>
                </c:pt>
                <c:pt idx="1208">
                  <c:v>9.67</c:v>
                </c:pt>
                <c:pt idx="1209">
                  <c:v>4.9400000000000004</c:v>
                </c:pt>
                <c:pt idx="1210">
                  <c:v>5.43</c:v>
                </c:pt>
                <c:pt idx="1211">
                  <c:v>7.62</c:v>
                </c:pt>
                <c:pt idx="1212">
                  <c:v>5.48</c:v>
                </c:pt>
                <c:pt idx="1213">
                  <c:v>7.73</c:v>
                </c:pt>
                <c:pt idx="1214">
                  <c:v>8.2799999999999994</c:v>
                </c:pt>
                <c:pt idx="1215">
                  <c:v>7.75</c:v>
                </c:pt>
                <c:pt idx="1216">
                  <c:v>7.04</c:v>
                </c:pt>
                <c:pt idx="1217">
                  <c:v>6.24</c:v>
                </c:pt>
                <c:pt idx="1218">
                  <c:v>6.6</c:v>
                </c:pt>
                <c:pt idx="1219">
                  <c:v>5.56</c:v>
                </c:pt>
                <c:pt idx="1220">
                  <c:v>6.73</c:v>
                </c:pt>
                <c:pt idx="1221">
                  <c:v>7.75</c:v>
                </c:pt>
                <c:pt idx="1222">
                  <c:v>14.46</c:v>
                </c:pt>
                <c:pt idx="1223">
                  <c:v>15.2</c:v>
                </c:pt>
                <c:pt idx="1224">
                  <c:v>7.27</c:v>
                </c:pt>
                <c:pt idx="1225">
                  <c:v>7.79</c:v>
                </c:pt>
                <c:pt idx="1226">
                  <c:v>6.24</c:v>
                </c:pt>
                <c:pt idx="1227">
                  <c:v>18.920000000000002</c:v>
                </c:pt>
                <c:pt idx="1228">
                  <c:v>18.72</c:v>
                </c:pt>
                <c:pt idx="1229">
                  <c:v>12.55</c:v>
                </c:pt>
                <c:pt idx="1230">
                  <c:v>8.0299999999999994</c:v>
                </c:pt>
                <c:pt idx="1231">
                  <c:v>6.71</c:v>
                </c:pt>
                <c:pt idx="1232">
                  <c:v>6.41</c:v>
                </c:pt>
                <c:pt idx="1233">
                  <c:v>13.61</c:v>
                </c:pt>
                <c:pt idx="1234">
                  <c:v>10.14</c:v>
                </c:pt>
                <c:pt idx="1235">
                  <c:v>17.28</c:v>
                </c:pt>
                <c:pt idx="1236">
                  <c:v>11.21</c:v>
                </c:pt>
                <c:pt idx="1237">
                  <c:v>7.56</c:v>
                </c:pt>
                <c:pt idx="1238">
                  <c:v>6.25</c:v>
                </c:pt>
                <c:pt idx="1239">
                  <c:v>14.23</c:v>
                </c:pt>
                <c:pt idx="1240">
                  <c:v>19.440000000000001</c:v>
                </c:pt>
                <c:pt idx="1241">
                  <c:v>10.050000000000001</c:v>
                </c:pt>
              </c:numCache>
            </c:numRef>
          </c:val>
          <c:extLst>
            <c:ext xmlns:c16="http://schemas.microsoft.com/office/drawing/2014/chart" uri="{C3380CC4-5D6E-409C-BE32-E72D297353CC}">
              <c16:uniqueId val="{00000000-834B-4CD1-BD41-CD8EA5879EA7}"/>
            </c:ext>
          </c:extLst>
        </c:ser>
        <c:dLbls>
          <c:showLegendKey val="0"/>
          <c:showVal val="0"/>
          <c:showCatName val="0"/>
          <c:showSerName val="0"/>
          <c:showPercent val="0"/>
          <c:showBubbleSize val="0"/>
        </c:dLbls>
        <c:gapWidth val="219"/>
        <c:overlap val="-27"/>
        <c:axId val="1319743808"/>
        <c:axId val="1319769728"/>
      </c:barChart>
      <c:dateAx>
        <c:axId val="131974380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9728"/>
        <c:crosses val="autoZero"/>
        <c:auto val="1"/>
        <c:lblOffset val="100"/>
        <c:baseTimeUnit val="days"/>
      </c:dateAx>
      <c:valAx>
        <c:axId val="1319769728"/>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43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1"/>
          <c:spPr>
            <a:solidFill>
              <a:schemeClr val="accent2"/>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7-27F0-46B2-90B9-0B10AC0E77FD}"/>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6-27F0-46B2-90B9-0B10AC0E77FD}"/>
              </c:ext>
            </c:extLst>
          </c:dPt>
          <c:dPt>
            <c:idx val="2"/>
            <c:invertIfNegative val="0"/>
            <c:bubble3D val="0"/>
            <c:spPr>
              <a:solidFill>
                <a:srgbClr val="1467B3"/>
              </a:solidFill>
              <a:ln>
                <a:noFill/>
              </a:ln>
              <a:effectLst/>
            </c:spPr>
            <c:extLst>
              <c:ext xmlns:c16="http://schemas.microsoft.com/office/drawing/2014/chart" uri="{C3380CC4-5D6E-409C-BE32-E72D297353CC}">
                <c16:uniqueId val="{00000005-27F0-46B2-90B9-0B10AC0E77FD}"/>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27F0-46B2-90B9-0B10AC0E77FD}"/>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27F0-46B2-90B9-0B10AC0E77FD}"/>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2-27F0-46B2-90B9-0B10AC0E77FD}"/>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 Data'!$H$1251:$H$1256</c:f>
              <c:strCache>
                <c:ptCount val="6"/>
                <c:pt idx="0">
                  <c:v>Promoters</c:v>
                </c:pt>
                <c:pt idx="1">
                  <c:v>Mutual Funds</c:v>
                </c:pt>
                <c:pt idx="2">
                  <c:v>Fin Ins/Banks/Insurance</c:v>
                </c:pt>
                <c:pt idx="3">
                  <c:v>FII</c:v>
                </c:pt>
                <c:pt idx="4">
                  <c:v>Govt &amp; Others</c:v>
                </c:pt>
                <c:pt idx="5">
                  <c:v>Non Institutional</c:v>
                </c:pt>
              </c:strCache>
            </c:strRef>
          </c:cat>
          <c:val>
            <c:numRef>
              <c:f>'Historical Data'!$J$1251:$J$1256</c:f>
              <c:numCache>
                <c:formatCode>0.00%</c:formatCode>
                <c:ptCount val="6"/>
                <c:pt idx="0">
                  <c:v>0.42570000000000002</c:v>
                </c:pt>
                <c:pt idx="1">
                  <c:v>0.1018</c:v>
                </c:pt>
                <c:pt idx="2">
                  <c:v>6.2400000000000004E-2</c:v>
                </c:pt>
                <c:pt idx="3">
                  <c:v>0.17170000000000002</c:v>
                </c:pt>
                <c:pt idx="4">
                  <c:v>8.3000000000000001E-3</c:v>
                </c:pt>
                <c:pt idx="5">
                  <c:v>0.23010000000000003</c:v>
                </c:pt>
              </c:numCache>
            </c:numRef>
          </c:val>
          <c:extLst>
            <c:ext xmlns:c16="http://schemas.microsoft.com/office/drawing/2014/chart" uri="{C3380CC4-5D6E-409C-BE32-E72D297353CC}">
              <c16:uniqueId val="{00000001-27F0-46B2-90B9-0B10AC0E77FD}"/>
            </c:ext>
          </c:extLst>
        </c:ser>
        <c:dLbls>
          <c:showLegendKey val="0"/>
          <c:showVal val="0"/>
          <c:showCatName val="0"/>
          <c:showSerName val="0"/>
          <c:showPercent val="0"/>
          <c:showBubbleSize val="0"/>
        </c:dLbls>
        <c:gapWidth val="182"/>
        <c:axId val="1559294960"/>
        <c:axId val="1559295440"/>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'Historical Data'!$H$1251:$H$1256</c15:sqref>
                        </c15:formulaRef>
                      </c:ext>
                    </c:extLst>
                    <c:strCache>
                      <c:ptCount val="6"/>
                      <c:pt idx="0">
                        <c:v>Promoters</c:v>
                      </c:pt>
                      <c:pt idx="1">
                        <c:v>Mutual Funds</c:v>
                      </c:pt>
                      <c:pt idx="2">
                        <c:v>Fin Ins/Banks/Insurance</c:v>
                      </c:pt>
                      <c:pt idx="3">
                        <c:v>FII</c:v>
                      </c:pt>
                      <c:pt idx="4">
                        <c:v>Govt &amp; Others</c:v>
                      </c:pt>
                      <c:pt idx="5">
                        <c:v>Non Institutional</c:v>
                      </c:pt>
                    </c:strCache>
                  </c:strRef>
                </c:cat>
                <c:val>
                  <c:numRef>
                    <c:extLst>
                      <c:ext uri="{02D57815-91ED-43cb-92C2-25804820EDAC}">
                        <c15:formulaRef>
                          <c15:sqref>'Historical Data'!$I$1251:$I$1256</c15:sqref>
                        </c15:formulaRef>
                      </c:ext>
                    </c:extLst>
                    <c:numCache>
                      <c:formatCode>General</c:formatCode>
                      <c:ptCount val="6"/>
                    </c:numCache>
                  </c:numRef>
                </c:val>
                <c:extLst>
                  <c:ext xmlns:c16="http://schemas.microsoft.com/office/drawing/2014/chart" uri="{C3380CC4-5D6E-409C-BE32-E72D297353CC}">
                    <c16:uniqueId val="{00000000-27F0-46B2-90B9-0B10AC0E77FD}"/>
                  </c:ext>
                </c:extLst>
              </c15:ser>
            </c15:filteredBarSeries>
          </c:ext>
        </c:extLst>
      </c:barChart>
      <c:catAx>
        <c:axId val="155929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295440"/>
        <c:crosses val="autoZero"/>
        <c:auto val="1"/>
        <c:lblAlgn val="ctr"/>
        <c:lblOffset val="100"/>
        <c:noMultiLvlLbl val="0"/>
      </c:catAx>
      <c:valAx>
        <c:axId val="1559295440"/>
        <c:scaling>
          <c:orientation val="minMax"/>
        </c:scaling>
        <c:delete val="1"/>
        <c:axPos val="b"/>
        <c:numFmt formatCode="0.00%" sourceLinked="1"/>
        <c:majorTickMark val="none"/>
        <c:minorTickMark val="none"/>
        <c:tickLblPos val="nextTo"/>
        <c:crossAx val="155929496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C552C564-417F-427B-8E74-593022743978}">
          <cx:spPr>
            <a:solidFill>
              <a:srgbClr val="002060"/>
            </a:solidFill>
          </cx:spPr>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C8D7E76B-3CB6-49F8-924F-A12229C675A7}">
          <cx:spPr>
            <a:solidFill>
              <a:srgbClr val="002060"/>
            </a:solidFill>
          </cx:spPr>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jp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2.jpg"/></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jpg"/><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2.jpg"/></Relationships>
</file>

<file path=xl/drawings/_rels/drawing9.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jp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g"/></Relationships>
</file>

<file path=xl/drawings/_rels/drawing14.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jpg"/><Relationship Id="rId1" Type="http://schemas.microsoft.com/office/2014/relationships/chartEx" Target="../charts/chartEx1.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jpg"/><Relationship Id="rId1" Type="http://schemas.microsoft.com/office/2014/relationships/chartEx" Target="../charts/chartEx2.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image" Target="../media/image2.jp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image" Target="../media/image2.jpg"/><Relationship Id="rId5" Type="http://schemas.openxmlformats.org/officeDocument/2006/relationships/chart" Target="../charts/chart19.xml"/><Relationship Id="rId4" Type="http://schemas.openxmlformats.org/officeDocument/2006/relationships/chart" Target="../charts/chart1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0</xdr:col>
      <xdr:colOff>79260</xdr:colOff>
      <xdr:row>2</xdr:row>
      <xdr:rowOff>36473</xdr:rowOff>
    </xdr:from>
    <xdr:to>
      <xdr:col>1</xdr:col>
      <xdr:colOff>827802</xdr:colOff>
      <xdr:row>4</xdr:row>
      <xdr:rowOff>29949</xdr:rowOff>
    </xdr:to>
    <xdr:pic>
      <xdr:nvPicPr>
        <xdr:cNvPr id="2" name="Picture 1">
          <a:extLst>
            <a:ext uri="{FF2B5EF4-FFF2-40B4-BE49-F238E27FC236}">
              <a16:creationId xmlns:a16="http://schemas.microsoft.com/office/drawing/2014/main" id="{019E35D3-589F-4B8C-9621-64FD92B96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260" y="400599"/>
          <a:ext cx="879727" cy="672881"/>
        </a:xfrm>
        <a:prstGeom prst="rect">
          <a:avLst/>
        </a:prstGeom>
      </xdr:spPr>
    </xdr:pic>
    <xdr:clientData/>
  </xdr:twoCellAnchor>
  <xdr:twoCellAnchor>
    <xdr:from>
      <xdr:col>7</xdr:col>
      <xdr:colOff>122904</xdr:colOff>
      <xdr:row>13</xdr:row>
      <xdr:rowOff>88764</xdr:rowOff>
    </xdr:from>
    <xdr:to>
      <xdr:col>10</xdr:col>
      <xdr:colOff>88764</xdr:colOff>
      <xdr:row>23</xdr:row>
      <xdr:rowOff>127300</xdr:rowOff>
    </xdr:to>
    <xdr:graphicFrame macro="">
      <xdr:nvGraphicFramePr>
        <xdr:cNvPr id="3" name="Chart 2">
          <a:extLst>
            <a:ext uri="{FF2B5EF4-FFF2-40B4-BE49-F238E27FC236}">
              <a16:creationId xmlns:a16="http://schemas.microsoft.com/office/drawing/2014/main" id="{4E8F2C3C-55B3-4A88-8F80-591EF4C8B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68280</xdr:colOff>
      <xdr:row>27</xdr:row>
      <xdr:rowOff>20484</xdr:rowOff>
    </xdr:from>
    <xdr:to>
      <xdr:col>10</xdr:col>
      <xdr:colOff>75107</xdr:colOff>
      <xdr:row>33</xdr:row>
      <xdr:rowOff>81936</xdr:rowOff>
    </xdr:to>
    <xdr:graphicFrame macro="">
      <xdr:nvGraphicFramePr>
        <xdr:cNvPr id="4" name="Chart 3">
          <a:extLst>
            <a:ext uri="{FF2B5EF4-FFF2-40B4-BE49-F238E27FC236}">
              <a16:creationId xmlns:a16="http://schemas.microsoft.com/office/drawing/2014/main" id="{3EE65577-B23F-4F34-902D-80B77BF78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47796</xdr:colOff>
      <xdr:row>36</xdr:row>
      <xdr:rowOff>27312</xdr:rowOff>
    </xdr:from>
    <xdr:to>
      <xdr:col>10</xdr:col>
      <xdr:colOff>177527</xdr:colOff>
      <xdr:row>46</xdr:row>
      <xdr:rowOff>0</xdr:rowOff>
    </xdr:to>
    <xdr:graphicFrame macro="">
      <xdr:nvGraphicFramePr>
        <xdr:cNvPr id="5" name="Chart 4">
          <a:extLst>
            <a:ext uri="{FF2B5EF4-FFF2-40B4-BE49-F238E27FC236}">
              <a16:creationId xmlns:a16="http://schemas.microsoft.com/office/drawing/2014/main" id="{7E3C500A-0B27-426D-997E-B8E23BBD0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10</xdr:col>
      <xdr:colOff>809625</xdr:colOff>
      <xdr:row>2</xdr:row>
      <xdr:rowOff>6181</xdr:rowOff>
    </xdr:from>
    <xdr:ext cx="1121834" cy="897022"/>
    <xdr:pic>
      <xdr:nvPicPr>
        <xdr:cNvPr id="2" name="Picture 1">
          <a:extLst>
            <a:ext uri="{FF2B5EF4-FFF2-40B4-BE49-F238E27FC236}">
              <a16:creationId xmlns:a16="http://schemas.microsoft.com/office/drawing/2014/main" id="{30E21F22-A992-4BDE-9CC6-635230D1CA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02938" y="268119"/>
          <a:ext cx="1121834" cy="89702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10</xdr:col>
      <xdr:colOff>521606</xdr:colOff>
      <xdr:row>1</xdr:row>
      <xdr:rowOff>56828</xdr:rowOff>
    </xdr:from>
    <xdr:ext cx="1137709" cy="909716"/>
    <xdr:pic>
      <xdr:nvPicPr>
        <xdr:cNvPr id="4" name="Picture 3">
          <a:extLst>
            <a:ext uri="{FF2B5EF4-FFF2-40B4-BE49-F238E27FC236}">
              <a16:creationId xmlns:a16="http://schemas.microsoft.com/office/drawing/2014/main" id="{2E31BD0F-EFB4-4895-A12F-E9FFE72541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95832" y="238257"/>
          <a:ext cx="1137709" cy="90971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10</xdr:col>
      <xdr:colOff>158750</xdr:colOff>
      <xdr:row>2</xdr:row>
      <xdr:rowOff>10415</xdr:rowOff>
    </xdr:from>
    <xdr:ext cx="1078851" cy="862653"/>
    <xdr:pic>
      <xdr:nvPicPr>
        <xdr:cNvPr id="2" name="Picture 1">
          <a:extLst>
            <a:ext uri="{FF2B5EF4-FFF2-40B4-BE49-F238E27FC236}">
              <a16:creationId xmlns:a16="http://schemas.microsoft.com/office/drawing/2014/main" id="{DEC5E99B-5D04-495E-B4E3-67C5ABB0F4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22577" y="256639"/>
          <a:ext cx="1078851" cy="86265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13</xdr:col>
      <xdr:colOff>425659</xdr:colOff>
      <xdr:row>2</xdr:row>
      <xdr:rowOff>368</xdr:rowOff>
    </xdr:from>
    <xdr:ext cx="1134032" cy="906775"/>
    <xdr:pic>
      <xdr:nvPicPr>
        <xdr:cNvPr id="3" name="Picture 2">
          <a:extLst>
            <a:ext uri="{FF2B5EF4-FFF2-40B4-BE49-F238E27FC236}">
              <a16:creationId xmlns:a16="http://schemas.microsoft.com/office/drawing/2014/main" id="{37C7C1E6-0415-492F-BA6D-3F68384244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64725" y="258555"/>
          <a:ext cx="1134032" cy="90677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11</xdr:col>
      <xdr:colOff>391479</xdr:colOff>
      <xdr:row>1</xdr:row>
      <xdr:rowOff>41293</xdr:rowOff>
    </xdr:from>
    <xdr:ext cx="1104071" cy="882819"/>
    <xdr:pic>
      <xdr:nvPicPr>
        <xdr:cNvPr id="2" name="Picture 1">
          <a:extLst>
            <a:ext uri="{FF2B5EF4-FFF2-40B4-BE49-F238E27FC236}">
              <a16:creationId xmlns:a16="http://schemas.microsoft.com/office/drawing/2014/main" id="{89BA741F-C491-48E1-8BFF-E62B595E5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70229" y="228058"/>
          <a:ext cx="1104071" cy="882819"/>
        </a:xfrm>
        <a:prstGeom prst="rect">
          <a:avLst/>
        </a:prstGeom>
      </xdr:spPr>
    </xdr:pic>
    <xdr:clientData/>
  </xdr:oneCellAnchor>
  <xdr:twoCellAnchor>
    <xdr:from>
      <xdr:col>6</xdr:col>
      <xdr:colOff>174626</xdr:colOff>
      <xdr:row>9</xdr:row>
      <xdr:rowOff>29135</xdr:rowOff>
    </xdr:from>
    <xdr:to>
      <xdr:col>12</xdr:col>
      <xdr:colOff>49493</xdr:colOff>
      <xdr:row>23</xdr:row>
      <xdr:rowOff>157629</xdr:rowOff>
    </xdr:to>
    <xdr:graphicFrame macro="">
      <xdr:nvGraphicFramePr>
        <xdr:cNvPr id="3" name="Chart 2">
          <a:extLst>
            <a:ext uri="{FF2B5EF4-FFF2-40B4-BE49-F238E27FC236}">
              <a16:creationId xmlns:a16="http://schemas.microsoft.com/office/drawing/2014/main" id="{F6205BCB-F34D-B448-C74D-972414F4C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165286</xdr:colOff>
      <xdr:row>26</xdr:row>
      <xdr:rowOff>141194</xdr:rowOff>
    </xdr:from>
    <xdr:to>
      <xdr:col>12</xdr:col>
      <xdr:colOff>40153</xdr:colOff>
      <xdr:row>41</xdr:row>
      <xdr:rowOff>82923</xdr:rowOff>
    </xdr:to>
    <xdr:graphicFrame macro="">
      <xdr:nvGraphicFramePr>
        <xdr:cNvPr id="4" name="Chart 3">
          <a:extLst>
            <a:ext uri="{FF2B5EF4-FFF2-40B4-BE49-F238E27FC236}">
              <a16:creationId xmlns:a16="http://schemas.microsoft.com/office/drawing/2014/main" id="{8DED08C2-39C0-7C78-28F8-12D2D5C8D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137272</xdr:colOff>
      <xdr:row>44</xdr:row>
      <xdr:rowOff>85164</xdr:rowOff>
    </xdr:from>
    <xdr:to>
      <xdr:col>12</xdr:col>
      <xdr:colOff>12139</xdr:colOff>
      <xdr:row>59</xdr:row>
      <xdr:rowOff>26894</xdr:rowOff>
    </xdr:to>
    <xdr:graphicFrame macro="">
      <xdr:nvGraphicFramePr>
        <xdr:cNvPr id="5" name="Chart 4">
          <a:extLst>
            <a:ext uri="{FF2B5EF4-FFF2-40B4-BE49-F238E27FC236}">
              <a16:creationId xmlns:a16="http://schemas.microsoft.com/office/drawing/2014/main" id="{B572D1FC-FD2A-C02D-BAF5-F0CC882A9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19</xdr:col>
      <xdr:colOff>100777</xdr:colOff>
      <xdr:row>1</xdr:row>
      <xdr:rowOff>47037</xdr:rowOff>
    </xdr:from>
    <xdr:ext cx="1121834" cy="897022"/>
    <xdr:pic>
      <xdr:nvPicPr>
        <xdr:cNvPr id="2" name="Picture 1">
          <a:extLst>
            <a:ext uri="{FF2B5EF4-FFF2-40B4-BE49-F238E27FC236}">
              <a16:creationId xmlns:a16="http://schemas.microsoft.com/office/drawing/2014/main" id="{552C458F-069B-486C-A57B-D93CE92571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82907" y="235185"/>
          <a:ext cx="1121834" cy="897022"/>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10</xdr:col>
      <xdr:colOff>205031</xdr:colOff>
      <xdr:row>1</xdr:row>
      <xdr:rowOff>94425</xdr:rowOff>
    </xdr:from>
    <xdr:ext cx="1121834" cy="897022"/>
    <xdr:pic>
      <xdr:nvPicPr>
        <xdr:cNvPr id="2" name="Picture 1">
          <a:extLst>
            <a:ext uri="{FF2B5EF4-FFF2-40B4-BE49-F238E27FC236}">
              <a16:creationId xmlns:a16="http://schemas.microsoft.com/office/drawing/2014/main" id="{229A2432-3BB1-45D9-BD94-9495A47B9B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31822" y="274500"/>
          <a:ext cx="1121834" cy="897022"/>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5</xdr:col>
      <xdr:colOff>609599</xdr:colOff>
      <xdr:row>8</xdr:row>
      <xdr:rowOff>76200</xdr:rowOff>
    </xdr:from>
    <xdr:to>
      <xdr:col>10</xdr:col>
      <xdr:colOff>307974</xdr:colOff>
      <xdr:row>21</xdr:row>
      <xdr:rowOff>25400</xdr:rowOff>
    </xdr:to>
    <xdr:graphicFrame macro="">
      <xdr:nvGraphicFramePr>
        <xdr:cNvPr id="2" name="Chart 1">
          <a:extLst>
            <a:ext uri="{FF2B5EF4-FFF2-40B4-BE49-F238E27FC236}">
              <a16:creationId xmlns:a16="http://schemas.microsoft.com/office/drawing/2014/main" id="{6F0CDB72-BA00-42B7-A1F8-82CBFAB9AA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519146</xdr:colOff>
      <xdr:row>1</xdr:row>
      <xdr:rowOff>46712</xdr:rowOff>
    </xdr:from>
    <xdr:ext cx="1121834" cy="897022"/>
    <xdr:pic>
      <xdr:nvPicPr>
        <xdr:cNvPr id="3" name="Picture 2">
          <a:extLst>
            <a:ext uri="{FF2B5EF4-FFF2-40B4-BE49-F238E27FC236}">
              <a16:creationId xmlns:a16="http://schemas.microsoft.com/office/drawing/2014/main" id="{FE0443F4-41E0-4332-B918-4180038CAC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16912" y="229106"/>
          <a:ext cx="1121834" cy="897022"/>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8</xdr:col>
      <xdr:colOff>532657</xdr:colOff>
      <xdr:row>1</xdr:row>
      <xdr:rowOff>60222</xdr:rowOff>
    </xdr:from>
    <xdr:ext cx="1121834" cy="897022"/>
    <xdr:pic>
      <xdr:nvPicPr>
        <xdr:cNvPr id="2" name="Picture 1">
          <a:extLst>
            <a:ext uri="{FF2B5EF4-FFF2-40B4-BE49-F238E27FC236}">
              <a16:creationId xmlns:a16="http://schemas.microsoft.com/office/drawing/2014/main" id="{4B4441B3-C5FA-40A1-BF56-CE38A28452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5317" y="242616"/>
          <a:ext cx="1121834" cy="897022"/>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9</xdr:col>
      <xdr:colOff>678753</xdr:colOff>
      <xdr:row>2</xdr:row>
      <xdr:rowOff>0</xdr:rowOff>
    </xdr:from>
    <xdr:ext cx="1105863" cy="884252"/>
    <xdr:pic>
      <xdr:nvPicPr>
        <xdr:cNvPr id="2" name="Picture 1">
          <a:extLst>
            <a:ext uri="{FF2B5EF4-FFF2-40B4-BE49-F238E27FC236}">
              <a16:creationId xmlns:a16="http://schemas.microsoft.com/office/drawing/2014/main" id="{D082C7F8-FBE9-43ED-852A-1FA0F57F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75949" y="243318"/>
          <a:ext cx="1105863" cy="884252"/>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9</xdr:col>
      <xdr:colOff>637596</xdr:colOff>
      <xdr:row>2</xdr:row>
      <xdr:rowOff>29488</xdr:rowOff>
    </xdr:from>
    <xdr:ext cx="1032219" cy="825366"/>
    <xdr:pic>
      <xdr:nvPicPr>
        <xdr:cNvPr id="3" name="Picture 2">
          <a:extLst>
            <a:ext uri="{FF2B5EF4-FFF2-40B4-BE49-F238E27FC236}">
              <a16:creationId xmlns:a16="http://schemas.microsoft.com/office/drawing/2014/main" id="{7F91027C-3EEB-4CCD-AF01-A03EC78F91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70050" y="276432"/>
          <a:ext cx="1032219" cy="82536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15</xdr:col>
      <xdr:colOff>793748</xdr:colOff>
      <xdr:row>2</xdr:row>
      <xdr:rowOff>21144</xdr:rowOff>
    </xdr:from>
    <xdr:ext cx="924883" cy="739540"/>
    <xdr:pic>
      <xdr:nvPicPr>
        <xdr:cNvPr id="2" name="Picture 1">
          <a:extLst>
            <a:ext uri="{FF2B5EF4-FFF2-40B4-BE49-F238E27FC236}">
              <a16:creationId xmlns:a16="http://schemas.microsoft.com/office/drawing/2014/main" id="{802124FC-E9A1-4E02-83DA-64E1727EE4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32429" y="241630"/>
          <a:ext cx="924883" cy="73954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xdr:from>
      <xdr:col>1</xdr:col>
      <xdr:colOff>209550</xdr:colOff>
      <xdr:row>9</xdr:row>
      <xdr:rowOff>28574</xdr:rowOff>
    </xdr:from>
    <xdr:to>
      <xdr:col>9</xdr:col>
      <xdr:colOff>0</xdr:colOff>
      <xdr:row>24</xdr:row>
      <xdr:rowOff>6104</xdr:rowOff>
    </xdr:to>
    <xdr:graphicFrame macro="">
      <xdr:nvGraphicFramePr>
        <xdr:cNvPr id="3" name="Chart 2">
          <a:extLst>
            <a:ext uri="{FF2B5EF4-FFF2-40B4-BE49-F238E27FC236}">
              <a16:creationId xmlns:a16="http://schemas.microsoft.com/office/drawing/2014/main" id="{65278383-C546-494D-AA47-9C021D897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53242</xdr:colOff>
      <xdr:row>20</xdr:row>
      <xdr:rowOff>88412</xdr:rowOff>
    </xdr:from>
    <xdr:to>
      <xdr:col>8</xdr:col>
      <xdr:colOff>510442</xdr:colOff>
      <xdr:row>20</xdr:row>
      <xdr:rowOff>88412</xdr:rowOff>
    </xdr:to>
    <xdr:cxnSp macro="">
      <xdr:nvCxnSpPr>
        <xdr:cNvPr id="4" name="Straight Connector 3">
          <a:extLst>
            <a:ext uri="{FF2B5EF4-FFF2-40B4-BE49-F238E27FC236}">
              <a16:creationId xmlns:a16="http://schemas.microsoft.com/office/drawing/2014/main" id="{92E2948F-6A20-4A1E-9232-2B725A3BE87B}"/>
            </a:ext>
          </a:extLst>
        </xdr:cNvPr>
        <xdr:cNvCxnSpPr/>
      </xdr:nvCxnSpPr>
      <xdr:spPr>
        <a:xfrm>
          <a:off x="792040" y="3202354"/>
          <a:ext cx="4120662" cy="0"/>
        </a:xfrm>
        <a:prstGeom prst="line">
          <a:avLst/>
        </a:prstGeom>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181941</xdr:colOff>
      <xdr:row>2</xdr:row>
      <xdr:rowOff>50426</xdr:rowOff>
    </xdr:from>
    <xdr:ext cx="1032219" cy="825366"/>
    <xdr:pic>
      <xdr:nvPicPr>
        <xdr:cNvPr id="2" name="Picture 1">
          <a:extLst>
            <a:ext uri="{FF2B5EF4-FFF2-40B4-BE49-F238E27FC236}">
              <a16:creationId xmlns:a16="http://schemas.microsoft.com/office/drawing/2014/main" id="{74CD8E45-54AF-4D36-8F88-B4C73F5015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43341" y="259976"/>
          <a:ext cx="1032219" cy="82536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xdr:from>
      <xdr:col>5</xdr:col>
      <xdr:colOff>835025</xdr:colOff>
      <xdr:row>20</xdr:row>
      <xdr:rowOff>184149</xdr:rowOff>
    </xdr:from>
    <xdr:to>
      <xdr:col>10</xdr:col>
      <xdr:colOff>609600</xdr:colOff>
      <xdr:row>32</xdr:row>
      <xdr:rowOff>142874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B13BB3-ED67-4722-98F6-5391047E3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3425" y="3581399"/>
              <a:ext cx="3705225" cy="2168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9</xdr:col>
      <xdr:colOff>493091</xdr:colOff>
      <xdr:row>1</xdr:row>
      <xdr:rowOff>37726</xdr:rowOff>
    </xdr:from>
    <xdr:ext cx="1032219" cy="825366"/>
    <xdr:pic>
      <xdr:nvPicPr>
        <xdr:cNvPr id="3" name="Picture 2">
          <a:extLst>
            <a:ext uri="{FF2B5EF4-FFF2-40B4-BE49-F238E27FC236}">
              <a16:creationId xmlns:a16="http://schemas.microsoft.com/office/drawing/2014/main" id="{3ED932C4-63C8-47DC-9F57-3C2DE2DB6C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95541" y="221876"/>
          <a:ext cx="1032219" cy="82536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xdr:from>
      <xdr:col>9</xdr:col>
      <xdr:colOff>75811</xdr:colOff>
      <xdr:row>29</xdr:row>
      <xdr:rowOff>142549</xdr:rowOff>
    </xdr:from>
    <xdr:to>
      <xdr:col>13</xdr:col>
      <xdr:colOff>706275</xdr:colOff>
      <xdr:row>41</xdr:row>
      <xdr:rowOff>179354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8743CEE-887D-4DAA-B612-0EFF08FFAA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3361" y="5241599"/>
              <a:ext cx="3722914" cy="22466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518880</xdr:colOff>
      <xdr:row>2</xdr:row>
      <xdr:rowOff>18028</xdr:rowOff>
    </xdr:from>
    <xdr:ext cx="1032219" cy="825366"/>
    <xdr:pic>
      <xdr:nvPicPr>
        <xdr:cNvPr id="3" name="Picture 2">
          <a:extLst>
            <a:ext uri="{FF2B5EF4-FFF2-40B4-BE49-F238E27FC236}">
              <a16:creationId xmlns:a16="http://schemas.microsoft.com/office/drawing/2014/main" id="{A14377BB-A908-4833-9A45-9A5C9A692F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76686" y="238334"/>
          <a:ext cx="1032219" cy="82536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xdr:from>
      <xdr:col>0</xdr:col>
      <xdr:colOff>3661</xdr:colOff>
      <xdr:row>16</xdr:row>
      <xdr:rowOff>117625</xdr:rowOff>
    </xdr:from>
    <xdr:to>
      <xdr:col>1</xdr:col>
      <xdr:colOff>1934883</xdr:colOff>
      <xdr:row>24</xdr:row>
      <xdr:rowOff>147938</xdr:rowOff>
    </xdr:to>
    <xdr:graphicFrame macro="">
      <xdr:nvGraphicFramePr>
        <xdr:cNvPr id="3" name="Chart 2">
          <a:extLst>
            <a:ext uri="{FF2B5EF4-FFF2-40B4-BE49-F238E27FC236}">
              <a16:creationId xmlns:a16="http://schemas.microsoft.com/office/drawing/2014/main" id="{68CC3813-99E1-4974-80EC-89B17F02B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193754</xdr:colOff>
      <xdr:row>15</xdr:row>
      <xdr:rowOff>54408</xdr:rowOff>
    </xdr:from>
    <xdr:to>
      <xdr:col>1</xdr:col>
      <xdr:colOff>1602107</xdr:colOff>
      <xdr:row>16</xdr:row>
      <xdr:rowOff>63600</xdr:rowOff>
    </xdr:to>
    <xdr:sp macro="" textlink="">
      <xdr:nvSpPr>
        <xdr:cNvPr id="4" name="TextBox 3">
          <a:extLst>
            <a:ext uri="{FF2B5EF4-FFF2-40B4-BE49-F238E27FC236}">
              <a16:creationId xmlns:a16="http://schemas.microsoft.com/office/drawing/2014/main" id="{02C62287-98F1-4CB4-B47B-107B3F81E338}"/>
            </a:ext>
          </a:extLst>
        </xdr:cNvPr>
        <xdr:cNvSpPr txBox="1"/>
      </xdr:nvSpPr>
      <xdr:spPr>
        <a:xfrm>
          <a:off x="320754" y="3286558"/>
          <a:ext cx="1408353" cy="193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Revenues (INR</a:t>
          </a:r>
          <a:r>
            <a:rPr lang="en-IN" sz="1050" b="1" baseline="0">
              <a:solidFill>
                <a:srgbClr val="002060"/>
              </a:solidFill>
              <a:latin typeface="+mn-lt"/>
            </a:rPr>
            <a:t> Crs.)</a:t>
          </a:r>
          <a:endParaRPr lang="en-IN" sz="1050" b="1">
            <a:solidFill>
              <a:srgbClr val="002060"/>
            </a:solidFill>
            <a:latin typeface="+mn-lt"/>
          </a:endParaRPr>
        </a:p>
      </xdr:txBody>
    </xdr:sp>
    <xdr:clientData/>
  </xdr:twoCellAnchor>
  <xdr:twoCellAnchor>
    <xdr:from>
      <xdr:col>1</xdr:col>
      <xdr:colOff>46580</xdr:colOff>
      <xdr:row>15</xdr:row>
      <xdr:rowOff>67734</xdr:rowOff>
    </xdr:from>
    <xdr:to>
      <xdr:col>1</xdr:col>
      <xdr:colOff>1701800</xdr:colOff>
      <xdr:row>15</xdr:row>
      <xdr:rowOff>72950</xdr:rowOff>
    </xdr:to>
    <xdr:cxnSp macro="">
      <xdr:nvCxnSpPr>
        <xdr:cNvPr id="5" name="Straight Connector 4">
          <a:extLst>
            <a:ext uri="{FF2B5EF4-FFF2-40B4-BE49-F238E27FC236}">
              <a16:creationId xmlns:a16="http://schemas.microsoft.com/office/drawing/2014/main" id="{96560312-CF4C-4C16-ACDE-2488A9238DA9}"/>
            </a:ext>
          </a:extLst>
        </xdr:cNvPr>
        <xdr:cNvCxnSpPr/>
      </xdr:nvCxnSpPr>
      <xdr:spPr>
        <a:xfrm flipV="1">
          <a:off x="173580" y="329988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218220</xdr:colOff>
      <xdr:row>15</xdr:row>
      <xdr:rowOff>41371</xdr:rowOff>
    </xdr:from>
    <xdr:to>
      <xdr:col>4</xdr:col>
      <xdr:colOff>334012</xdr:colOff>
      <xdr:row>16</xdr:row>
      <xdr:rowOff>54373</xdr:rowOff>
    </xdr:to>
    <xdr:sp macro="" textlink="">
      <xdr:nvSpPr>
        <xdr:cNvPr id="6" name="TextBox 5">
          <a:extLst>
            <a:ext uri="{FF2B5EF4-FFF2-40B4-BE49-F238E27FC236}">
              <a16:creationId xmlns:a16="http://schemas.microsoft.com/office/drawing/2014/main" id="{B991EEF8-7E67-4AD1-A493-662684E40625}"/>
            </a:ext>
          </a:extLst>
        </xdr:cNvPr>
        <xdr:cNvSpPr txBox="1"/>
      </xdr:nvSpPr>
      <xdr:spPr>
        <a:xfrm>
          <a:off x="2840770" y="3273521"/>
          <a:ext cx="1423892" cy="197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Net Profit (INR</a:t>
          </a:r>
          <a:r>
            <a:rPr lang="en-IN" sz="1050" b="1" baseline="0">
              <a:solidFill>
                <a:srgbClr val="002060"/>
              </a:solidFill>
              <a:latin typeface="+mn-lt"/>
            </a:rPr>
            <a:t> Crs.)</a:t>
          </a:r>
          <a:endParaRPr lang="en-IN" sz="1050" b="1">
            <a:solidFill>
              <a:srgbClr val="002060"/>
            </a:solidFill>
            <a:latin typeface="+mn-lt"/>
          </a:endParaRPr>
        </a:p>
      </xdr:txBody>
    </xdr:sp>
    <xdr:clientData/>
  </xdr:twoCellAnchor>
  <xdr:twoCellAnchor>
    <xdr:from>
      <xdr:col>5</xdr:col>
      <xdr:colOff>459268</xdr:colOff>
      <xdr:row>15</xdr:row>
      <xdr:rowOff>51507</xdr:rowOff>
    </xdr:from>
    <xdr:to>
      <xdr:col>8</xdr:col>
      <xdr:colOff>574885</xdr:colOff>
      <xdr:row>16</xdr:row>
      <xdr:rowOff>77258</xdr:rowOff>
    </xdr:to>
    <xdr:sp macro="" textlink="">
      <xdr:nvSpPr>
        <xdr:cNvPr id="7" name="TextBox 6">
          <a:extLst>
            <a:ext uri="{FF2B5EF4-FFF2-40B4-BE49-F238E27FC236}">
              <a16:creationId xmlns:a16="http://schemas.microsoft.com/office/drawing/2014/main" id="{06A51A4A-1BC3-4E3B-ACDF-A4700FAB3BEC}"/>
            </a:ext>
          </a:extLst>
        </xdr:cNvPr>
        <xdr:cNvSpPr txBox="1"/>
      </xdr:nvSpPr>
      <xdr:spPr>
        <a:xfrm>
          <a:off x="4999518" y="3283657"/>
          <a:ext cx="1944417" cy="209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Average Total Assets (INR</a:t>
          </a:r>
          <a:r>
            <a:rPr lang="en-IN" sz="1050" b="1" baseline="0">
              <a:solidFill>
                <a:srgbClr val="002060"/>
              </a:solidFill>
              <a:latin typeface="+mn-lt"/>
            </a:rPr>
            <a:t> Crs.)</a:t>
          </a:r>
          <a:endParaRPr lang="en-IN" sz="1050" b="1">
            <a:solidFill>
              <a:srgbClr val="002060"/>
            </a:solidFill>
            <a:latin typeface="+mn-lt"/>
          </a:endParaRPr>
        </a:p>
      </xdr:txBody>
    </xdr:sp>
    <xdr:clientData/>
  </xdr:twoCellAnchor>
  <xdr:twoCellAnchor>
    <xdr:from>
      <xdr:col>1</xdr:col>
      <xdr:colOff>2211794</xdr:colOff>
      <xdr:row>16</xdr:row>
      <xdr:rowOff>129140</xdr:rowOff>
    </xdr:from>
    <xdr:to>
      <xdr:col>4</xdr:col>
      <xdr:colOff>587688</xdr:colOff>
      <xdr:row>24</xdr:row>
      <xdr:rowOff>163263</xdr:rowOff>
    </xdr:to>
    <xdr:graphicFrame macro="">
      <xdr:nvGraphicFramePr>
        <xdr:cNvPr id="8" name="Chart 7">
          <a:extLst>
            <a:ext uri="{FF2B5EF4-FFF2-40B4-BE49-F238E27FC236}">
              <a16:creationId xmlns:a16="http://schemas.microsoft.com/office/drawing/2014/main" id="{9034360B-9A12-4ACC-A251-55F97BD6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16</xdr:row>
      <xdr:rowOff>109157</xdr:rowOff>
    </xdr:from>
    <xdr:to>
      <xdr:col>8</xdr:col>
      <xdr:colOff>515944</xdr:colOff>
      <xdr:row>24</xdr:row>
      <xdr:rowOff>145185</xdr:rowOff>
    </xdr:to>
    <xdr:graphicFrame macro="">
      <xdr:nvGraphicFramePr>
        <xdr:cNvPr id="9" name="Chart 8">
          <a:extLst>
            <a:ext uri="{FF2B5EF4-FFF2-40B4-BE49-F238E27FC236}">
              <a16:creationId xmlns:a16="http://schemas.microsoft.com/office/drawing/2014/main" id="{105A8E6E-917D-43B8-8D51-E3DA51F85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16933</xdr:colOff>
      <xdr:row>28</xdr:row>
      <xdr:rowOff>51237</xdr:rowOff>
    </xdr:from>
    <xdr:to>
      <xdr:col>1</xdr:col>
      <xdr:colOff>1951965</xdr:colOff>
      <xdr:row>36</xdr:row>
      <xdr:rowOff>83454</xdr:rowOff>
    </xdr:to>
    <xdr:graphicFrame macro="">
      <xdr:nvGraphicFramePr>
        <xdr:cNvPr id="10" name="Chart 9">
          <a:extLst>
            <a:ext uri="{FF2B5EF4-FFF2-40B4-BE49-F238E27FC236}">
              <a16:creationId xmlns:a16="http://schemas.microsoft.com/office/drawing/2014/main" id="{F3E9FEA5-2E7E-41EC-AF9E-8A0CBA71B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219304</xdr:colOff>
      <xdr:row>26</xdr:row>
      <xdr:rowOff>180847</xdr:rowOff>
    </xdr:from>
    <xdr:to>
      <xdr:col>1</xdr:col>
      <xdr:colOff>1627657</xdr:colOff>
      <xdr:row>27</xdr:row>
      <xdr:rowOff>188135</xdr:rowOff>
    </xdr:to>
    <xdr:sp macro="" textlink="">
      <xdr:nvSpPr>
        <xdr:cNvPr id="11" name="TextBox 10">
          <a:extLst>
            <a:ext uri="{FF2B5EF4-FFF2-40B4-BE49-F238E27FC236}">
              <a16:creationId xmlns:a16="http://schemas.microsoft.com/office/drawing/2014/main" id="{A19598B9-EA51-4450-B67C-0BD38AF9DA48}"/>
            </a:ext>
          </a:extLst>
        </xdr:cNvPr>
        <xdr:cNvSpPr txBox="1"/>
      </xdr:nvSpPr>
      <xdr:spPr>
        <a:xfrm>
          <a:off x="346304" y="5438647"/>
          <a:ext cx="1408353" cy="185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Return on Equity (%)</a:t>
          </a:r>
        </a:p>
      </xdr:txBody>
    </xdr:sp>
    <xdr:clientData/>
  </xdr:twoCellAnchor>
  <xdr:twoCellAnchor>
    <xdr:from>
      <xdr:col>2</xdr:col>
      <xdr:colOff>249271</xdr:colOff>
      <xdr:row>26</xdr:row>
      <xdr:rowOff>155944</xdr:rowOff>
    </xdr:from>
    <xdr:to>
      <xdr:col>4</xdr:col>
      <xdr:colOff>363158</xdr:colOff>
      <xdr:row>27</xdr:row>
      <xdr:rowOff>180377</xdr:rowOff>
    </xdr:to>
    <xdr:sp macro="" textlink="">
      <xdr:nvSpPr>
        <xdr:cNvPr id="12" name="TextBox 11">
          <a:extLst>
            <a:ext uri="{FF2B5EF4-FFF2-40B4-BE49-F238E27FC236}">
              <a16:creationId xmlns:a16="http://schemas.microsoft.com/office/drawing/2014/main" id="{A119E9CD-38BB-4B73-8F68-1B6461EDB4B8}"/>
            </a:ext>
          </a:extLst>
        </xdr:cNvPr>
        <xdr:cNvSpPr txBox="1"/>
      </xdr:nvSpPr>
      <xdr:spPr>
        <a:xfrm>
          <a:off x="2871821" y="5413744"/>
          <a:ext cx="1421987" cy="208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Return</a:t>
          </a:r>
          <a:r>
            <a:rPr lang="en-IN" sz="1050" b="1" baseline="0">
              <a:solidFill>
                <a:srgbClr val="002060"/>
              </a:solidFill>
              <a:latin typeface="+mn-lt"/>
            </a:rPr>
            <a:t> on Asset (%)</a:t>
          </a:r>
          <a:endParaRPr lang="en-IN" sz="1050" b="1">
            <a:solidFill>
              <a:srgbClr val="002060"/>
            </a:solidFill>
            <a:latin typeface="+mn-lt"/>
          </a:endParaRPr>
        </a:p>
      </xdr:txBody>
    </xdr:sp>
    <xdr:clientData/>
  </xdr:twoCellAnchor>
  <xdr:twoCellAnchor>
    <xdr:from>
      <xdr:col>1</xdr:col>
      <xdr:colOff>2224219</xdr:colOff>
      <xdr:row>28</xdr:row>
      <xdr:rowOff>60411</xdr:rowOff>
    </xdr:from>
    <xdr:to>
      <xdr:col>4</xdr:col>
      <xdr:colOff>586778</xdr:colOff>
      <xdr:row>36</xdr:row>
      <xdr:rowOff>94533</xdr:rowOff>
    </xdr:to>
    <xdr:graphicFrame macro="">
      <xdr:nvGraphicFramePr>
        <xdr:cNvPr id="13" name="Chart 12">
          <a:extLst>
            <a:ext uri="{FF2B5EF4-FFF2-40B4-BE49-F238E27FC236}">
              <a16:creationId xmlns:a16="http://schemas.microsoft.com/office/drawing/2014/main" id="{CD855D85-0D89-4E94-8861-0215D6BBB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134310</xdr:colOff>
      <xdr:row>26</xdr:row>
      <xdr:rowOff>146136</xdr:rowOff>
    </xdr:from>
    <xdr:to>
      <xdr:col>8</xdr:col>
      <xdr:colOff>315084</xdr:colOff>
      <xdr:row>27</xdr:row>
      <xdr:rowOff>149614</xdr:rowOff>
    </xdr:to>
    <xdr:sp macro="" textlink="">
      <xdr:nvSpPr>
        <xdr:cNvPr id="14" name="TextBox 13">
          <a:extLst>
            <a:ext uri="{FF2B5EF4-FFF2-40B4-BE49-F238E27FC236}">
              <a16:creationId xmlns:a16="http://schemas.microsoft.com/office/drawing/2014/main" id="{A23A9010-22D2-40AF-B737-933A14433EFC}"/>
            </a:ext>
          </a:extLst>
        </xdr:cNvPr>
        <xdr:cNvSpPr txBox="1"/>
      </xdr:nvSpPr>
      <xdr:spPr>
        <a:xfrm>
          <a:off x="5284160" y="5403936"/>
          <a:ext cx="1399974" cy="187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Financial Leverage</a:t>
          </a:r>
        </a:p>
      </xdr:txBody>
    </xdr:sp>
    <xdr:clientData/>
  </xdr:twoCellAnchor>
  <xdr:twoCellAnchor>
    <xdr:from>
      <xdr:col>5</xdr:col>
      <xdr:colOff>302048</xdr:colOff>
      <xdr:row>28</xdr:row>
      <xdr:rowOff>63513</xdr:rowOff>
    </xdr:from>
    <xdr:to>
      <xdr:col>8</xdr:col>
      <xdr:colOff>511399</xdr:colOff>
      <xdr:row>36</xdr:row>
      <xdr:rowOff>101445</xdr:rowOff>
    </xdr:to>
    <xdr:graphicFrame macro="">
      <xdr:nvGraphicFramePr>
        <xdr:cNvPr id="15" name="Chart 14">
          <a:extLst>
            <a:ext uri="{FF2B5EF4-FFF2-40B4-BE49-F238E27FC236}">
              <a16:creationId xmlns:a16="http://schemas.microsoft.com/office/drawing/2014/main" id="{FBA6E03D-9D06-4485-AFC5-17F426E77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109223</xdr:colOff>
      <xdr:row>37</xdr:row>
      <xdr:rowOff>119027</xdr:rowOff>
    </xdr:from>
    <xdr:to>
      <xdr:col>8</xdr:col>
      <xdr:colOff>492961</xdr:colOff>
      <xdr:row>52</xdr:row>
      <xdr:rowOff>183817</xdr:rowOff>
    </xdr:to>
    <xdr:sp macro="" textlink="">
      <xdr:nvSpPr>
        <xdr:cNvPr id="16" name="TextBox 15">
          <a:extLst>
            <a:ext uri="{FF2B5EF4-FFF2-40B4-BE49-F238E27FC236}">
              <a16:creationId xmlns:a16="http://schemas.microsoft.com/office/drawing/2014/main" id="{6450ECE9-E0DA-4A26-8853-19586A27EFC3}"/>
            </a:ext>
          </a:extLst>
        </xdr:cNvPr>
        <xdr:cNvSpPr txBox="1"/>
      </xdr:nvSpPr>
      <xdr:spPr>
        <a:xfrm>
          <a:off x="109223" y="7346330"/>
          <a:ext cx="7260120" cy="2822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002060"/>
              </a:solidFill>
              <a:effectLst/>
              <a:latin typeface="+mn-lt"/>
              <a:ea typeface="+mn-ea"/>
              <a:cs typeface="+mn-cs"/>
            </a:rPr>
            <a:t>Recent Updates</a:t>
          </a:r>
        </a:p>
        <a:p>
          <a:pPr marL="171450" indent="-171450">
            <a:buFont typeface="Arial" panose="020B0604020202020204" pitchFamily="34" charset="0"/>
            <a:buChar char="•"/>
          </a:pPr>
          <a:r>
            <a:rPr lang="en-IN" sz="1200" b="0"/>
            <a:t>Reported a 9% YoY decline in global sales at 2,99,664 units in Q1 FY25.</a:t>
          </a:r>
        </a:p>
        <a:p>
          <a:pPr marL="171450" indent="-171450">
            <a:buFont typeface="Arial" panose="020B0604020202020204" pitchFamily="34" charset="0"/>
            <a:buChar char="•"/>
          </a:pPr>
          <a:r>
            <a:rPr lang="en-IN" sz="1200" b="0"/>
            <a:t>Passenger vehicle wholesales fell 10% YoY to 1,24,809 units in Q1 FY25.</a:t>
          </a:r>
        </a:p>
        <a:p>
          <a:pPr marL="171450" indent="-171450">
            <a:buFont typeface="Arial" panose="020B0604020202020204" pitchFamily="34" charset="0"/>
            <a:buChar char="•"/>
          </a:pPr>
          <a:r>
            <a:rPr lang="en-IN" sz="1200" b="0"/>
            <a:t>Consolidated net profit surged 74% YoY to ₹5,566 crore in Q1 FY25 (vs ₹3,203 crore last year).</a:t>
          </a:r>
        </a:p>
        <a:p>
          <a:pPr marL="171450" indent="-171450">
            <a:buFont typeface="Arial" panose="020B0604020202020204" pitchFamily="34" charset="0"/>
            <a:buChar char="•"/>
          </a:pPr>
          <a:r>
            <a:rPr lang="en-IN" sz="1200" b="0"/>
            <a:t>Revenues rose 5.7% YoY to ₹1.07 trillion, with CV revenues up 5% to ₹17,800 crore.</a:t>
          </a:r>
        </a:p>
        <a:p>
          <a:pPr marL="171450" indent="-171450">
            <a:buFont typeface="Arial" panose="020B0604020202020204" pitchFamily="34" charset="0"/>
            <a:buChar char="•"/>
          </a:pPr>
          <a:r>
            <a:rPr lang="en-IN" sz="1200" b="0"/>
            <a:t>EBIT margins improved to 8.9% in Q1 FY25.</a:t>
          </a:r>
        </a:p>
        <a:p>
          <a:pPr marL="171450" indent="-171450">
            <a:buFont typeface="Arial" panose="020B0604020202020204" pitchFamily="34" charset="0"/>
            <a:buChar char="•"/>
          </a:pPr>
          <a:r>
            <a:rPr lang="en-IN" sz="1200" b="0"/>
            <a:t>Global wholesales including Jaguar Land Rover rose 2% YoY to 3,29,847 units.</a:t>
          </a:r>
        </a:p>
        <a:p>
          <a:pPr marL="171450" indent="-171450">
            <a:buFont typeface="Arial" panose="020B0604020202020204" pitchFamily="34" charset="0"/>
            <a:buChar char="•"/>
          </a:pPr>
          <a:r>
            <a:rPr lang="en-IN" sz="1200" b="0"/>
            <a:t>Announced ₹35,000 crore investment in PV &amp; EV over 5 years, expanding EV lineup.</a:t>
          </a:r>
        </a:p>
        <a:p>
          <a:pPr marL="171450" indent="-171450">
            <a:buFont typeface="Arial" panose="020B0604020202020204" pitchFamily="34" charset="0"/>
            <a:buChar char="•"/>
          </a:pPr>
          <a:r>
            <a:rPr lang="en-IN" sz="1200" b="0"/>
            <a:t>Acquired Iveco (Italy) for $4.36B, boosting European CV presence.</a:t>
          </a:r>
        </a:p>
        <a:p>
          <a:pPr marL="171450" indent="-171450">
            <a:buFont typeface="Arial" panose="020B0604020202020204" pitchFamily="34" charset="0"/>
            <a:buChar char="•"/>
          </a:pPr>
          <a:r>
            <a:rPr lang="en-IN" sz="1200" b="0"/>
            <a:t>Launched Harrier.ev (627 km range, 5-star safety) in June 2025.</a:t>
          </a:r>
        </a:p>
        <a:p>
          <a:pPr marL="171450" indent="-171450">
            <a:buFont typeface="Arial" panose="020B0604020202020204" pitchFamily="34" charset="0"/>
            <a:buChar char="•"/>
          </a:pPr>
          <a:r>
            <a:rPr lang="en-IN" sz="1200" b="0"/>
            <a:t>Plans demerger of CV &amp; PV (incl. EV &amp; JLR) by mid-FY26 for sharper focus.</a:t>
          </a:r>
        </a:p>
        <a:p>
          <a:pPr marL="171450" indent="-171450">
            <a:buFont typeface="Arial" panose="020B0604020202020204" pitchFamily="34" charset="0"/>
            <a:buChar char="•"/>
          </a:pPr>
          <a:r>
            <a:rPr lang="en-IN" sz="1200"/>
            <a:t>Tata Motors re-entered the South African passenger vehicle market in Aug 2025; aims for 6–8% market </a:t>
          </a:r>
          <a:r>
            <a:rPr lang="en-IN" sz="1200" baseline="0"/>
            <a:t>     </a:t>
          </a:r>
          <a:r>
            <a:rPr lang="en-IN" sz="1200"/>
            <a:t>share by 2026.</a:t>
          </a:r>
          <a:br>
            <a:rPr lang="en-IN" sz="1200"/>
          </a:br>
          <a:br>
            <a:rPr lang="en-IN" sz="1200"/>
          </a:br>
          <a:br>
            <a:rPr lang="en-IN" sz="1200"/>
          </a:br>
          <a:endParaRPr lang="en-IN" sz="1200" b="0"/>
        </a:p>
      </xdr:txBody>
    </xdr:sp>
    <xdr:clientData/>
  </xdr:twoCellAnchor>
  <xdr:twoCellAnchor>
    <xdr:from>
      <xdr:col>2</xdr:col>
      <xdr:colOff>17371</xdr:colOff>
      <xdr:row>15</xdr:row>
      <xdr:rowOff>61172</xdr:rowOff>
    </xdr:from>
    <xdr:to>
      <xdr:col>4</xdr:col>
      <xdr:colOff>401744</xdr:colOff>
      <xdr:row>15</xdr:row>
      <xdr:rowOff>64483</xdr:rowOff>
    </xdr:to>
    <xdr:cxnSp macro="">
      <xdr:nvCxnSpPr>
        <xdr:cNvPr id="17" name="Straight Connector 16">
          <a:extLst>
            <a:ext uri="{FF2B5EF4-FFF2-40B4-BE49-F238E27FC236}">
              <a16:creationId xmlns:a16="http://schemas.microsoft.com/office/drawing/2014/main" id="{E39C79CA-BE0A-47FC-9FA7-CA182CDCCF1E}"/>
            </a:ext>
          </a:extLst>
        </xdr:cNvPr>
        <xdr:cNvCxnSpPr/>
      </xdr:nvCxnSpPr>
      <xdr:spPr>
        <a:xfrm flipV="1">
          <a:off x="2639921" y="3293322"/>
          <a:ext cx="16924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15</xdr:row>
      <xdr:rowOff>63077</xdr:rowOff>
    </xdr:from>
    <xdr:to>
      <xdr:col>8</xdr:col>
      <xdr:colOff>359410</xdr:colOff>
      <xdr:row>15</xdr:row>
      <xdr:rowOff>64483</xdr:rowOff>
    </xdr:to>
    <xdr:cxnSp macro="">
      <xdr:nvCxnSpPr>
        <xdr:cNvPr id="18" name="Straight Connector 17">
          <a:extLst>
            <a:ext uri="{FF2B5EF4-FFF2-40B4-BE49-F238E27FC236}">
              <a16:creationId xmlns:a16="http://schemas.microsoft.com/office/drawing/2014/main" id="{AEC6C446-C332-4FA1-BEE9-9007C664DA7B}"/>
            </a:ext>
          </a:extLst>
        </xdr:cNvPr>
        <xdr:cNvCxnSpPr/>
      </xdr:nvCxnSpPr>
      <xdr:spPr>
        <a:xfrm flipV="1">
          <a:off x="5063715" y="3295227"/>
          <a:ext cx="16647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26</xdr:row>
      <xdr:rowOff>181609</xdr:rowOff>
    </xdr:from>
    <xdr:to>
      <xdr:col>1</xdr:col>
      <xdr:colOff>1760221</xdr:colOff>
      <xdr:row>26</xdr:row>
      <xdr:rowOff>183015</xdr:rowOff>
    </xdr:to>
    <xdr:cxnSp macro="">
      <xdr:nvCxnSpPr>
        <xdr:cNvPr id="19" name="Straight Connector 18">
          <a:extLst>
            <a:ext uri="{FF2B5EF4-FFF2-40B4-BE49-F238E27FC236}">
              <a16:creationId xmlns:a16="http://schemas.microsoft.com/office/drawing/2014/main" id="{0ECFE6B8-275E-45A8-B8CC-82EE4C2E4D08}"/>
            </a:ext>
          </a:extLst>
        </xdr:cNvPr>
        <xdr:cNvCxnSpPr/>
      </xdr:nvCxnSpPr>
      <xdr:spPr>
        <a:xfrm flipV="1">
          <a:off x="218666" y="543940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26</xdr:row>
      <xdr:rowOff>190076</xdr:rowOff>
    </xdr:from>
    <xdr:to>
      <xdr:col>4</xdr:col>
      <xdr:colOff>415080</xdr:colOff>
      <xdr:row>26</xdr:row>
      <xdr:rowOff>190076</xdr:rowOff>
    </xdr:to>
    <xdr:cxnSp macro="">
      <xdr:nvCxnSpPr>
        <xdr:cNvPr id="20" name="Straight Connector 19">
          <a:extLst>
            <a:ext uri="{FF2B5EF4-FFF2-40B4-BE49-F238E27FC236}">
              <a16:creationId xmlns:a16="http://schemas.microsoft.com/office/drawing/2014/main" id="{87FB7C28-C8E1-4940-9D22-5E9B8F19361A}"/>
            </a:ext>
          </a:extLst>
        </xdr:cNvPr>
        <xdr:cNvCxnSpPr/>
      </xdr:nvCxnSpPr>
      <xdr:spPr>
        <a:xfrm flipV="1">
          <a:off x="2634207" y="5441526"/>
          <a:ext cx="17115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26</xdr:row>
      <xdr:rowOff>154304</xdr:rowOff>
    </xdr:from>
    <xdr:to>
      <xdr:col>8</xdr:col>
      <xdr:colOff>351156</xdr:colOff>
      <xdr:row>26</xdr:row>
      <xdr:rowOff>154304</xdr:rowOff>
    </xdr:to>
    <xdr:cxnSp macro="">
      <xdr:nvCxnSpPr>
        <xdr:cNvPr id="21" name="Straight Connector 20">
          <a:extLst>
            <a:ext uri="{FF2B5EF4-FFF2-40B4-BE49-F238E27FC236}">
              <a16:creationId xmlns:a16="http://schemas.microsoft.com/office/drawing/2014/main" id="{A173950B-05FF-492D-A909-890E0A4054AE}"/>
            </a:ext>
          </a:extLst>
        </xdr:cNvPr>
        <xdr:cNvCxnSpPr/>
      </xdr:nvCxnSpPr>
      <xdr:spPr>
        <a:xfrm flipV="1">
          <a:off x="5040221" y="5412104"/>
          <a:ext cx="16799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260350</xdr:colOff>
      <xdr:row>1</xdr:row>
      <xdr:rowOff>64928</xdr:rowOff>
    </xdr:from>
    <xdr:to>
      <xdr:col>9</xdr:col>
      <xdr:colOff>76555</xdr:colOff>
      <xdr:row>5</xdr:row>
      <xdr:rowOff>142110</xdr:rowOff>
    </xdr:to>
    <xdr:pic>
      <xdr:nvPicPr>
        <xdr:cNvPr id="26" name="Picture 25">
          <a:extLst>
            <a:ext uri="{FF2B5EF4-FFF2-40B4-BE49-F238E27FC236}">
              <a16:creationId xmlns:a16="http://schemas.microsoft.com/office/drawing/2014/main" id="{C17B042D-95F4-0F86-81B3-5A00FC8238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426200" y="198278"/>
          <a:ext cx="1238605" cy="79473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61837</xdr:colOff>
      <xdr:row>1</xdr:row>
      <xdr:rowOff>97820</xdr:rowOff>
    </xdr:from>
    <xdr:to>
      <xdr:col>9</xdr:col>
      <xdr:colOff>60990</xdr:colOff>
      <xdr:row>3</xdr:row>
      <xdr:rowOff>33306</xdr:rowOff>
    </xdr:to>
    <xdr:sp macro="" textlink="">
      <xdr:nvSpPr>
        <xdr:cNvPr id="2" name="TextBox 1">
          <a:extLst>
            <a:ext uri="{FF2B5EF4-FFF2-40B4-BE49-F238E27FC236}">
              <a16:creationId xmlns:a16="http://schemas.microsoft.com/office/drawing/2014/main" id="{7FFFAE30-5BBA-41E1-8B25-1534EEC80544}"/>
            </a:ext>
          </a:extLst>
        </xdr:cNvPr>
        <xdr:cNvSpPr txBox="1"/>
      </xdr:nvSpPr>
      <xdr:spPr>
        <a:xfrm>
          <a:off x="61837" y="10365770"/>
          <a:ext cx="7587403" cy="30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002060"/>
              </a:solidFill>
              <a:effectLst/>
              <a:latin typeface="+mn-lt"/>
              <a:ea typeface="+mn-ea"/>
              <a:cs typeface="+mn-cs"/>
            </a:rPr>
            <a:t>Dupont</a:t>
          </a:r>
          <a:r>
            <a:rPr lang="en-IN" sz="1800" b="1" i="0">
              <a:solidFill>
                <a:srgbClr val="1467B3"/>
              </a:solidFill>
              <a:effectLst/>
              <a:latin typeface="+mn-lt"/>
              <a:ea typeface="+mn-ea"/>
              <a:cs typeface="+mn-cs"/>
            </a:rPr>
            <a:t> </a:t>
          </a:r>
          <a:r>
            <a:rPr lang="en-IN" sz="1800" b="1" i="0">
              <a:solidFill>
                <a:srgbClr val="002060"/>
              </a:solidFill>
              <a:effectLst/>
              <a:latin typeface="+mn-lt"/>
              <a:ea typeface="+mn-ea"/>
              <a:cs typeface="+mn-cs"/>
            </a:rPr>
            <a:t>Analysis - Return on Equity &amp; Return</a:t>
          </a:r>
          <a:r>
            <a:rPr lang="en-IN" sz="1800" b="1" i="0" baseline="0">
              <a:solidFill>
                <a:srgbClr val="002060"/>
              </a:solidFill>
              <a:effectLst/>
              <a:latin typeface="+mn-lt"/>
              <a:ea typeface="+mn-ea"/>
              <a:cs typeface="+mn-cs"/>
            </a:rPr>
            <a:t> on Asset</a:t>
          </a:r>
          <a:endParaRPr lang="en-IN" sz="1800" b="1" i="0">
            <a:solidFill>
              <a:srgbClr val="002060"/>
            </a:solidFill>
            <a:effectLst/>
            <a:latin typeface="+mn-lt"/>
            <a:ea typeface="+mn-ea"/>
            <a:cs typeface="+mn-cs"/>
          </a:endParaRPr>
        </a:p>
      </xdr:txBody>
    </xdr:sp>
    <xdr:clientData/>
  </xdr:twoCellAnchor>
  <xdr:twoCellAnchor>
    <xdr:from>
      <xdr:col>0</xdr:col>
      <xdr:colOff>73662</xdr:colOff>
      <xdr:row>43</xdr:row>
      <xdr:rowOff>103535</xdr:rowOff>
    </xdr:from>
    <xdr:to>
      <xdr:col>8</xdr:col>
      <xdr:colOff>575235</xdr:colOff>
      <xdr:row>55</xdr:row>
      <xdr:rowOff>82551</xdr:rowOff>
    </xdr:to>
    <xdr:sp macro="" textlink="">
      <xdr:nvSpPr>
        <xdr:cNvPr id="3" name="TextBox 2">
          <a:extLst>
            <a:ext uri="{FF2B5EF4-FFF2-40B4-BE49-F238E27FC236}">
              <a16:creationId xmlns:a16="http://schemas.microsoft.com/office/drawing/2014/main" id="{E119C776-ACB2-4B3D-92E7-3D2F61F4BFEB}"/>
            </a:ext>
          </a:extLst>
        </xdr:cNvPr>
        <xdr:cNvSpPr txBox="1"/>
      </xdr:nvSpPr>
      <xdr:spPr>
        <a:xfrm>
          <a:off x="73662" y="8072785"/>
          <a:ext cx="5746673" cy="218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002060"/>
              </a:solidFill>
              <a:effectLst/>
              <a:latin typeface="+mn-lt"/>
              <a:ea typeface="+mn-ea"/>
              <a:cs typeface="+mn-cs"/>
            </a:rPr>
            <a:t>Dupont Summary</a:t>
          </a:r>
        </a:p>
        <a:p>
          <a:pPr marL="171450" indent="-171450">
            <a:buFont typeface="Arial" panose="020B0604020202020204" pitchFamily="34" charset="0"/>
            <a:buChar char="•"/>
          </a:pPr>
          <a:r>
            <a:rPr lang="en-IN" sz="1200" b="0"/>
            <a:t>ROE remained negative during FY2019–FY2022, primarily due to sustained losses and the adverse impact of the COVID-19 pandemic in FY2020, before improving sharply to 48.22% in FY2024 and moderating to 27.68% in FY2025, reflecting a strong recovery phase.</a:t>
          </a:r>
        </a:p>
        <a:p>
          <a:pPr marL="171450" indent="-171450">
            <a:buFont typeface="Arial" panose="020B0604020202020204" pitchFamily="34" charset="0"/>
            <a:buChar char="•"/>
          </a:pPr>
          <a:r>
            <a:rPr lang="en-IN" sz="1200" b="0"/>
            <a:t>Net profit margins turned positive from FY2023 onwards, supporting improvements in both ROE and ROA, while asset turnover ratios remained broadly stable in the range of 0.7x–1.2x.</a:t>
          </a:r>
        </a:p>
        <a:p>
          <a:pPr marL="171450" indent="-171450">
            <a:buFont typeface="Arial" panose="020B0604020202020204" pitchFamily="34" charset="0"/>
            <a:buChar char="•"/>
          </a:pPr>
          <a:r>
            <a:rPr lang="en-IN" sz="1200"/>
            <a:t>ROA improved significantly from –9.43% in FY2019 to a peak of 8.50% in FY2024, before moderating to 7.38% in FY2025, reflecting enhanced asset utilization and operational recovery post-COVID.</a:t>
          </a:r>
          <a:endParaRPr lang="en-IN" sz="1200" b="0"/>
        </a:p>
      </xdr:txBody>
    </xdr:sp>
    <xdr:clientData/>
  </xdr:twoCellAnchor>
  <xdr:twoCellAnchor>
    <xdr:from>
      <xdr:col>1</xdr:col>
      <xdr:colOff>41319</xdr:colOff>
      <xdr:row>56</xdr:row>
      <xdr:rowOff>64536</xdr:rowOff>
    </xdr:from>
    <xdr:to>
      <xdr:col>9</xdr:col>
      <xdr:colOff>131166</xdr:colOff>
      <xdr:row>58</xdr:row>
      <xdr:rowOff>135563</xdr:rowOff>
    </xdr:to>
    <xdr:sp macro="" textlink="">
      <xdr:nvSpPr>
        <xdr:cNvPr id="4" name="TextBox 3">
          <a:extLst>
            <a:ext uri="{FF2B5EF4-FFF2-40B4-BE49-F238E27FC236}">
              <a16:creationId xmlns:a16="http://schemas.microsoft.com/office/drawing/2014/main" id="{930F4F19-D027-4BDA-81EB-6FF4FA126214}"/>
            </a:ext>
          </a:extLst>
        </xdr:cNvPr>
        <xdr:cNvSpPr txBox="1"/>
      </xdr:nvSpPr>
      <xdr:spPr>
        <a:xfrm>
          <a:off x="174669" y="10363200"/>
          <a:ext cx="5931847" cy="319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02060"/>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3661</xdr:colOff>
      <xdr:row>15</xdr:row>
      <xdr:rowOff>117625</xdr:rowOff>
    </xdr:from>
    <xdr:to>
      <xdr:col>1</xdr:col>
      <xdr:colOff>1934883</xdr:colOff>
      <xdr:row>23</xdr:row>
      <xdr:rowOff>147938</xdr:rowOff>
    </xdr:to>
    <xdr:graphicFrame macro="">
      <xdr:nvGraphicFramePr>
        <xdr:cNvPr id="3" name="Chart 2">
          <a:extLst>
            <a:ext uri="{FF2B5EF4-FFF2-40B4-BE49-F238E27FC236}">
              <a16:creationId xmlns:a16="http://schemas.microsoft.com/office/drawing/2014/main" id="{8384B043-2147-4DD7-AFC4-17C27C1D1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69370</xdr:colOff>
      <xdr:row>14</xdr:row>
      <xdr:rowOff>106779</xdr:rowOff>
    </xdr:from>
    <xdr:to>
      <xdr:col>1</xdr:col>
      <xdr:colOff>1911546</xdr:colOff>
      <xdr:row>15</xdr:row>
      <xdr:rowOff>144021</xdr:rowOff>
    </xdr:to>
    <xdr:sp macro="" textlink="">
      <xdr:nvSpPr>
        <xdr:cNvPr id="4" name="TextBox 3">
          <a:extLst>
            <a:ext uri="{FF2B5EF4-FFF2-40B4-BE49-F238E27FC236}">
              <a16:creationId xmlns:a16="http://schemas.microsoft.com/office/drawing/2014/main" id="{BDD7D93A-9F6E-4D72-A867-64F678240683}"/>
            </a:ext>
          </a:extLst>
        </xdr:cNvPr>
        <xdr:cNvSpPr txBox="1"/>
      </xdr:nvSpPr>
      <xdr:spPr>
        <a:xfrm>
          <a:off x="69370" y="3196676"/>
          <a:ext cx="1966557" cy="220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Working Capital / Total Assets</a:t>
          </a:r>
        </a:p>
      </xdr:txBody>
    </xdr:sp>
    <xdr:clientData/>
  </xdr:twoCellAnchor>
  <xdr:twoCellAnchor>
    <xdr:from>
      <xdr:col>1</xdr:col>
      <xdr:colOff>46580</xdr:colOff>
      <xdr:row>14</xdr:row>
      <xdr:rowOff>67734</xdr:rowOff>
    </xdr:from>
    <xdr:to>
      <xdr:col>1</xdr:col>
      <xdr:colOff>1701800</xdr:colOff>
      <xdr:row>14</xdr:row>
      <xdr:rowOff>72950</xdr:rowOff>
    </xdr:to>
    <xdr:cxnSp macro="">
      <xdr:nvCxnSpPr>
        <xdr:cNvPr id="5" name="Straight Connector 4">
          <a:extLst>
            <a:ext uri="{FF2B5EF4-FFF2-40B4-BE49-F238E27FC236}">
              <a16:creationId xmlns:a16="http://schemas.microsoft.com/office/drawing/2014/main" id="{0F7652A8-CB38-4144-8651-9B427099799A}"/>
            </a:ext>
          </a:extLst>
        </xdr:cNvPr>
        <xdr:cNvCxnSpPr/>
      </xdr:nvCxnSpPr>
      <xdr:spPr>
        <a:xfrm flipV="1">
          <a:off x="173580" y="343323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2470179</xdr:colOff>
      <xdr:row>14</xdr:row>
      <xdr:rowOff>100287</xdr:rowOff>
    </xdr:from>
    <xdr:to>
      <xdr:col>4</xdr:col>
      <xdr:colOff>523712</xdr:colOff>
      <xdr:row>16</xdr:row>
      <xdr:rowOff>6545</xdr:rowOff>
    </xdr:to>
    <xdr:sp macro="" textlink="">
      <xdr:nvSpPr>
        <xdr:cNvPr id="6" name="TextBox 5">
          <a:extLst>
            <a:ext uri="{FF2B5EF4-FFF2-40B4-BE49-F238E27FC236}">
              <a16:creationId xmlns:a16="http://schemas.microsoft.com/office/drawing/2014/main" id="{BEA1AA6A-13E1-4D3F-B16D-5F4FCFF2FB44}"/>
            </a:ext>
          </a:extLst>
        </xdr:cNvPr>
        <xdr:cNvSpPr txBox="1"/>
      </xdr:nvSpPr>
      <xdr:spPr>
        <a:xfrm>
          <a:off x="2594560" y="3190184"/>
          <a:ext cx="2027193" cy="272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Retained Earnings / Total Assets</a:t>
          </a:r>
        </a:p>
      </xdr:txBody>
    </xdr:sp>
    <xdr:clientData/>
  </xdr:twoCellAnchor>
  <xdr:twoCellAnchor>
    <xdr:from>
      <xdr:col>6</xdr:col>
      <xdr:colOff>197412</xdr:colOff>
      <xdr:row>14</xdr:row>
      <xdr:rowOff>77691</xdr:rowOff>
    </xdr:from>
    <xdr:to>
      <xdr:col>8</xdr:col>
      <xdr:colOff>288041</xdr:colOff>
      <xdr:row>16</xdr:row>
      <xdr:rowOff>98194</xdr:rowOff>
    </xdr:to>
    <xdr:sp macro="" textlink="">
      <xdr:nvSpPr>
        <xdr:cNvPr id="7" name="TextBox 6">
          <a:extLst>
            <a:ext uri="{FF2B5EF4-FFF2-40B4-BE49-F238E27FC236}">
              <a16:creationId xmlns:a16="http://schemas.microsoft.com/office/drawing/2014/main" id="{34E3AC7C-FC2C-4D7F-BBA3-2234D11A5161}"/>
            </a:ext>
          </a:extLst>
        </xdr:cNvPr>
        <xdr:cNvSpPr txBox="1"/>
      </xdr:nvSpPr>
      <xdr:spPr>
        <a:xfrm>
          <a:off x="5774938" y="3167588"/>
          <a:ext cx="1570113" cy="387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EBIT / Total Assets</a:t>
          </a:r>
        </a:p>
      </xdr:txBody>
    </xdr:sp>
    <xdr:clientData/>
  </xdr:twoCellAnchor>
  <xdr:twoCellAnchor>
    <xdr:from>
      <xdr:col>1</xdr:col>
      <xdr:colOff>2211794</xdr:colOff>
      <xdr:row>15</xdr:row>
      <xdr:rowOff>129140</xdr:rowOff>
    </xdr:from>
    <xdr:to>
      <xdr:col>4</xdr:col>
      <xdr:colOff>587688</xdr:colOff>
      <xdr:row>23</xdr:row>
      <xdr:rowOff>163263</xdr:rowOff>
    </xdr:to>
    <xdr:graphicFrame macro="">
      <xdr:nvGraphicFramePr>
        <xdr:cNvPr id="8" name="Chart 7">
          <a:extLst>
            <a:ext uri="{FF2B5EF4-FFF2-40B4-BE49-F238E27FC236}">
              <a16:creationId xmlns:a16="http://schemas.microsoft.com/office/drawing/2014/main" id="{DC141697-0C48-447C-8AA8-2AE6DE3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15</xdr:row>
      <xdr:rowOff>109157</xdr:rowOff>
    </xdr:from>
    <xdr:to>
      <xdr:col>8</xdr:col>
      <xdr:colOff>515944</xdr:colOff>
      <xdr:row>23</xdr:row>
      <xdr:rowOff>145185</xdr:rowOff>
    </xdr:to>
    <xdr:graphicFrame macro="">
      <xdr:nvGraphicFramePr>
        <xdr:cNvPr id="9" name="Chart 8">
          <a:extLst>
            <a:ext uri="{FF2B5EF4-FFF2-40B4-BE49-F238E27FC236}">
              <a16:creationId xmlns:a16="http://schemas.microsoft.com/office/drawing/2014/main" id="{D6C3BEEC-1C89-48D4-A936-8874A3ACF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52372</xdr:colOff>
      <xdr:row>26</xdr:row>
      <xdr:rowOff>17188</xdr:rowOff>
    </xdr:from>
    <xdr:to>
      <xdr:col>1</xdr:col>
      <xdr:colOff>2035929</xdr:colOff>
      <xdr:row>27</xdr:row>
      <xdr:rowOff>144021</xdr:rowOff>
    </xdr:to>
    <xdr:sp macro="" textlink="">
      <xdr:nvSpPr>
        <xdr:cNvPr id="11" name="TextBox 10">
          <a:extLst>
            <a:ext uri="{FF2B5EF4-FFF2-40B4-BE49-F238E27FC236}">
              <a16:creationId xmlns:a16="http://schemas.microsoft.com/office/drawing/2014/main" id="{E85745FA-CEE3-4863-8419-E7E88711188D}"/>
            </a:ext>
          </a:extLst>
        </xdr:cNvPr>
        <xdr:cNvSpPr txBox="1"/>
      </xdr:nvSpPr>
      <xdr:spPr>
        <a:xfrm>
          <a:off x="52372" y="5306673"/>
          <a:ext cx="2107938" cy="310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Market Cap / Long term Liabilities</a:t>
          </a:r>
        </a:p>
      </xdr:txBody>
    </xdr:sp>
    <xdr:clientData/>
  </xdr:twoCellAnchor>
  <xdr:twoCellAnchor>
    <xdr:from>
      <xdr:col>2</xdr:col>
      <xdr:colOff>334374</xdr:colOff>
      <xdr:row>26</xdr:row>
      <xdr:rowOff>5377</xdr:rowOff>
    </xdr:from>
    <xdr:to>
      <xdr:col>4</xdr:col>
      <xdr:colOff>448261</xdr:colOff>
      <xdr:row>27</xdr:row>
      <xdr:rowOff>29810</xdr:rowOff>
    </xdr:to>
    <xdr:sp macro="" textlink="">
      <xdr:nvSpPr>
        <xdr:cNvPr id="12" name="TextBox 11">
          <a:extLst>
            <a:ext uri="{FF2B5EF4-FFF2-40B4-BE49-F238E27FC236}">
              <a16:creationId xmlns:a16="http://schemas.microsoft.com/office/drawing/2014/main" id="{B519C047-216A-435A-ABF2-D97FC43A2AC4}"/>
            </a:ext>
          </a:extLst>
        </xdr:cNvPr>
        <xdr:cNvSpPr txBox="1"/>
      </xdr:nvSpPr>
      <xdr:spPr>
        <a:xfrm>
          <a:off x="2952931" y="5294862"/>
          <a:ext cx="1593371" cy="207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Sales / Total Assets</a:t>
          </a:r>
        </a:p>
      </xdr:txBody>
    </xdr:sp>
    <xdr:clientData/>
  </xdr:twoCellAnchor>
  <xdr:twoCellAnchor>
    <xdr:from>
      <xdr:col>1</xdr:col>
      <xdr:colOff>2224219</xdr:colOff>
      <xdr:row>27</xdr:row>
      <xdr:rowOff>60411</xdr:rowOff>
    </xdr:from>
    <xdr:to>
      <xdr:col>4</xdr:col>
      <xdr:colOff>586778</xdr:colOff>
      <xdr:row>35</xdr:row>
      <xdr:rowOff>94533</xdr:rowOff>
    </xdr:to>
    <xdr:graphicFrame macro="">
      <xdr:nvGraphicFramePr>
        <xdr:cNvPr id="13" name="Chart 12">
          <a:extLst>
            <a:ext uri="{FF2B5EF4-FFF2-40B4-BE49-F238E27FC236}">
              <a16:creationId xmlns:a16="http://schemas.microsoft.com/office/drawing/2014/main" id="{A8B7EA2A-DB48-4B87-AD85-62512C7EE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369980</xdr:colOff>
      <xdr:row>25</xdr:row>
      <xdr:rowOff>178868</xdr:rowOff>
    </xdr:from>
    <xdr:to>
      <xdr:col>8</xdr:col>
      <xdr:colOff>550754</xdr:colOff>
      <xdr:row>26</xdr:row>
      <xdr:rowOff>182346</xdr:rowOff>
    </xdr:to>
    <xdr:sp macro="" textlink="">
      <xdr:nvSpPr>
        <xdr:cNvPr id="14" name="TextBox 13">
          <a:extLst>
            <a:ext uri="{FF2B5EF4-FFF2-40B4-BE49-F238E27FC236}">
              <a16:creationId xmlns:a16="http://schemas.microsoft.com/office/drawing/2014/main" id="{4037D6C6-704A-4E33-81E7-FD0CAE7E6085}"/>
            </a:ext>
          </a:extLst>
        </xdr:cNvPr>
        <xdr:cNvSpPr txBox="1"/>
      </xdr:nvSpPr>
      <xdr:spPr>
        <a:xfrm>
          <a:off x="5947506" y="5285054"/>
          <a:ext cx="1660258" cy="186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mn-lt"/>
            </a:rPr>
            <a:t>FINAL SCORE</a:t>
          </a:r>
        </a:p>
      </xdr:txBody>
    </xdr:sp>
    <xdr:clientData/>
  </xdr:twoCellAnchor>
  <xdr:twoCellAnchor>
    <xdr:from>
      <xdr:col>5</xdr:col>
      <xdr:colOff>302048</xdr:colOff>
      <xdr:row>27</xdr:row>
      <xdr:rowOff>63513</xdr:rowOff>
    </xdr:from>
    <xdr:to>
      <xdr:col>8</xdr:col>
      <xdr:colOff>511399</xdr:colOff>
      <xdr:row>35</xdr:row>
      <xdr:rowOff>101445</xdr:rowOff>
    </xdr:to>
    <xdr:graphicFrame macro="">
      <xdr:nvGraphicFramePr>
        <xdr:cNvPr id="15" name="Chart 14">
          <a:extLst>
            <a:ext uri="{FF2B5EF4-FFF2-40B4-BE49-F238E27FC236}">
              <a16:creationId xmlns:a16="http://schemas.microsoft.com/office/drawing/2014/main" id="{3C845C5F-7D73-40F1-8ADD-56C1785B3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17371</xdr:colOff>
      <xdr:row>14</xdr:row>
      <xdr:rowOff>61172</xdr:rowOff>
    </xdr:from>
    <xdr:to>
      <xdr:col>4</xdr:col>
      <xdr:colOff>401744</xdr:colOff>
      <xdr:row>14</xdr:row>
      <xdr:rowOff>64483</xdr:rowOff>
    </xdr:to>
    <xdr:cxnSp macro="">
      <xdr:nvCxnSpPr>
        <xdr:cNvPr id="17" name="Straight Connector 16">
          <a:extLst>
            <a:ext uri="{FF2B5EF4-FFF2-40B4-BE49-F238E27FC236}">
              <a16:creationId xmlns:a16="http://schemas.microsoft.com/office/drawing/2014/main" id="{D845E0B0-A97D-460C-B8EA-64218C0E6288}"/>
            </a:ext>
          </a:extLst>
        </xdr:cNvPr>
        <xdr:cNvCxnSpPr/>
      </xdr:nvCxnSpPr>
      <xdr:spPr>
        <a:xfrm flipV="1">
          <a:off x="2639921" y="3426672"/>
          <a:ext cx="17813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14</xdr:row>
      <xdr:rowOff>63077</xdr:rowOff>
    </xdr:from>
    <xdr:to>
      <xdr:col>8</xdr:col>
      <xdr:colOff>359410</xdr:colOff>
      <xdr:row>14</xdr:row>
      <xdr:rowOff>64483</xdr:rowOff>
    </xdr:to>
    <xdr:cxnSp macro="">
      <xdr:nvCxnSpPr>
        <xdr:cNvPr id="18" name="Straight Connector 17">
          <a:extLst>
            <a:ext uri="{FF2B5EF4-FFF2-40B4-BE49-F238E27FC236}">
              <a16:creationId xmlns:a16="http://schemas.microsoft.com/office/drawing/2014/main" id="{3FE27242-63DA-4F16-8A51-9675272D5624}"/>
            </a:ext>
          </a:extLst>
        </xdr:cNvPr>
        <xdr:cNvCxnSpPr/>
      </xdr:nvCxnSpPr>
      <xdr:spPr>
        <a:xfrm flipV="1">
          <a:off x="5279615" y="3428577"/>
          <a:ext cx="20457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25</xdr:row>
      <xdr:rowOff>181609</xdr:rowOff>
    </xdr:from>
    <xdr:to>
      <xdr:col>1</xdr:col>
      <xdr:colOff>1760221</xdr:colOff>
      <xdr:row>25</xdr:row>
      <xdr:rowOff>183015</xdr:rowOff>
    </xdr:to>
    <xdr:cxnSp macro="">
      <xdr:nvCxnSpPr>
        <xdr:cNvPr id="19" name="Straight Connector 18">
          <a:extLst>
            <a:ext uri="{FF2B5EF4-FFF2-40B4-BE49-F238E27FC236}">
              <a16:creationId xmlns:a16="http://schemas.microsoft.com/office/drawing/2014/main" id="{C02C888C-072F-4FAC-B328-BFED9E446D77}"/>
            </a:ext>
          </a:extLst>
        </xdr:cNvPr>
        <xdr:cNvCxnSpPr/>
      </xdr:nvCxnSpPr>
      <xdr:spPr>
        <a:xfrm flipV="1">
          <a:off x="218666" y="557275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25</xdr:row>
      <xdr:rowOff>190076</xdr:rowOff>
    </xdr:from>
    <xdr:to>
      <xdr:col>4</xdr:col>
      <xdr:colOff>415080</xdr:colOff>
      <xdr:row>25</xdr:row>
      <xdr:rowOff>190076</xdr:rowOff>
    </xdr:to>
    <xdr:cxnSp macro="">
      <xdr:nvCxnSpPr>
        <xdr:cNvPr id="20" name="Straight Connector 19">
          <a:extLst>
            <a:ext uri="{FF2B5EF4-FFF2-40B4-BE49-F238E27FC236}">
              <a16:creationId xmlns:a16="http://schemas.microsoft.com/office/drawing/2014/main" id="{6F139544-A71C-45D1-9A89-8E215F32AC0B}"/>
            </a:ext>
          </a:extLst>
        </xdr:cNvPr>
        <xdr:cNvCxnSpPr/>
      </xdr:nvCxnSpPr>
      <xdr:spPr>
        <a:xfrm flipV="1">
          <a:off x="2634207" y="5574876"/>
          <a:ext cx="18004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25</xdr:row>
      <xdr:rowOff>154304</xdr:rowOff>
    </xdr:from>
    <xdr:to>
      <xdr:col>8</xdr:col>
      <xdr:colOff>351156</xdr:colOff>
      <xdr:row>25</xdr:row>
      <xdr:rowOff>154304</xdr:rowOff>
    </xdr:to>
    <xdr:cxnSp macro="">
      <xdr:nvCxnSpPr>
        <xdr:cNvPr id="21" name="Straight Connector 20">
          <a:extLst>
            <a:ext uri="{FF2B5EF4-FFF2-40B4-BE49-F238E27FC236}">
              <a16:creationId xmlns:a16="http://schemas.microsoft.com/office/drawing/2014/main" id="{D32CB60C-68F4-4303-81F7-5D0B59CD9A8D}"/>
            </a:ext>
          </a:extLst>
        </xdr:cNvPr>
        <xdr:cNvCxnSpPr/>
      </xdr:nvCxnSpPr>
      <xdr:spPr>
        <a:xfrm flipV="1">
          <a:off x="5256121" y="5545454"/>
          <a:ext cx="20609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127000</xdr:colOff>
      <xdr:row>2</xdr:row>
      <xdr:rowOff>21183</xdr:rowOff>
    </xdr:from>
    <xdr:to>
      <xdr:col>9</xdr:col>
      <xdr:colOff>52825</xdr:colOff>
      <xdr:row>5</xdr:row>
      <xdr:rowOff>137090</xdr:rowOff>
    </xdr:to>
    <xdr:pic>
      <xdr:nvPicPr>
        <xdr:cNvPr id="24" name="Picture 23">
          <a:extLst>
            <a:ext uri="{FF2B5EF4-FFF2-40B4-BE49-F238E27FC236}">
              <a16:creationId xmlns:a16="http://schemas.microsoft.com/office/drawing/2014/main" id="{D0EFE283-7DF8-4924-99C6-555D979DA7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55833" y="232850"/>
          <a:ext cx="1407492" cy="906129"/>
        </a:xfrm>
        <a:prstGeom prst="rect">
          <a:avLst/>
        </a:prstGeom>
      </xdr:spPr>
    </xdr:pic>
    <xdr:clientData/>
  </xdr:twoCellAnchor>
  <xdr:twoCellAnchor>
    <xdr:from>
      <xdr:col>0</xdr:col>
      <xdr:colOff>0</xdr:colOff>
      <xdr:row>27</xdr:row>
      <xdr:rowOff>68480</xdr:rowOff>
    </xdr:from>
    <xdr:to>
      <xdr:col>1</xdr:col>
      <xdr:colOff>2023284</xdr:colOff>
      <xdr:row>35</xdr:row>
      <xdr:rowOff>73381</xdr:rowOff>
    </xdr:to>
    <xdr:graphicFrame macro="">
      <xdr:nvGraphicFramePr>
        <xdr:cNvPr id="2" name="Chart 1">
          <a:extLst>
            <a:ext uri="{FF2B5EF4-FFF2-40B4-BE49-F238E27FC236}">
              <a16:creationId xmlns:a16="http://schemas.microsoft.com/office/drawing/2014/main" id="{725DDE2E-7D88-427F-B91F-4C1F6C2CD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61837</xdr:colOff>
      <xdr:row>1</xdr:row>
      <xdr:rowOff>97820</xdr:rowOff>
    </xdr:from>
    <xdr:to>
      <xdr:col>9</xdr:col>
      <xdr:colOff>60990</xdr:colOff>
      <xdr:row>3</xdr:row>
      <xdr:rowOff>33306</xdr:rowOff>
    </xdr:to>
    <xdr:sp macro="" textlink="">
      <xdr:nvSpPr>
        <xdr:cNvPr id="2" name="TextBox 1">
          <a:extLst>
            <a:ext uri="{FF2B5EF4-FFF2-40B4-BE49-F238E27FC236}">
              <a16:creationId xmlns:a16="http://schemas.microsoft.com/office/drawing/2014/main" id="{56E2311A-69D8-4C92-8E15-3A3F4601809D}"/>
            </a:ext>
          </a:extLst>
        </xdr:cNvPr>
        <xdr:cNvSpPr txBox="1"/>
      </xdr:nvSpPr>
      <xdr:spPr>
        <a:xfrm>
          <a:off x="61837" y="10289570"/>
          <a:ext cx="7822353" cy="30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002060"/>
              </a:solidFill>
              <a:effectLst/>
              <a:latin typeface="+mn-lt"/>
              <a:ea typeface="+mn-ea"/>
              <a:cs typeface="+mn-cs"/>
            </a:rPr>
            <a:t>Altman's Z Score Analysis Calculation</a:t>
          </a:r>
        </a:p>
      </xdr:txBody>
    </xdr:sp>
    <xdr:clientData/>
  </xdr:twoCellAnchor>
  <xdr:twoCellAnchor>
    <xdr:from>
      <xdr:col>1</xdr:col>
      <xdr:colOff>41320</xdr:colOff>
      <xdr:row>38</xdr:row>
      <xdr:rowOff>64535</xdr:rowOff>
    </xdr:from>
    <xdr:to>
      <xdr:col>8</xdr:col>
      <xdr:colOff>701843</xdr:colOff>
      <xdr:row>40</xdr:row>
      <xdr:rowOff>116973</xdr:rowOff>
    </xdr:to>
    <xdr:sp macro="" textlink="">
      <xdr:nvSpPr>
        <xdr:cNvPr id="3" name="TextBox 2">
          <a:extLst>
            <a:ext uri="{FF2B5EF4-FFF2-40B4-BE49-F238E27FC236}">
              <a16:creationId xmlns:a16="http://schemas.microsoft.com/office/drawing/2014/main" id="{E30727C9-2F19-4C60-B94D-91ABF827087A}"/>
            </a:ext>
          </a:extLst>
        </xdr:cNvPr>
        <xdr:cNvSpPr txBox="1"/>
      </xdr:nvSpPr>
      <xdr:spPr>
        <a:xfrm>
          <a:off x="168320" y="17069835"/>
          <a:ext cx="7613773" cy="420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02060"/>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354105</xdr:colOff>
      <xdr:row>1229</xdr:row>
      <xdr:rowOff>30255</xdr:rowOff>
    </xdr:from>
    <xdr:to>
      <xdr:col>17</xdr:col>
      <xdr:colOff>49305</xdr:colOff>
      <xdr:row>1244</xdr:row>
      <xdr:rowOff>11205</xdr:rowOff>
    </xdr:to>
    <xdr:graphicFrame macro="">
      <xdr:nvGraphicFramePr>
        <xdr:cNvPr id="2" name="Chart 1">
          <a:extLst>
            <a:ext uri="{FF2B5EF4-FFF2-40B4-BE49-F238E27FC236}">
              <a16:creationId xmlns:a16="http://schemas.microsoft.com/office/drawing/2014/main" id="{5BD462EE-058A-4654-BF3E-2E5157DDA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54803</xdr:colOff>
      <xdr:row>1250</xdr:row>
      <xdr:rowOff>91983</xdr:rowOff>
    </xdr:from>
    <xdr:to>
      <xdr:col>15</xdr:col>
      <xdr:colOff>537415</xdr:colOff>
      <xdr:row>1256</xdr:row>
      <xdr:rowOff>104285</xdr:rowOff>
    </xdr:to>
    <xdr:graphicFrame macro="">
      <xdr:nvGraphicFramePr>
        <xdr:cNvPr id="3" name="Chart 2">
          <a:extLst>
            <a:ext uri="{FF2B5EF4-FFF2-40B4-BE49-F238E27FC236}">
              <a16:creationId xmlns:a16="http://schemas.microsoft.com/office/drawing/2014/main" id="{224E8089-F8EA-50E6-59C0-A5637F6B9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iharika\Downloads\TAMO%20Historical%20Data%20(6).csv" TargetMode="External"/><Relationship Id="rId1" Type="http://schemas.openxmlformats.org/officeDocument/2006/relationships/externalLinkPath" Target="file:///C:\Users\Niharika\Downloads\TAMO%20Historical%20Data%20(6).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MO Historical Data (6)"/>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www.screener.in/"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hyperlink" Target="http://www.screener.i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screener.i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screener.i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screener.in/exce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screener.in/exce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www.screener.in/company/TATAMOTORS/consolidated/" TargetMode="External"/><Relationship Id="rId2" Type="http://schemas.openxmlformats.org/officeDocument/2006/relationships/hyperlink" Target="https://www.screener.in/company/M&amp;M/consolidated/" TargetMode="External"/><Relationship Id="rId1" Type="http://schemas.openxmlformats.org/officeDocument/2006/relationships/hyperlink" Target="https://www.screener.in/company/MARUTI/consolidated/" TargetMode="External"/><Relationship Id="rId6" Type="http://schemas.openxmlformats.org/officeDocument/2006/relationships/printerSettings" Target="../printerSettings/printerSettings25.bin"/><Relationship Id="rId5" Type="http://schemas.openxmlformats.org/officeDocument/2006/relationships/hyperlink" Target="https://www.screener.in/company/FORCEMOT/consolidated/" TargetMode="External"/><Relationship Id="rId4" Type="http://schemas.openxmlformats.org/officeDocument/2006/relationships/hyperlink" Target="https://www.screener.in/company/HYUNDAI/"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hyperlink" Target="https://www.youtube.com/@thevaluationschool" TargetMode="External"/><Relationship Id="rId2" Type="http://schemas.openxmlformats.org/officeDocument/2006/relationships/hyperlink" Target="https://www.investing.com/" TargetMode="External"/><Relationship Id="rId1" Type="http://schemas.openxmlformats.org/officeDocument/2006/relationships/hyperlink" Target="https://finance.yahoo.com/?guccounter=1&amp;guce_referrer=aHR0cHM6Ly93d3cuYmluZy5jb20v&amp;guce_referrer_sig=AQAAAM73bbMxQgU7s2K8YlKVNY1cKzAw-PkPmrk5Gn5d53RbHpr4vsHxmn0Gl-xNhsvkCRuQPafqJrj72k3FfuQtlZkFbtL6utlX-DDP6nBiilt1qDbWE7a7MynibklYBmzAJbzRrXP0dXFzTj83HyRzya43hAbEkfnWjaEEMnYbnXLC" TargetMode="External"/><Relationship Id="rId6" Type="http://schemas.openxmlformats.org/officeDocument/2006/relationships/hyperlink" Target="https://www.linkedin.com/in/niharika-shahi-4924b4281/" TargetMode="External"/><Relationship Id="rId5" Type="http://schemas.openxmlformats.org/officeDocument/2006/relationships/hyperlink" Target="https://www.screener.in/" TargetMode="External"/><Relationship Id="rId4" Type="http://schemas.openxmlformats.org/officeDocument/2006/relationships/hyperlink" Target="https://youtube.com/playlist?list=PL3uUjzLk6PulhRop_ffNeHyK0kprzO4cT&amp;feature=shar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399D-1B12-4822-936D-2EC77363083B}">
  <sheetPr codeName="Sheet6">
    <tabColor theme="9" tint="0.39997558519241921"/>
  </sheetPr>
  <dimension ref="A1"/>
  <sheetViews>
    <sheetView workbookViewId="0"/>
  </sheetViews>
  <sheetFormatPr defaultRowHeight="14.5"/>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25"/>
  <sheetViews>
    <sheetView zoomScaleNormal="119" zoomScaleSheetLayoutView="100" zoomScalePageLayoutView="120" workbookViewId="0">
      <pane xSplit="1" ySplit="4" topLeftCell="B5" activePane="bottomRight" state="frozen"/>
      <selection activeCell="I2" sqref="I2"/>
      <selection pane="topRight" activeCell="I2" sqref="I2"/>
      <selection pane="bottomLeft" activeCell="I2" sqref="I2"/>
      <selection pane="bottomRight" activeCell="M15" sqref="M15"/>
    </sheetView>
  </sheetViews>
  <sheetFormatPr defaultColWidth="8.81640625" defaultRowHeight="14.5"/>
  <cols>
    <col min="1" max="1" width="20.6328125" customWidth="1"/>
    <col min="2" max="6" width="13.453125" customWidth="1"/>
    <col min="7" max="7" width="14.81640625" bestFit="1" customWidth="1"/>
    <col min="8" max="11" width="13.453125" customWidth="1"/>
    <col min="12" max="12" width="13.36328125" customWidth="1"/>
    <col min="13" max="14" width="12.1796875" customWidth="1"/>
  </cols>
  <sheetData>
    <row r="1" spans="1:14" s="2" customFormat="1">
      <c r="A1" s="2" t="str">
        <f>'Data Sheet'!B1</f>
        <v>TATA MOTORS LTD</v>
      </c>
      <c r="H1" t="str">
        <f>UPDATE</f>
        <v/>
      </c>
      <c r="J1" s="3"/>
      <c r="K1" s="3"/>
      <c r="M1" s="2" t="s">
        <v>1</v>
      </c>
    </row>
    <row r="3" spans="1:14" s="2" customFormat="1">
      <c r="A3" s="11" t="s">
        <v>2</v>
      </c>
      <c r="B3" s="12">
        <f>'Data Sheet'!B16</f>
        <v>42460</v>
      </c>
      <c r="C3" s="12">
        <f>'Data Sheet'!C16</f>
        <v>42825</v>
      </c>
      <c r="D3" s="12">
        <f>'Data Sheet'!D16</f>
        <v>43190</v>
      </c>
      <c r="E3" s="12">
        <f>'Data Sheet'!E16</f>
        <v>43555</v>
      </c>
      <c r="F3" s="12">
        <f>'Data Sheet'!F16</f>
        <v>43921</v>
      </c>
      <c r="G3" s="12">
        <f>'Data Sheet'!G16</f>
        <v>44286</v>
      </c>
      <c r="H3" s="12">
        <f>'Data Sheet'!H16</f>
        <v>44651</v>
      </c>
      <c r="I3" s="12">
        <f>'Data Sheet'!I16</f>
        <v>45016</v>
      </c>
      <c r="J3" s="12">
        <f>'Data Sheet'!J16</f>
        <v>45382</v>
      </c>
      <c r="K3" s="12">
        <f>'Data Sheet'!K16</f>
        <v>45747</v>
      </c>
      <c r="L3" s="13" t="s">
        <v>3</v>
      </c>
      <c r="M3" s="13" t="s">
        <v>4</v>
      </c>
      <c r="N3" s="13" t="s">
        <v>5</v>
      </c>
    </row>
    <row r="4" spans="1:14" s="2" customFormat="1">
      <c r="A4" s="2" t="s">
        <v>6</v>
      </c>
      <c r="B4" s="1">
        <f>'Data Sheet'!B17</f>
        <v>273045.59999999998</v>
      </c>
      <c r="C4" s="1">
        <f>'Data Sheet'!C17</f>
        <v>269692.51</v>
      </c>
      <c r="D4" s="1">
        <f>'Data Sheet'!D17</f>
        <v>291550.48</v>
      </c>
      <c r="E4" s="1">
        <f>'Data Sheet'!E17</f>
        <v>301938.40000000002</v>
      </c>
      <c r="F4" s="1">
        <f>'Data Sheet'!F17</f>
        <v>261067.97</v>
      </c>
      <c r="G4" s="1">
        <f>'Data Sheet'!G17</f>
        <v>249794.75</v>
      </c>
      <c r="H4" s="1">
        <f>'Data Sheet'!H17</f>
        <v>278453.62</v>
      </c>
      <c r="I4" s="1">
        <f>'Data Sheet'!I17</f>
        <v>345966.97</v>
      </c>
      <c r="J4" s="1">
        <f>'Data Sheet'!J17</f>
        <v>434016</v>
      </c>
      <c r="K4" s="1">
        <f>'Data Sheet'!K17</f>
        <v>439695</v>
      </c>
      <c r="L4" s="1">
        <f>SUM(Quarters!H4:K4)</f>
        <v>441609</v>
      </c>
      <c r="M4" s="1">
        <f>$K4+M23*K4</f>
        <v>512017.03850373905</v>
      </c>
      <c r="N4" s="1">
        <f>$K4+N23*L4</f>
        <v>445473.35266672197</v>
      </c>
    </row>
    <row r="5" spans="1:14">
      <c r="A5" t="s">
        <v>7</v>
      </c>
      <c r="B5" s="6">
        <f>SUM('Data Sheet'!B18,'Data Sheet'!B20:B24, -1*'Data Sheet'!B19)</f>
        <v>234650.35</v>
      </c>
      <c r="C5" s="6">
        <f>SUM('Data Sheet'!C18,'Data Sheet'!C20:C24, -1*'Data Sheet'!C19)</f>
        <v>240103.81999999998</v>
      </c>
      <c r="D5" s="6">
        <f>SUM('Data Sheet'!D18,'Data Sheet'!D20:D24, -1*'Data Sheet'!D19)</f>
        <v>260092.80000000002</v>
      </c>
      <c r="E5" s="6">
        <f>SUM('Data Sheet'!E18,'Data Sheet'!E20:E24, -1*'Data Sheet'!E19)</f>
        <v>277274.07</v>
      </c>
      <c r="F5" s="6">
        <f>SUM('Data Sheet'!F18,'Data Sheet'!F20:F24, -1*'Data Sheet'!F19)</f>
        <v>243080.90000000005</v>
      </c>
      <c r="G5" s="6">
        <f>SUM('Data Sheet'!G18,'Data Sheet'!G20:G24, -1*'Data Sheet'!G19)</f>
        <v>217507.32</v>
      </c>
      <c r="H5" s="6">
        <f>SUM('Data Sheet'!H18,'Data Sheet'!H20:H24, -1*'Data Sheet'!H19)</f>
        <v>253733.52999999997</v>
      </c>
      <c r="I5" s="6">
        <f>SUM('Data Sheet'!I18,'Data Sheet'!I20:I24, -1*'Data Sheet'!I19)</f>
        <v>314151.17000000004</v>
      </c>
      <c r="J5" s="6">
        <f>SUM('Data Sheet'!J18,'Data Sheet'!J20:J24, -1*'Data Sheet'!J19)</f>
        <v>376192</v>
      </c>
      <c r="K5" s="6">
        <f>SUM('Data Sheet'!K18,'Data Sheet'!K20:K24, -1*'Data Sheet'!K19)</f>
        <v>384479</v>
      </c>
      <c r="L5" s="6">
        <f>SUM(Quarters!H5:K5)</f>
        <v>384424</v>
      </c>
      <c r="M5" s="6">
        <f t="shared" ref="M5:N5" si="0">M4-M6</f>
        <v>445714.73409681726</v>
      </c>
      <c r="N5" s="6">
        <f t="shared" si="0"/>
        <v>398338.79456236039</v>
      </c>
    </row>
    <row r="6" spans="1:14" s="2" customFormat="1">
      <c r="A6" s="2" t="s">
        <v>8</v>
      </c>
      <c r="B6" s="1">
        <f>B4-B5</f>
        <v>38395.249999999971</v>
      </c>
      <c r="C6" s="1">
        <f t="shared" ref="C6:K6" si="1">C4-C5</f>
        <v>29588.690000000031</v>
      </c>
      <c r="D6" s="1">
        <f t="shared" si="1"/>
        <v>31457.679999999964</v>
      </c>
      <c r="E6" s="1">
        <f t="shared" si="1"/>
        <v>24664.330000000016</v>
      </c>
      <c r="F6" s="1">
        <f t="shared" si="1"/>
        <v>17987.069999999949</v>
      </c>
      <c r="G6" s="1">
        <f t="shared" si="1"/>
        <v>32287.429999999993</v>
      </c>
      <c r="H6" s="1">
        <f t="shared" si="1"/>
        <v>24720.090000000026</v>
      </c>
      <c r="I6" s="1">
        <f t="shared" si="1"/>
        <v>31815.79999999993</v>
      </c>
      <c r="J6" s="1">
        <f t="shared" si="1"/>
        <v>57824</v>
      </c>
      <c r="K6" s="1">
        <f t="shared" si="1"/>
        <v>55216</v>
      </c>
      <c r="L6" s="1">
        <f>SUM(Quarters!H6:K6)</f>
        <v>57185</v>
      </c>
      <c r="M6" s="1">
        <f>M4*M24</f>
        <v>66302.304406921787</v>
      </c>
      <c r="N6" s="1">
        <f>N4*N24</f>
        <v>47134.558104361568</v>
      </c>
    </row>
    <row r="7" spans="1:14">
      <c r="A7" t="s">
        <v>9</v>
      </c>
      <c r="B7" s="6">
        <f>'Data Sheet'!B25</f>
        <v>-2669.62</v>
      </c>
      <c r="C7" s="6">
        <f>'Data Sheet'!C25</f>
        <v>1869.1</v>
      </c>
      <c r="D7" s="6">
        <f>'Data Sheet'!D25</f>
        <v>5932.73</v>
      </c>
      <c r="E7" s="6">
        <f>'Data Sheet'!E25</f>
        <v>-26686.25</v>
      </c>
      <c r="F7" s="6">
        <f>'Data Sheet'!F25</f>
        <v>101.71</v>
      </c>
      <c r="G7" s="6">
        <f>'Data Sheet'!G25</f>
        <v>-11117.83</v>
      </c>
      <c r="H7" s="6">
        <f>'Data Sheet'!H25</f>
        <v>2424.0500000000002</v>
      </c>
      <c r="I7" s="6">
        <f>'Data Sheet'!I25</f>
        <v>6663.97</v>
      </c>
      <c r="J7" s="6">
        <f>'Data Sheet'!J25</f>
        <v>4792</v>
      </c>
      <c r="K7" s="6">
        <f>'Data Sheet'!K25</f>
        <v>11774</v>
      </c>
      <c r="L7" s="6">
        <f>SUM(Quarters!H7:K7)</f>
        <v>6151</v>
      </c>
      <c r="M7" s="6">
        <v>0</v>
      </c>
      <c r="N7" s="6">
        <v>0</v>
      </c>
    </row>
    <row r="8" spans="1:14">
      <c r="A8" t="s">
        <v>10</v>
      </c>
      <c r="B8" s="6">
        <f>'Data Sheet'!B26</f>
        <v>16710.78</v>
      </c>
      <c r="C8" s="6">
        <f>'Data Sheet'!C26</f>
        <v>17904.990000000002</v>
      </c>
      <c r="D8" s="6">
        <f>'Data Sheet'!D26</f>
        <v>21553.59</v>
      </c>
      <c r="E8" s="6">
        <f>'Data Sheet'!E26</f>
        <v>23590.63</v>
      </c>
      <c r="F8" s="6">
        <f>'Data Sheet'!F26</f>
        <v>21425.43</v>
      </c>
      <c r="G8" s="6">
        <f>'Data Sheet'!G26</f>
        <v>23546.71</v>
      </c>
      <c r="H8" s="6">
        <f>'Data Sheet'!H26</f>
        <v>24835.69</v>
      </c>
      <c r="I8" s="6">
        <f>'Data Sheet'!I26</f>
        <v>24860.36</v>
      </c>
      <c r="J8" s="6">
        <f>'Data Sheet'!J26</f>
        <v>27239</v>
      </c>
      <c r="K8" s="6">
        <f>'Data Sheet'!K26</f>
        <v>23256</v>
      </c>
      <c r="L8" s="6">
        <f>SUM(Quarters!H8:K8)</f>
        <v>23273</v>
      </c>
      <c r="M8" s="6">
        <f>+$L8</f>
        <v>23273</v>
      </c>
      <c r="N8" s="6">
        <f>+$L8</f>
        <v>23273</v>
      </c>
    </row>
    <row r="9" spans="1:14">
      <c r="A9" t="s">
        <v>11</v>
      </c>
      <c r="B9" s="6">
        <f>'Data Sheet'!B27</f>
        <v>4889.08</v>
      </c>
      <c r="C9" s="6">
        <f>'Data Sheet'!C27</f>
        <v>4238.01</v>
      </c>
      <c r="D9" s="6">
        <f>'Data Sheet'!D27</f>
        <v>4681.79</v>
      </c>
      <c r="E9" s="6">
        <f>'Data Sheet'!E27</f>
        <v>5758.6</v>
      </c>
      <c r="F9" s="6">
        <f>'Data Sheet'!F27</f>
        <v>7243.33</v>
      </c>
      <c r="G9" s="6">
        <f>'Data Sheet'!G27</f>
        <v>8097.17</v>
      </c>
      <c r="H9" s="6">
        <f>'Data Sheet'!H27</f>
        <v>9311.86</v>
      </c>
      <c r="I9" s="6">
        <f>'Data Sheet'!I27</f>
        <v>10225.48</v>
      </c>
      <c r="J9" s="6">
        <f>'Data Sheet'!J27</f>
        <v>7594</v>
      </c>
      <c r="K9" s="6">
        <f>'Data Sheet'!K27</f>
        <v>5083</v>
      </c>
      <c r="L9" s="6">
        <f>SUM(Quarters!H9:K9)</f>
        <v>6317</v>
      </c>
      <c r="M9" s="6">
        <f>+$L9</f>
        <v>6317</v>
      </c>
      <c r="N9" s="6">
        <f>+$L9</f>
        <v>6317</v>
      </c>
    </row>
    <row r="10" spans="1:14">
      <c r="A10" t="s">
        <v>12</v>
      </c>
      <c r="B10" s="6">
        <f>'Data Sheet'!B28</f>
        <v>14125.77</v>
      </c>
      <c r="C10" s="6">
        <f>'Data Sheet'!C28</f>
        <v>9314.7900000000009</v>
      </c>
      <c r="D10" s="6">
        <f>'Data Sheet'!D28</f>
        <v>11155.03</v>
      </c>
      <c r="E10" s="6">
        <f>'Data Sheet'!E28</f>
        <v>-31371.15</v>
      </c>
      <c r="F10" s="6">
        <f>'Data Sheet'!F28</f>
        <v>-10579.98</v>
      </c>
      <c r="G10" s="6">
        <f>'Data Sheet'!G28</f>
        <v>-10474.280000000001</v>
      </c>
      <c r="H10" s="6">
        <f>'Data Sheet'!H28</f>
        <v>-7003.41</v>
      </c>
      <c r="I10" s="6">
        <f>'Data Sheet'!I28</f>
        <v>3393.93</v>
      </c>
      <c r="J10" s="6">
        <f>'Data Sheet'!J28</f>
        <v>27783</v>
      </c>
      <c r="K10" s="6">
        <f>'Data Sheet'!K28</f>
        <v>38651</v>
      </c>
      <c r="L10" s="6">
        <f>SUM(Quarters!H10:K10)</f>
        <v>33746</v>
      </c>
      <c r="M10" s="6">
        <f>M6+M7-SUM(M8:M9)</f>
        <v>36712.304406921787</v>
      </c>
      <c r="N10" s="6">
        <f>N6+N7-SUM(N8:N9)</f>
        <v>17544.558104361568</v>
      </c>
    </row>
    <row r="11" spans="1:14">
      <c r="A11" t="s">
        <v>13</v>
      </c>
      <c r="B11" s="6">
        <f>'Data Sheet'!B29</f>
        <v>3025.05</v>
      </c>
      <c r="C11" s="6">
        <f>'Data Sheet'!C29</f>
        <v>3251.23</v>
      </c>
      <c r="D11" s="6">
        <f>'Data Sheet'!D29</f>
        <v>4341.93</v>
      </c>
      <c r="E11" s="6">
        <f>'Data Sheet'!E29</f>
        <v>-2437.4499999999998</v>
      </c>
      <c r="F11" s="6">
        <f>'Data Sheet'!F29</f>
        <v>395.25</v>
      </c>
      <c r="G11" s="6">
        <f>'Data Sheet'!G29</f>
        <v>2541.86</v>
      </c>
      <c r="H11" s="6">
        <f>'Data Sheet'!H29</f>
        <v>4231.29</v>
      </c>
      <c r="I11" s="6">
        <f>'Data Sheet'!I29</f>
        <v>704.06</v>
      </c>
      <c r="J11" s="6">
        <f>'Data Sheet'!J29</f>
        <v>-4024</v>
      </c>
      <c r="K11" s="6">
        <f>'Data Sheet'!K29</f>
        <v>10502</v>
      </c>
      <c r="L11" s="6">
        <f>SUM(Quarters!H11:K11)</f>
        <v>10563</v>
      </c>
      <c r="M11" s="7">
        <f>IF($L10&gt;0,$L11/$L10,0)</f>
        <v>0.31301487583713627</v>
      </c>
      <c r="N11" s="7">
        <f>IF($L10&gt;0,$L11/$L10,0)</f>
        <v>0.31301487583713627</v>
      </c>
    </row>
    <row r="12" spans="1:14" s="2" customFormat="1">
      <c r="A12" s="2" t="s">
        <v>14</v>
      </c>
      <c r="B12" s="1">
        <f>'Data Sheet'!B30</f>
        <v>11579.31</v>
      </c>
      <c r="C12" s="1">
        <f>'Data Sheet'!C30</f>
        <v>7454.36</v>
      </c>
      <c r="D12" s="1">
        <f>'Data Sheet'!D30</f>
        <v>8988.91</v>
      </c>
      <c r="E12" s="1">
        <f>'Data Sheet'!E30</f>
        <v>-28826.23</v>
      </c>
      <c r="F12" s="1">
        <f>'Data Sheet'!F30</f>
        <v>-12070.85</v>
      </c>
      <c r="G12" s="1">
        <f>'Data Sheet'!G30</f>
        <v>-13451.39</v>
      </c>
      <c r="H12" s="1">
        <f>'Data Sheet'!H30</f>
        <v>-11441.47</v>
      </c>
      <c r="I12" s="1">
        <f>'Data Sheet'!I30</f>
        <v>2414.29</v>
      </c>
      <c r="J12" s="1">
        <f>'Data Sheet'!J30</f>
        <v>31399</v>
      </c>
      <c r="K12" s="1">
        <f>'Data Sheet'!K30</f>
        <v>27830</v>
      </c>
      <c r="L12" s="1">
        <f>SUM(Quarters!H12:K12)</f>
        <v>22785</v>
      </c>
      <c r="M12" s="1">
        <f>M10-M11*M10</f>
        <v>25220.807001294015</v>
      </c>
      <c r="N12" s="1">
        <f>N10-N11*N10</f>
        <v>12052.85042770741</v>
      </c>
    </row>
    <row r="13" spans="1:14">
      <c r="A13" t="s">
        <v>57</v>
      </c>
      <c r="B13" s="6">
        <f>IF('Data Sheet'!B94&gt;0,B12/'Data Sheet'!B94,0)</f>
        <v>40.105673316708227</v>
      </c>
      <c r="C13" s="6">
        <f>IF('Data Sheet'!C94&gt;0,C12/'Data Sheet'!C94,0)</f>
        <v>25.817753610639695</v>
      </c>
      <c r="D13" s="6">
        <f>IF('Data Sheet'!D94&gt;0,D12/'Data Sheet'!D94,0)</f>
        <v>31.132580611644094</v>
      </c>
      <c r="E13" s="6">
        <f>IF('Data Sheet'!E94&gt;0,E12/'Data Sheet'!E94,0)</f>
        <v>-99.838014754268684</v>
      </c>
      <c r="F13" s="6">
        <f>IF('Data Sheet'!F94&gt;0,F12/'Data Sheet'!F94,0)</f>
        <v>-39.076885723535128</v>
      </c>
      <c r="G13" s="6">
        <f>IF('Data Sheet'!G94&gt;0,G12/'Data Sheet'!G94,0)</f>
        <v>-40.512574164985097</v>
      </c>
      <c r="H13" s="6">
        <f>IF('Data Sheet'!H94&gt;0,H12/'Data Sheet'!H94,0)</f>
        <v>-34.454994428885477</v>
      </c>
      <c r="I13" s="6">
        <f>IF('Data Sheet'!I94&gt;0,I12/'Data Sheet'!I94,0)</f>
        <v>7.2691114924878812</v>
      </c>
      <c r="J13" s="6">
        <f>IF('Data Sheet'!J94&gt;0,J12/'Data Sheet'!J94,0)</f>
        <v>94.470018353040288</v>
      </c>
      <c r="K13" s="6">
        <f>IF('Data Sheet'!K94&gt;0,K12/'Data Sheet'!K94,0)</f>
        <v>75.598294080895343</v>
      </c>
      <c r="L13" s="6">
        <f>IF('Data Sheet'!$B6&gt;0,'Profit &amp; Loss'!L12/'Data Sheet'!$B6,0)</f>
        <v>61.886996859831577</v>
      </c>
      <c r="M13" s="6">
        <f>IF('Data Sheet'!$B6&gt;0,'Profit &amp; Loss'!M12/'Data Sheet'!$B6,0)</f>
        <v>68.502962637327229</v>
      </c>
      <c r="N13" s="6">
        <f>IF('Data Sheet'!$B6&gt;0,'Profit &amp; Loss'!N12/'Data Sheet'!$B6,0)</f>
        <v>32.737095307068167</v>
      </c>
    </row>
    <row r="14" spans="1:14">
      <c r="A14" t="s">
        <v>16</v>
      </c>
      <c r="B14" s="6">
        <f>IF(B15&gt;0,B15/B13,"")</f>
        <v>9.6395339618681959</v>
      </c>
      <c r="C14" s="6">
        <f t="shared" ref="C14:K14" si="2">IF(C15&gt;0,C15/C13,"")</f>
        <v>18.043785180753279</v>
      </c>
      <c r="D14" s="6">
        <f t="shared" si="2"/>
        <v>10.4986478338308</v>
      </c>
      <c r="E14" s="6">
        <f t="shared" si="2"/>
        <v>-1.7453271725092045</v>
      </c>
      <c r="F14" s="6">
        <f t="shared" si="2"/>
        <v>-1.8182103994333454</v>
      </c>
      <c r="G14" s="6">
        <f t="shared" si="2"/>
        <v>-7.4495389695786081</v>
      </c>
      <c r="H14" s="6">
        <f t="shared" si="2"/>
        <v>-12.588886087189845</v>
      </c>
      <c r="I14" s="6">
        <f t="shared" si="2"/>
        <v>57.88878055246056</v>
      </c>
      <c r="J14" s="6">
        <f t="shared" si="2"/>
        <v>10.509154304277205</v>
      </c>
      <c r="K14" s="6">
        <f t="shared" si="2"/>
        <v>8.9214976104922741</v>
      </c>
      <c r="L14" s="6">
        <f t="shared" ref="L14" si="3">IF(L13&gt;0,L15/L13,0)</f>
        <v>10.991808207153829</v>
      </c>
      <c r="M14" s="6">
        <f>M25</f>
        <v>22.077810168595963</v>
      </c>
      <c r="N14" s="6">
        <f>N25</f>
        <v>10.991808207153829</v>
      </c>
    </row>
    <row r="15" spans="1:14" s="2" customFormat="1">
      <c r="A15" s="2" t="s">
        <v>58</v>
      </c>
      <c r="B15" s="1">
        <f>'Data Sheet'!B91</f>
        <v>386.6</v>
      </c>
      <c r="C15" s="1">
        <f>'Data Sheet'!C91</f>
        <v>465.85</v>
      </c>
      <c r="D15" s="1">
        <f>'Data Sheet'!D91</f>
        <v>326.85000000000002</v>
      </c>
      <c r="E15" s="1">
        <f>'Data Sheet'!E91</f>
        <v>174.25</v>
      </c>
      <c r="F15" s="1">
        <f>'Data Sheet'!F91</f>
        <v>71.05</v>
      </c>
      <c r="G15" s="1">
        <f>'Data Sheet'!G91</f>
        <v>301.8</v>
      </c>
      <c r="H15" s="1">
        <f>'Data Sheet'!H91</f>
        <v>433.75</v>
      </c>
      <c r="I15" s="1">
        <f>'Data Sheet'!I91</f>
        <v>420.8</v>
      </c>
      <c r="J15" s="1">
        <f>'Data Sheet'!J91</f>
        <v>992.8</v>
      </c>
      <c r="K15" s="1">
        <f>'Data Sheet'!K91</f>
        <v>674.45</v>
      </c>
      <c r="L15" s="1">
        <f>'Data Sheet'!B8</f>
        <v>680.25</v>
      </c>
      <c r="M15" s="8">
        <f>M13*M14</f>
        <v>1512.3954050933326</v>
      </c>
      <c r="N15" s="9">
        <f>N13*N14</f>
        <v>359.839872874609</v>
      </c>
    </row>
    <row r="17" spans="1:14" s="2" customFormat="1">
      <c r="A17" s="2" t="s">
        <v>15</v>
      </c>
    </row>
    <row r="18" spans="1:14">
      <c r="A18" t="s">
        <v>17</v>
      </c>
      <c r="B18" s="5">
        <f>IF('Data Sheet'!B30&gt;0, 'Data Sheet'!B31/'Data Sheet'!B30, 0)</f>
        <v>5.8656344808110331E-3</v>
      </c>
      <c r="C18" s="5">
        <f>IF('Data Sheet'!C30&gt;0, 'Data Sheet'!C31/'Data Sheet'!C30, 0)</f>
        <v>0</v>
      </c>
      <c r="D18" s="5">
        <f>IF('Data Sheet'!D30&gt;0, 'Data Sheet'!D31/'Data Sheet'!D30, 0)</f>
        <v>0</v>
      </c>
      <c r="E18" s="5">
        <f>IF('Data Sheet'!E30&gt;0, 'Data Sheet'!E31/'Data Sheet'!E30, 0)</f>
        <v>0</v>
      </c>
      <c r="F18" s="5">
        <f>IF('Data Sheet'!F30&gt;0, 'Data Sheet'!F31/'Data Sheet'!F30, 0)</f>
        <v>0</v>
      </c>
      <c r="G18" s="5">
        <f>IF('Data Sheet'!G30&gt;0, 'Data Sheet'!G31/'Data Sheet'!G30, 0)</f>
        <v>0</v>
      </c>
      <c r="H18" s="5">
        <f>IF('Data Sheet'!H30&gt;0, 'Data Sheet'!H31/'Data Sheet'!H30, 0)</f>
        <v>0</v>
      </c>
      <c r="I18" s="5">
        <f>IF('Data Sheet'!I30&gt;0, 'Data Sheet'!I31/'Data Sheet'!I30, 0)</f>
        <v>0.31728582730326516</v>
      </c>
      <c r="J18" s="5">
        <f>IF('Data Sheet'!J30&gt;0, 'Data Sheet'!J31/'Data Sheet'!J30, 0)</f>
        <v>7.3282588617471889E-2</v>
      </c>
      <c r="K18" s="5">
        <f>IF('Data Sheet'!K30&gt;0, 'Data Sheet'!K31/'Data Sheet'!K30, 0)</f>
        <v>7.9338842975206617E-2</v>
      </c>
    </row>
    <row r="19" spans="1:14">
      <c r="A19" t="s">
        <v>18</v>
      </c>
      <c r="B19" s="5">
        <f t="shared" ref="B19:L19" si="4">IF(B6&gt;0,B6/B4,0)</f>
        <v>0.14061845347443788</v>
      </c>
      <c r="C19" s="5">
        <f t="shared" ref="C19:K19" si="5">IF(C6&gt;0,C6/C4,0)</f>
        <v>0.10971268723777323</v>
      </c>
      <c r="D19" s="5">
        <f t="shared" si="5"/>
        <v>0.10789788444182964</v>
      </c>
      <c r="E19" s="5">
        <f t="shared" si="5"/>
        <v>8.1686628795807403E-2</v>
      </c>
      <c r="F19" s="5">
        <f t="shared" si="5"/>
        <v>6.8898034485042142E-2</v>
      </c>
      <c r="G19" s="5">
        <f t="shared" si="5"/>
        <v>0.12925583904385499</v>
      </c>
      <c r="H19" s="5">
        <f t="shared" si="5"/>
        <v>8.8776328352276501E-2</v>
      </c>
      <c r="I19" s="5">
        <f t="shared" si="5"/>
        <v>9.1961958102531965E-2</v>
      </c>
      <c r="J19" s="5">
        <f t="shared" si="5"/>
        <v>0.13323011133230112</v>
      </c>
      <c r="K19" s="5">
        <f t="shared" si="5"/>
        <v>0.12557795744777631</v>
      </c>
      <c r="L19" s="5">
        <f t="shared" si="4"/>
        <v>0.12949237900495689</v>
      </c>
    </row>
    <row r="20" spans="1:14">
      <c r="B20" s="5"/>
      <c r="C20" s="5"/>
      <c r="D20" s="5"/>
      <c r="E20" s="5"/>
      <c r="F20" s="5"/>
      <c r="G20" s="5"/>
      <c r="H20" s="5"/>
      <c r="I20" s="5"/>
      <c r="J20" s="5"/>
      <c r="K20" s="5"/>
      <c r="L20" s="5"/>
    </row>
    <row r="21" spans="1:14">
      <c r="B21" s="5"/>
      <c r="C21" s="5"/>
      <c r="D21" s="5"/>
      <c r="E21" s="5"/>
      <c r="F21" s="5"/>
      <c r="G21" s="5"/>
      <c r="H21" s="5"/>
      <c r="I21" s="5"/>
      <c r="J21" s="5"/>
      <c r="K21" s="5"/>
      <c r="L21" s="5"/>
    </row>
    <row r="22" spans="1:14" s="2" customFormat="1">
      <c r="A22" s="11"/>
      <c r="B22" s="12"/>
      <c r="C22" s="12"/>
      <c r="D22" s="12"/>
      <c r="E22" s="12"/>
      <c r="F22" s="12"/>
      <c r="G22" s="12" t="s">
        <v>19</v>
      </c>
      <c r="H22" s="12" t="s">
        <v>65</v>
      </c>
      <c r="I22" s="12" t="s">
        <v>66</v>
      </c>
      <c r="J22" s="12" t="s">
        <v>67</v>
      </c>
      <c r="K22" s="12" t="s">
        <v>68</v>
      </c>
      <c r="L22" s="13" t="s">
        <v>69</v>
      </c>
      <c r="M22" s="13" t="s">
        <v>20</v>
      </c>
      <c r="N22" s="13" t="s">
        <v>21</v>
      </c>
    </row>
    <row r="23" spans="1:14" s="2" customFormat="1">
      <c r="A23"/>
      <c r="B23"/>
      <c r="C23"/>
      <c r="D23"/>
      <c r="E23"/>
      <c r="F23"/>
      <c r="G23" t="s">
        <v>22</v>
      </c>
      <c r="H23" s="5">
        <f>IF(B4=0,"",POWER($K4/B4,1/9)-1)</f>
        <v>5.4364329974180503E-2</v>
      </c>
      <c r="I23" s="5">
        <f>IF(D4=0,"",POWER($K4/D4,1/7)-1)</f>
        <v>6.0452229419457382E-2</v>
      </c>
      <c r="J23" s="5">
        <f>IF(F4=0,"",POWER($K4/F4,1/5)-1)</f>
        <v>0.10988910171869626</v>
      </c>
      <c r="K23" s="5">
        <f>IF(H4=0,"",POWER($K4/H4, 1/3)-1)</f>
        <v>0.164482285456371</v>
      </c>
      <c r="L23" s="5">
        <f>IF(ISERROR(MAX(IF(J4=0,"",(K4-J4)/J4),IF(K4=0,"",(L4-K4)/K4))),"",MAX(IF(J4=0,"",(K4-J4)/J4),IF(K4=0,"",(L4-K4)/K4)))</f>
        <v>1.3084771068347711E-2</v>
      </c>
      <c r="M23" s="16">
        <f>MAX(K23:L23)</f>
        <v>0.164482285456371</v>
      </c>
      <c r="N23" s="16">
        <f>MIN(H23:L23)</f>
        <v>1.3084771068347711E-2</v>
      </c>
    </row>
    <row r="24" spans="1:14">
      <c r="G24" t="s">
        <v>18</v>
      </c>
      <c r="H24" s="5">
        <f>IF(SUM(B4:$K$4)=0,"",SUMPRODUCT(B19:$K$19,B4:$K$4)/SUM(B4:$K$4))</f>
        <v>0.1093583907752373</v>
      </c>
      <c r="I24" s="5">
        <f>IF(SUM(E4:$K$4)=0,"",SUMPRODUCT(E19:$K$19,E4:$K$4)/SUM(E4:$K$4))</f>
        <v>0.10580780606112929</v>
      </c>
      <c r="J24" s="5">
        <f>IF(SUM(G4:$K$4)=0,"",SUMPRODUCT(G19:$K$19,G4:$K$4)/SUM(G4:$K$4))</f>
        <v>0.11548731510047498</v>
      </c>
      <c r="K24" s="5">
        <f>IF(SUM(I4:$K$4)=0, "", SUMPRODUCT(I19:$K$19,I4:$K$4)/SUM(I4:$K$4))</f>
        <v>0.11876561154908778</v>
      </c>
      <c r="L24" s="5">
        <f>L19</f>
        <v>0.12949237900495689</v>
      </c>
      <c r="M24" s="16">
        <f>MAX(K24:L24)</f>
        <v>0.12949237900495689</v>
      </c>
      <c r="N24" s="16">
        <f>MIN(H24:L24)</f>
        <v>0.10580780606112929</v>
      </c>
    </row>
    <row r="25" spans="1:14">
      <c r="G25" t="s">
        <v>23</v>
      </c>
      <c r="H25" s="6">
        <f>IF(ISERROR(AVERAGEIF(B14:$L14,"&gt;0")),"",AVERAGEIF(B14:$L14,"&gt;0"))</f>
        <v>18.070458235833733</v>
      </c>
      <c r="I25" s="6">
        <f>IF(ISERROR(AVERAGEIF(E14:$L14,"&gt;0")),"",AVERAGEIF(E14:$L14,"&gt;0"))</f>
        <v>22.077810168595963</v>
      </c>
      <c r="J25" s="6">
        <f>IF(ISERROR(AVERAGEIF(G14:$L14,"&gt;0")),"",AVERAGEIF(G14:$L14,"&gt;0"))</f>
        <v>22.077810168595963</v>
      </c>
      <c r="K25" s="6">
        <f>IF(ISERROR(AVERAGEIF(I14:$L14,"&gt;0")),"",AVERAGEIF(I14:$L14,"&gt;0"))</f>
        <v>22.077810168595963</v>
      </c>
      <c r="L25" s="6">
        <f>L14</f>
        <v>10.991808207153829</v>
      </c>
      <c r="M25" s="1">
        <f>MAX(K25:L25)</f>
        <v>22.077810168595963</v>
      </c>
      <c r="N25" s="1">
        <f>MIN(H25:L25)</f>
        <v>10.991808207153829</v>
      </c>
    </row>
  </sheetData>
  <hyperlinks>
    <hyperlink ref="M1" r:id="rId1" xr:uid="{00000000-0004-0000-0000-000000000000}"/>
  </hyperlinks>
  <printOptions gridLines="1"/>
  <pageMargins left="0.7" right="0.7" top="0.75" bottom="0.75" header="0.3" footer="0.3"/>
  <pageSetup paperSize="9" scale="67" orientation="landscape" horizontalDpi="300" verticalDpi="300"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80" workbookViewId="0">
      <pane xSplit="1" ySplit="3" topLeftCell="E4" activePane="bottomRight" state="frozen"/>
      <selection pane="topRight" activeCell="B1" sqref="B1"/>
      <selection pane="bottomLeft" activeCell="A4" sqref="A4"/>
      <selection pane="bottomRight" activeCell="K5" sqref="K5"/>
    </sheetView>
  </sheetViews>
  <sheetFormatPr defaultColWidth="8.81640625" defaultRowHeight="14.5"/>
  <cols>
    <col min="1" max="1" width="20.6328125" customWidth="1"/>
    <col min="2" max="11" width="13.453125" bestFit="1" customWidth="1"/>
  </cols>
  <sheetData>
    <row r="1" spans="1:11" s="2" customFormat="1">
      <c r="A1" s="2" t="str">
        <f>'Profit &amp; Loss'!A1</f>
        <v>TATA MOTORS LTD</v>
      </c>
      <c r="E1" t="str">
        <f>UPDATE</f>
        <v/>
      </c>
      <c r="J1" s="2" t="s">
        <v>1</v>
      </c>
    </row>
    <row r="3" spans="1:11" s="2" customFormat="1">
      <c r="A3" s="11" t="s">
        <v>2</v>
      </c>
      <c r="B3" s="12">
        <f>'Data Sheet'!B42</f>
        <v>44926</v>
      </c>
      <c r="C3" s="12">
        <f>'Data Sheet'!C42</f>
        <v>45016</v>
      </c>
      <c r="D3" s="12">
        <f>'Data Sheet'!D42</f>
        <v>45107</v>
      </c>
      <c r="E3" s="12">
        <f>'Data Sheet'!E42</f>
        <v>45199</v>
      </c>
      <c r="F3" s="12">
        <f>'Data Sheet'!F42</f>
        <v>45291</v>
      </c>
      <c r="G3" s="12">
        <f>'Data Sheet'!G42</f>
        <v>45382</v>
      </c>
      <c r="H3" s="12">
        <f>'Data Sheet'!H42</f>
        <v>45473</v>
      </c>
      <c r="I3" s="12">
        <f>'Data Sheet'!I42</f>
        <v>45565</v>
      </c>
      <c r="J3" s="12">
        <f>'Data Sheet'!J42</f>
        <v>45657</v>
      </c>
      <c r="K3" s="12">
        <f>'Data Sheet'!K42</f>
        <v>45747</v>
      </c>
    </row>
    <row r="4" spans="1:11" s="2" customFormat="1">
      <c r="A4" s="2" t="s">
        <v>6</v>
      </c>
      <c r="B4" s="1">
        <f>'Data Sheet'!B43</f>
        <v>88488.59</v>
      </c>
      <c r="C4" s="1">
        <f>'Data Sheet'!C43</f>
        <v>105932.35</v>
      </c>
      <c r="D4" s="1">
        <f>'Data Sheet'!D43</f>
        <v>102236</v>
      </c>
      <c r="E4" s="1">
        <f>'Data Sheet'!E43</f>
        <v>105129</v>
      </c>
      <c r="F4" s="1">
        <f>'Data Sheet'!F43</f>
        <v>110577</v>
      </c>
      <c r="G4" s="1">
        <f>'Data Sheet'!G43</f>
        <v>119033</v>
      </c>
      <c r="H4" s="1">
        <f>'Data Sheet'!H43</f>
        <v>108048</v>
      </c>
      <c r="I4" s="1">
        <f>'Data Sheet'!I43</f>
        <v>101450</v>
      </c>
      <c r="J4" s="1">
        <f>'Data Sheet'!J43</f>
        <v>112608</v>
      </c>
      <c r="K4" s="1">
        <f>'Data Sheet'!K43</f>
        <v>119503</v>
      </c>
    </row>
    <row r="5" spans="1:11">
      <c r="A5" t="s">
        <v>7</v>
      </c>
      <c r="B5" s="6">
        <f>'Data Sheet'!B44</f>
        <v>77668.350000000006</v>
      </c>
      <c r="C5" s="6">
        <f>'Data Sheet'!C44</f>
        <v>92817.95</v>
      </c>
      <c r="D5" s="6">
        <f>'Data Sheet'!D44</f>
        <v>89019</v>
      </c>
      <c r="E5" s="6">
        <f>'Data Sheet'!E44</f>
        <v>91362</v>
      </c>
      <c r="F5" s="6">
        <f>'Data Sheet'!F44</f>
        <v>95159</v>
      </c>
      <c r="G5" s="6">
        <f>'Data Sheet'!G44</f>
        <v>102348</v>
      </c>
      <c r="H5" s="6">
        <f>'Data Sheet'!H44</f>
        <v>92263</v>
      </c>
      <c r="I5" s="6">
        <f>'Data Sheet'!I44</f>
        <v>89291</v>
      </c>
      <c r="J5" s="6">
        <f>'Data Sheet'!J44</f>
        <v>100185</v>
      </c>
      <c r="K5" s="6">
        <f>'Data Sheet'!K44</f>
        <v>102685</v>
      </c>
    </row>
    <row r="6" spans="1:11" s="2" customFormat="1">
      <c r="A6" s="2" t="s">
        <v>8</v>
      </c>
      <c r="B6" s="1">
        <f>'Data Sheet'!B51</f>
        <v>10820.24</v>
      </c>
      <c r="C6" s="1">
        <f>'Data Sheet'!C51</f>
        <v>13114.4</v>
      </c>
      <c r="D6" s="1">
        <f>'Data Sheet'!D51</f>
        <v>13217</v>
      </c>
      <c r="E6" s="1">
        <f>'Data Sheet'!E51</f>
        <v>13767</v>
      </c>
      <c r="F6" s="1">
        <f>'Data Sheet'!F51</f>
        <v>15418</v>
      </c>
      <c r="G6" s="1">
        <f>'Data Sheet'!G51</f>
        <v>16685</v>
      </c>
      <c r="H6" s="1">
        <f>'Data Sheet'!H51</f>
        <v>15785</v>
      </c>
      <c r="I6" s="1">
        <f>'Data Sheet'!I51</f>
        <v>12159</v>
      </c>
      <c r="J6" s="1">
        <f>'Data Sheet'!J51</f>
        <v>12423</v>
      </c>
      <c r="K6" s="1">
        <f>'Data Sheet'!K51</f>
        <v>16818</v>
      </c>
    </row>
    <row r="7" spans="1:11">
      <c r="A7" t="s">
        <v>9</v>
      </c>
      <c r="B7" s="6">
        <f>'Data Sheet'!B45</f>
        <v>1129.98</v>
      </c>
      <c r="C7" s="6">
        <f>'Data Sheet'!C45</f>
        <v>1452.86</v>
      </c>
      <c r="D7" s="6">
        <f>'Data Sheet'!D45</f>
        <v>895</v>
      </c>
      <c r="E7" s="6">
        <f>'Data Sheet'!E45</f>
        <v>1557</v>
      </c>
      <c r="F7" s="6">
        <f>'Data Sheet'!F45</f>
        <v>1604</v>
      </c>
      <c r="G7" s="6">
        <f>'Data Sheet'!G45</f>
        <v>1412</v>
      </c>
      <c r="H7" s="6">
        <f>'Data Sheet'!H45</f>
        <v>1747</v>
      </c>
      <c r="I7" s="6">
        <f>'Data Sheet'!I45</f>
        <v>1647</v>
      </c>
      <c r="J7" s="6">
        <f>'Data Sheet'!J45</f>
        <v>1700</v>
      </c>
      <c r="K7" s="6">
        <f>'Data Sheet'!K45</f>
        <v>1057</v>
      </c>
    </row>
    <row r="8" spans="1:11">
      <c r="A8" t="s">
        <v>10</v>
      </c>
      <c r="B8" s="6">
        <f>'Data Sheet'!B46</f>
        <v>6071.78</v>
      </c>
      <c r="C8" s="6">
        <f>'Data Sheet'!C46</f>
        <v>7050.2</v>
      </c>
      <c r="D8" s="6">
        <f>'Data Sheet'!D46</f>
        <v>6633</v>
      </c>
      <c r="E8" s="6">
        <f>'Data Sheet'!E46</f>
        <v>6637</v>
      </c>
      <c r="F8" s="6">
        <f>'Data Sheet'!F46</f>
        <v>6850</v>
      </c>
      <c r="G8" s="6">
        <f>'Data Sheet'!G46</f>
        <v>7143</v>
      </c>
      <c r="H8" s="6">
        <f>'Data Sheet'!H46</f>
        <v>6574</v>
      </c>
      <c r="I8" s="6">
        <f>'Data Sheet'!I46</f>
        <v>6005</v>
      </c>
      <c r="J8" s="6">
        <f>'Data Sheet'!J46</f>
        <v>5399</v>
      </c>
      <c r="K8" s="6">
        <f>'Data Sheet'!K46</f>
        <v>5295</v>
      </c>
    </row>
    <row r="9" spans="1:11">
      <c r="A9" t="s">
        <v>11</v>
      </c>
      <c r="B9" s="6">
        <f>'Data Sheet'!B47</f>
        <v>2675.83</v>
      </c>
      <c r="C9" s="6">
        <f>'Data Sheet'!C47</f>
        <v>2641.67</v>
      </c>
      <c r="D9" s="6">
        <f>'Data Sheet'!D47</f>
        <v>2615</v>
      </c>
      <c r="E9" s="6">
        <f>'Data Sheet'!E47</f>
        <v>2652</v>
      </c>
      <c r="F9" s="6">
        <f>'Data Sheet'!F47</f>
        <v>2485</v>
      </c>
      <c r="G9" s="6">
        <f>'Data Sheet'!G47</f>
        <v>1645</v>
      </c>
      <c r="H9" s="6">
        <f>'Data Sheet'!H47</f>
        <v>2088</v>
      </c>
      <c r="I9" s="6">
        <f>'Data Sheet'!I47</f>
        <v>2034</v>
      </c>
      <c r="J9" s="6">
        <f>'Data Sheet'!J47</f>
        <v>1119</v>
      </c>
      <c r="K9" s="6">
        <f>'Data Sheet'!K47</f>
        <v>1076</v>
      </c>
    </row>
    <row r="10" spans="1:11">
      <c r="A10" t="s">
        <v>12</v>
      </c>
      <c r="B10" s="6">
        <f>'Data Sheet'!B48</f>
        <v>3202.61</v>
      </c>
      <c r="C10" s="6">
        <f>'Data Sheet'!C48</f>
        <v>4875.3900000000003</v>
      </c>
      <c r="D10" s="6">
        <f>'Data Sheet'!D48</f>
        <v>4864</v>
      </c>
      <c r="E10" s="6">
        <f>'Data Sheet'!E48</f>
        <v>6035</v>
      </c>
      <c r="F10" s="6">
        <f>'Data Sheet'!F48</f>
        <v>7687</v>
      </c>
      <c r="G10" s="6">
        <f>'Data Sheet'!G48</f>
        <v>9309</v>
      </c>
      <c r="H10" s="6">
        <f>'Data Sheet'!H48</f>
        <v>8870</v>
      </c>
      <c r="I10" s="6">
        <f>'Data Sheet'!I48</f>
        <v>5767</v>
      </c>
      <c r="J10" s="6">
        <f>'Data Sheet'!J48</f>
        <v>7605</v>
      </c>
      <c r="K10" s="6">
        <f>'Data Sheet'!K48</f>
        <v>11504</v>
      </c>
    </row>
    <row r="11" spans="1:11">
      <c r="A11" t="s">
        <v>13</v>
      </c>
      <c r="B11" s="6">
        <f>'Data Sheet'!B49</f>
        <v>262.83</v>
      </c>
      <c r="C11" s="6">
        <f>'Data Sheet'!C49</f>
        <v>-620.65</v>
      </c>
      <c r="D11" s="6">
        <f>'Data Sheet'!D49</f>
        <v>1563</v>
      </c>
      <c r="E11" s="6">
        <f>'Data Sheet'!E49</f>
        <v>2203</v>
      </c>
      <c r="F11" s="6">
        <f>'Data Sheet'!F49</f>
        <v>542</v>
      </c>
      <c r="G11" s="6">
        <f>'Data Sheet'!G49</f>
        <v>-8219</v>
      </c>
      <c r="H11" s="6">
        <f>'Data Sheet'!H49</f>
        <v>3178</v>
      </c>
      <c r="I11" s="6">
        <f>'Data Sheet'!I49</f>
        <v>2317</v>
      </c>
      <c r="J11" s="6">
        <f>'Data Sheet'!J49</f>
        <v>2120</v>
      </c>
      <c r="K11" s="6">
        <f>'Data Sheet'!K49</f>
        <v>2948</v>
      </c>
    </row>
    <row r="12" spans="1:11" s="2" customFormat="1">
      <c r="A12" s="2" t="s">
        <v>14</v>
      </c>
      <c r="B12" s="1">
        <f>'Data Sheet'!B50</f>
        <v>2957.71</v>
      </c>
      <c r="C12" s="1">
        <f>'Data Sheet'!C50</f>
        <v>5407.79</v>
      </c>
      <c r="D12" s="1">
        <f>'Data Sheet'!D50</f>
        <v>3203</v>
      </c>
      <c r="E12" s="1">
        <f>'Data Sheet'!E50</f>
        <v>3764</v>
      </c>
      <c r="F12" s="1">
        <f>'Data Sheet'!F50</f>
        <v>7025</v>
      </c>
      <c r="G12" s="1">
        <f>'Data Sheet'!G50</f>
        <v>17407</v>
      </c>
      <c r="H12" s="1">
        <f>'Data Sheet'!H50</f>
        <v>5566</v>
      </c>
      <c r="I12" s="1">
        <f>'Data Sheet'!I50</f>
        <v>3343</v>
      </c>
      <c r="J12" s="1">
        <f>'Data Sheet'!J50</f>
        <v>5406</v>
      </c>
      <c r="K12" s="1">
        <f>'Data Sheet'!K50</f>
        <v>8470</v>
      </c>
    </row>
    <row r="14" spans="1:11" s="2" customFormat="1">
      <c r="A14" s="2" t="s">
        <v>18</v>
      </c>
      <c r="B14" s="10">
        <f>IF(B4&gt;0,B6/B4,"")</f>
        <v>0.12227836379808968</v>
      </c>
      <c r="C14" s="10">
        <f t="shared" ref="C14:K14" si="0">IF(C4&gt;0,C6/C4,"")</f>
        <v>0.1237997646611257</v>
      </c>
      <c r="D14" s="10">
        <f t="shared" si="0"/>
        <v>0.12927931452717242</v>
      </c>
      <c r="E14" s="10">
        <f t="shared" si="0"/>
        <v>0.1309534001084382</v>
      </c>
      <c r="F14" s="10">
        <f t="shared" si="0"/>
        <v>0.13943225082973856</v>
      </c>
      <c r="G14" s="10">
        <f t="shared" si="0"/>
        <v>0.14017121302495947</v>
      </c>
      <c r="H14" s="10">
        <f t="shared" si="0"/>
        <v>0.14609247741744411</v>
      </c>
      <c r="I14" s="10">
        <f t="shared" si="0"/>
        <v>0.11985214391325777</v>
      </c>
      <c r="J14" s="10">
        <f t="shared" si="0"/>
        <v>0.11032075873827792</v>
      </c>
      <c r="K14" s="10">
        <f t="shared" si="0"/>
        <v>0.14073286863091303</v>
      </c>
    </row>
    <row r="22" s="23" customFormat="1"/>
  </sheetData>
  <hyperlinks>
    <hyperlink ref="J1" r:id="rId1" xr:uid="{00000000-0004-0000-0100-000000000000}"/>
  </hyperlinks>
  <printOptions gridLines="1"/>
  <pageMargins left="0.7" right="0.7" top="0.75" bottom="0.75" header="0.3" footer="0.3"/>
  <pageSetup paperSize="9" scale="84" orientation="landscape" horizontalDpi="300" verticalDpi="300"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4"/>
  <sheetViews>
    <sheetView zoomScale="91" workbookViewId="0">
      <pane xSplit="1" ySplit="3" topLeftCell="E4" activePane="bottomRight" state="frozen"/>
      <selection activeCell="C4" sqref="C4"/>
      <selection pane="topRight" activeCell="C4" sqref="C4"/>
      <selection pane="bottomLeft" activeCell="C4" sqref="C4"/>
      <selection pane="bottomRight" activeCell="E8" sqref="E8"/>
    </sheetView>
  </sheetViews>
  <sheetFormatPr defaultColWidth="8.81640625" defaultRowHeight="14.5"/>
  <cols>
    <col min="1" max="1" width="22.81640625" bestFit="1" customWidth="1"/>
    <col min="2" max="2" width="13.453125" customWidth="1"/>
    <col min="3" max="11" width="15.453125" customWidth="1"/>
  </cols>
  <sheetData>
    <row r="1" spans="1:11" s="2" customFormat="1">
      <c r="A1" s="2" t="str">
        <f>'Profit &amp; Loss'!A1</f>
        <v>TATA MOTORS LTD</v>
      </c>
      <c r="E1" t="str">
        <f>UPDATE</f>
        <v/>
      </c>
      <c r="G1"/>
      <c r="J1" s="2" t="s">
        <v>1</v>
      </c>
    </row>
    <row r="2" spans="1:11">
      <c r="G2" s="2"/>
      <c r="H2" s="2"/>
    </row>
    <row r="3" spans="1:11">
      <c r="A3" s="11" t="s">
        <v>2</v>
      </c>
      <c r="B3" s="12">
        <f>'Data Sheet'!B57</f>
        <v>42460</v>
      </c>
      <c r="C3" s="12">
        <f>'Data Sheet'!C57</f>
        <v>42825</v>
      </c>
      <c r="D3" s="12">
        <f>'Data Sheet'!D57</f>
        <v>43190</v>
      </c>
      <c r="E3" s="12">
        <f>'Data Sheet'!E57</f>
        <v>43555</v>
      </c>
      <c r="F3" s="12">
        <f>'Data Sheet'!F57</f>
        <v>43921</v>
      </c>
      <c r="G3" s="12">
        <f>'Data Sheet'!G57</f>
        <v>44286</v>
      </c>
      <c r="H3" s="12">
        <f>'Data Sheet'!H57</f>
        <v>44651</v>
      </c>
      <c r="I3" s="12">
        <f>'Data Sheet'!I57</f>
        <v>45016</v>
      </c>
      <c r="J3" s="12">
        <f>'Data Sheet'!J57</f>
        <v>45382</v>
      </c>
      <c r="K3" s="12">
        <f>'Data Sheet'!K57</f>
        <v>45747</v>
      </c>
    </row>
    <row r="4" spans="1:11">
      <c r="A4" t="s">
        <v>24</v>
      </c>
      <c r="B4" s="14">
        <f>'Data Sheet'!B58</f>
        <v>679.18</v>
      </c>
      <c r="C4" s="14">
        <f>'Data Sheet'!C58</f>
        <v>679.22</v>
      </c>
      <c r="D4" s="14">
        <f>'Data Sheet'!D58</f>
        <v>679.22</v>
      </c>
      <c r="E4" s="14">
        <f>'Data Sheet'!E58</f>
        <v>679.22</v>
      </c>
      <c r="F4" s="14">
        <f>'Data Sheet'!F58</f>
        <v>719.54</v>
      </c>
      <c r="G4" s="14">
        <f>'Data Sheet'!G58</f>
        <v>765.81</v>
      </c>
      <c r="H4" s="14">
        <f>'Data Sheet'!H58</f>
        <v>765.88</v>
      </c>
      <c r="I4" s="14">
        <f>'Data Sheet'!I58</f>
        <v>766.02</v>
      </c>
      <c r="J4" s="14">
        <f>'Data Sheet'!J58</f>
        <v>767</v>
      </c>
      <c r="K4" s="14">
        <f>'Data Sheet'!K58</f>
        <v>736</v>
      </c>
    </row>
    <row r="5" spans="1:11">
      <c r="A5" t="s">
        <v>25</v>
      </c>
      <c r="B5" s="14">
        <f>'Data Sheet'!B59</f>
        <v>78273.23</v>
      </c>
      <c r="C5" s="14">
        <f>'Data Sheet'!C59</f>
        <v>57382.67</v>
      </c>
      <c r="D5" s="14">
        <f>'Data Sheet'!D59</f>
        <v>94748.69</v>
      </c>
      <c r="E5" s="14">
        <f>'Data Sheet'!E59</f>
        <v>59500.34</v>
      </c>
      <c r="F5" s="14">
        <f>'Data Sheet'!F59</f>
        <v>62358.99</v>
      </c>
      <c r="G5" s="14">
        <f>'Data Sheet'!G59</f>
        <v>54480.91</v>
      </c>
      <c r="H5" s="14">
        <f>'Data Sheet'!H59</f>
        <v>43795.360000000001</v>
      </c>
      <c r="I5" s="14">
        <f>'Data Sheet'!I59</f>
        <v>44555.77</v>
      </c>
      <c r="J5" s="14">
        <f>'Data Sheet'!J59</f>
        <v>84151</v>
      </c>
      <c r="K5" s="14">
        <f>'Data Sheet'!K59</f>
        <v>115408</v>
      </c>
    </row>
    <row r="6" spans="1:11">
      <c r="A6" t="s">
        <v>71</v>
      </c>
      <c r="B6" s="14">
        <f>'Data Sheet'!B60</f>
        <v>69359.960000000006</v>
      </c>
      <c r="C6" s="14">
        <f>'Data Sheet'!C60</f>
        <v>78603.98</v>
      </c>
      <c r="D6" s="14">
        <f>'Data Sheet'!D60</f>
        <v>88950.47</v>
      </c>
      <c r="E6" s="14">
        <f>'Data Sheet'!E60</f>
        <v>106175.34</v>
      </c>
      <c r="F6" s="14">
        <f>'Data Sheet'!F60</f>
        <v>124787.64</v>
      </c>
      <c r="G6" s="14">
        <f>'Data Sheet'!G60</f>
        <v>142130.57</v>
      </c>
      <c r="H6" s="14">
        <f>'Data Sheet'!H60</f>
        <v>146449.03</v>
      </c>
      <c r="I6" s="14">
        <f>'Data Sheet'!I60</f>
        <v>134113.44</v>
      </c>
      <c r="J6" s="14">
        <f>'Data Sheet'!J60</f>
        <v>107264</v>
      </c>
      <c r="K6" s="14">
        <f>'Data Sheet'!K60</f>
        <v>71540</v>
      </c>
    </row>
    <row r="7" spans="1:11">
      <c r="A7" t="s">
        <v>72</v>
      </c>
      <c r="B7" s="14">
        <f>'Data Sheet'!B61</f>
        <v>114871.75</v>
      </c>
      <c r="C7" s="14">
        <f>'Data Sheet'!C61</f>
        <v>135914.49</v>
      </c>
      <c r="D7" s="14">
        <f>'Data Sheet'!D61</f>
        <v>142813.43</v>
      </c>
      <c r="E7" s="14">
        <f>'Data Sheet'!E61</f>
        <v>139348.59</v>
      </c>
      <c r="F7" s="14">
        <f>'Data Sheet'!F61</f>
        <v>132313.22</v>
      </c>
      <c r="G7" s="14">
        <f>'Data Sheet'!G61</f>
        <v>144192.62</v>
      </c>
      <c r="H7" s="14">
        <f>'Data Sheet'!H61</f>
        <v>138051.22</v>
      </c>
      <c r="I7" s="14">
        <f>'Data Sheet'!I61</f>
        <v>155239.20000000001</v>
      </c>
      <c r="J7" s="14">
        <f>'Data Sheet'!J61</f>
        <v>177339</v>
      </c>
      <c r="K7" s="14">
        <f>'Data Sheet'!K61</f>
        <v>189289</v>
      </c>
    </row>
    <row r="8" spans="1:11" s="2" customFormat="1">
      <c r="A8" s="2" t="s">
        <v>26</v>
      </c>
      <c r="B8" s="15">
        <f>'Data Sheet'!B62</f>
        <v>263184.12</v>
      </c>
      <c r="C8" s="15">
        <f>'Data Sheet'!C62</f>
        <v>272580.36</v>
      </c>
      <c r="D8" s="15">
        <f>'Data Sheet'!D62</f>
        <v>327191.81</v>
      </c>
      <c r="E8" s="15">
        <f>'Data Sheet'!E62</f>
        <v>305703.49</v>
      </c>
      <c r="F8" s="15">
        <f>'Data Sheet'!F62</f>
        <v>320179.39</v>
      </c>
      <c r="G8" s="15">
        <f>'Data Sheet'!G62</f>
        <v>341569.91</v>
      </c>
      <c r="H8" s="15">
        <f>'Data Sheet'!H62</f>
        <v>329061.49</v>
      </c>
      <c r="I8" s="15">
        <f>'Data Sheet'!I62</f>
        <v>334674.43</v>
      </c>
      <c r="J8" s="15">
        <f>'Data Sheet'!J62</f>
        <v>369521</v>
      </c>
      <c r="K8" s="15">
        <f>'Data Sheet'!K62</f>
        <v>376973</v>
      </c>
    </row>
    <row r="9" spans="1:11" s="2" customFormat="1">
      <c r="B9" s="15"/>
      <c r="C9" s="15"/>
      <c r="D9" s="15"/>
      <c r="E9" s="15"/>
      <c r="F9" s="15"/>
      <c r="G9" s="15"/>
      <c r="H9" s="15"/>
      <c r="I9" s="15"/>
      <c r="J9" s="15"/>
      <c r="K9" s="15"/>
    </row>
    <row r="10" spans="1:11">
      <c r="A10" t="s">
        <v>27</v>
      </c>
      <c r="B10" s="14">
        <f>'Data Sheet'!B63</f>
        <v>107231.76</v>
      </c>
      <c r="C10" s="14">
        <f>'Data Sheet'!C63</f>
        <v>95944.08</v>
      </c>
      <c r="D10" s="14">
        <f>'Data Sheet'!D63</f>
        <v>121413.86</v>
      </c>
      <c r="E10" s="14">
        <f>'Data Sheet'!E63</f>
        <v>111234.47</v>
      </c>
      <c r="F10" s="14">
        <f>'Data Sheet'!F63</f>
        <v>127107.14</v>
      </c>
      <c r="G10" s="14">
        <f>'Data Sheet'!G63</f>
        <v>138707.60999999999</v>
      </c>
      <c r="H10" s="14">
        <f>'Data Sheet'!H63</f>
        <v>138855.45000000001</v>
      </c>
      <c r="I10" s="14">
        <f>'Data Sheet'!I63</f>
        <v>132079.76</v>
      </c>
      <c r="J10" s="14">
        <f>'Data Sheet'!J63</f>
        <v>121285</v>
      </c>
      <c r="K10" s="14">
        <f>'Data Sheet'!K63</f>
        <v>115697</v>
      </c>
    </row>
    <row r="11" spans="1:11">
      <c r="A11" t="s">
        <v>28</v>
      </c>
      <c r="B11" s="14">
        <f>'Data Sheet'!B64</f>
        <v>25918.94</v>
      </c>
      <c r="C11" s="14">
        <f>'Data Sheet'!C64</f>
        <v>33698.839999999997</v>
      </c>
      <c r="D11" s="14">
        <f>'Data Sheet'!D64</f>
        <v>40033.5</v>
      </c>
      <c r="E11" s="14">
        <f>'Data Sheet'!E64</f>
        <v>31883.84</v>
      </c>
      <c r="F11" s="14">
        <f>'Data Sheet'!F64</f>
        <v>35622.29</v>
      </c>
      <c r="G11" s="14">
        <f>'Data Sheet'!G64</f>
        <v>20963.93</v>
      </c>
      <c r="H11" s="14">
        <f>'Data Sheet'!H64</f>
        <v>10251.09</v>
      </c>
      <c r="I11" s="14">
        <f>'Data Sheet'!I64</f>
        <v>14274.5</v>
      </c>
      <c r="J11" s="14">
        <f>'Data Sheet'!J64</f>
        <v>35698</v>
      </c>
      <c r="K11" s="14">
        <f>'Data Sheet'!K64</f>
        <v>65806</v>
      </c>
    </row>
    <row r="12" spans="1:11">
      <c r="A12" t="s">
        <v>29</v>
      </c>
      <c r="B12" s="14">
        <f>'Data Sheet'!B65</f>
        <v>23767.02</v>
      </c>
      <c r="C12" s="14">
        <f>'Data Sheet'!C65</f>
        <v>20337.919999999998</v>
      </c>
      <c r="D12" s="14">
        <f>'Data Sheet'!D65</f>
        <v>20812.75</v>
      </c>
      <c r="E12" s="14">
        <f>'Data Sheet'!E65</f>
        <v>15770.72</v>
      </c>
      <c r="F12" s="14">
        <f>'Data Sheet'!F65</f>
        <v>16308.48</v>
      </c>
      <c r="G12" s="14">
        <f>'Data Sheet'!G65</f>
        <v>24620.28</v>
      </c>
      <c r="H12" s="14">
        <f>'Data Sheet'!H65</f>
        <v>29379.53</v>
      </c>
      <c r="I12" s="14">
        <f>'Data Sheet'!I65</f>
        <v>26379.16</v>
      </c>
      <c r="J12" s="14">
        <f>'Data Sheet'!J65</f>
        <v>22971</v>
      </c>
      <c r="K12" s="14">
        <f>'Data Sheet'!K65</f>
        <v>35656</v>
      </c>
    </row>
    <row r="13" spans="1:11">
      <c r="A13" t="s">
        <v>73</v>
      </c>
      <c r="B13" s="14">
        <f>'Data Sheet'!B66</f>
        <v>106266.4</v>
      </c>
      <c r="C13" s="14">
        <f>'Data Sheet'!C66</f>
        <v>122599.52</v>
      </c>
      <c r="D13" s="14">
        <f>'Data Sheet'!D66</f>
        <v>144931.70000000001</v>
      </c>
      <c r="E13" s="14">
        <f>'Data Sheet'!E66</f>
        <v>146814.46</v>
      </c>
      <c r="F13" s="14">
        <f>'Data Sheet'!F66</f>
        <v>141141.48000000001</v>
      </c>
      <c r="G13" s="14">
        <f>'Data Sheet'!G66</f>
        <v>157278.09</v>
      </c>
      <c r="H13" s="14">
        <f>'Data Sheet'!H66</f>
        <v>150575.42000000001</v>
      </c>
      <c r="I13" s="14">
        <f>'Data Sheet'!I66</f>
        <v>161941.01</v>
      </c>
      <c r="J13" s="14">
        <f>'Data Sheet'!J66</f>
        <v>189567</v>
      </c>
      <c r="K13" s="14">
        <f>'Data Sheet'!K66</f>
        <v>159814</v>
      </c>
    </row>
    <row r="14" spans="1:11" s="2" customFormat="1">
      <c r="A14" s="2" t="s">
        <v>26</v>
      </c>
      <c r="B14" s="14">
        <f>'Data Sheet'!B67</f>
        <v>263184.12</v>
      </c>
      <c r="C14" s="14">
        <f>'Data Sheet'!C67</f>
        <v>272580.36</v>
      </c>
      <c r="D14" s="14">
        <f>'Data Sheet'!D67</f>
        <v>327191.81</v>
      </c>
      <c r="E14" s="14">
        <f>'Data Sheet'!E67</f>
        <v>305703.49</v>
      </c>
      <c r="F14" s="14">
        <f>'Data Sheet'!F67</f>
        <v>320179.39</v>
      </c>
      <c r="G14" s="14">
        <f>'Data Sheet'!G67</f>
        <v>341569.91</v>
      </c>
      <c r="H14" s="14">
        <f>'Data Sheet'!H67</f>
        <v>329061.49</v>
      </c>
      <c r="I14" s="14">
        <f>'Data Sheet'!I67</f>
        <v>334674.43</v>
      </c>
      <c r="J14" s="14">
        <f>'Data Sheet'!J67</f>
        <v>369521</v>
      </c>
      <c r="K14" s="14">
        <f>'Data Sheet'!K67</f>
        <v>376973</v>
      </c>
    </row>
    <row r="15" spans="1:11">
      <c r="B15" s="4"/>
      <c r="C15" s="4"/>
      <c r="D15" s="4"/>
      <c r="E15" s="4"/>
      <c r="F15" s="4"/>
      <c r="G15" s="4"/>
      <c r="H15" s="4"/>
      <c r="I15" s="4"/>
      <c r="J15" s="4"/>
      <c r="K15" s="4"/>
    </row>
    <row r="16" spans="1:11">
      <c r="A16" t="s">
        <v>30</v>
      </c>
      <c r="B16" s="4">
        <f>B13-B7</f>
        <v>-8605.3500000000058</v>
      </c>
      <c r="C16" s="4">
        <f t="shared" ref="C16:K16" si="0">C13-C7</f>
        <v>-13314.969999999987</v>
      </c>
      <c r="D16" s="4">
        <f t="shared" si="0"/>
        <v>2118.2700000000186</v>
      </c>
      <c r="E16" s="4">
        <f t="shared" si="0"/>
        <v>7465.8699999999953</v>
      </c>
      <c r="F16" s="4">
        <f t="shared" si="0"/>
        <v>8828.2600000000093</v>
      </c>
      <c r="G16" s="4">
        <f t="shared" si="0"/>
        <v>13085.470000000001</v>
      </c>
      <c r="H16" s="4">
        <f t="shared" si="0"/>
        <v>12524.200000000012</v>
      </c>
      <c r="I16" s="4">
        <f t="shared" si="0"/>
        <v>6701.8099999999977</v>
      </c>
      <c r="J16" s="4">
        <f t="shared" si="0"/>
        <v>12228</v>
      </c>
      <c r="K16" s="4">
        <f t="shared" si="0"/>
        <v>-29475</v>
      </c>
    </row>
    <row r="17" spans="1:11">
      <c r="A17" t="s">
        <v>44</v>
      </c>
      <c r="B17" s="4">
        <f>'Data Sheet'!B68</f>
        <v>13570.91</v>
      </c>
      <c r="C17" s="4">
        <f>'Data Sheet'!C68</f>
        <v>14075.55</v>
      </c>
      <c r="D17" s="4">
        <f>'Data Sheet'!D68</f>
        <v>19893.3</v>
      </c>
      <c r="E17" s="4">
        <f>'Data Sheet'!E68</f>
        <v>18996.169999999998</v>
      </c>
      <c r="F17" s="4">
        <f>'Data Sheet'!F68</f>
        <v>11172.69</v>
      </c>
      <c r="G17" s="4">
        <f>'Data Sheet'!G68</f>
        <v>12679.08</v>
      </c>
      <c r="H17" s="4">
        <f>'Data Sheet'!H68</f>
        <v>12442.12</v>
      </c>
      <c r="I17" s="4">
        <f>'Data Sheet'!I68</f>
        <v>15737.97</v>
      </c>
      <c r="J17" s="4">
        <f>'Data Sheet'!J68</f>
        <v>16952</v>
      </c>
      <c r="K17" s="4">
        <f>'Data Sheet'!K68</f>
        <v>13248</v>
      </c>
    </row>
    <row r="18" spans="1:11">
      <c r="A18" t="s">
        <v>45</v>
      </c>
      <c r="B18" s="4">
        <f>'Data Sheet'!B69</f>
        <v>32655.73</v>
      </c>
      <c r="C18" s="4">
        <f>'Data Sheet'!C69</f>
        <v>35085.31</v>
      </c>
      <c r="D18" s="4">
        <f>'Data Sheet'!D69</f>
        <v>42137.63</v>
      </c>
      <c r="E18" s="4">
        <f>'Data Sheet'!E69</f>
        <v>39013.730000000003</v>
      </c>
      <c r="F18" s="4">
        <f>'Data Sheet'!F69</f>
        <v>37456.879999999997</v>
      </c>
      <c r="G18" s="4">
        <f>'Data Sheet'!G69</f>
        <v>36088.589999999997</v>
      </c>
      <c r="H18" s="4">
        <f>'Data Sheet'!H69</f>
        <v>35240.339999999997</v>
      </c>
      <c r="I18" s="4">
        <f>'Data Sheet'!I69</f>
        <v>40755.39</v>
      </c>
      <c r="J18" s="4">
        <f>'Data Sheet'!J69</f>
        <v>47788</v>
      </c>
      <c r="K18" s="4">
        <f>'Data Sheet'!K69</f>
        <v>47269</v>
      </c>
    </row>
    <row r="20" spans="1:11">
      <c r="A20" t="s">
        <v>46</v>
      </c>
      <c r="B20" s="4">
        <f>IF('Profit &amp; Loss'!B4&gt;0,'Balance Sheet'!B17/('Profit &amp; Loss'!B4/365),0)</f>
        <v>18.141226776772818</v>
      </c>
      <c r="C20" s="4">
        <f>IF('Profit &amp; Loss'!C4&gt;0,'Balance Sheet'!C17/('Profit &amp; Loss'!C4/365),0)</f>
        <v>19.049753180019717</v>
      </c>
      <c r="D20" s="4">
        <f>IF('Profit &amp; Loss'!D4&gt;0,'Balance Sheet'!D17/('Profit &amp; Loss'!D4/365),0)</f>
        <v>24.904964999543132</v>
      </c>
      <c r="E20" s="4">
        <f>IF('Profit &amp; Loss'!E4&gt;0,'Balance Sheet'!E17/('Profit &amp; Loss'!E4/365),0)</f>
        <v>22.963631157878556</v>
      </c>
      <c r="F20" s="4">
        <f>IF('Profit &amp; Loss'!F4&gt;0,'Balance Sheet'!F17/('Profit &amp; Loss'!F4/365),0)</f>
        <v>15.62057517051977</v>
      </c>
      <c r="G20" s="4">
        <f>IF('Profit &amp; Loss'!G4&gt;0,'Balance Sheet'!G17/('Profit &amp; Loss'!G4/365),0)</f>
        <v>18.526667193766084</v>
      </c>
      <c r="H20" s="4">
        <f>IF('Profit &amp; Loss'!H4&gt;0,'Balance Sheet'!H17/('Profit &amp; Loss'!H4/365),0)</f>
        <v>16.309264717046958</v>
      </c>
      <c r="I20" s="4">
        <f>IF('Profit &amp; Loss'!I4&gt;0,'Balance Sheet'!I17/('Profit &amp; Loss'!I4/365),0)</f>
        <v>16.603778823163381</v>
      </c>
      <c r="J20" s="4">
        <f>IF('Profit &amp; Loss'!J4&gt;0,'Balance Sheet'!J17/('Profit &amp; Loss'!J4/365),0)</f>
        <v>14.256340780063409</v>
      </c>
      <c r="K20" s="4">
        <f>IF('Profit &amp; Loss'!K4&gt;0,'Balance Sheet'!K17/('Profit &amp; Loss'!K4/365),0)</f>
        <v>10.9974414082489</v>
      </c>
    </row>
    <row r="21" spans="1:11">
      <c r="A21" t="s">
        <v>47</v>
      </c>
      <c r="B21" s="4">
        <f>IF('Balance Sheet'!B18&gt;0,'Profit &amp; Loss'!B4/'Balance Sheet'!B18,0)</f>
        <v>8.3613381173839922</v>
      </c>
      <c r="C21" s="4">
        <f>IF('Balance Sheet'!C18&gt;0,'Profit &amp; Loss'!C4/'Balance Sheet'!C18,0)</f>
        <v>7.6867643466738649</v>
      </c>
      <c r="D21" s="4">
        <f>IF('Balance Sheet'!D18&gt;0,'Profit &amp; Loss'!D4/'Balance Sheet'!D18,0)</f>
        <v>6.9190051742350009</v>
      </c>
      <c r="E21" s="4">
        <f>IF('Balance Sheet'!E18&gt;0,'Profit &amp; Loss'!E4/'Balance Sheet'!E18,0)</f>
        <v>7.7392856309817084</v>
      </c>
      <c r="F21" s="4">
        <f>IF('Balance Sheet'!F18&gt;0,'Profit &amp; Loss'!F4/'Balance Sheet'!F18,0)</f>
        <v>6.9698269049637886</v>
      </c>
      <c r="G21" s="4">
        <f>IF('Balance Sheet'!G18&gt;0,'Profit &amp; Loss'!G4/'Balance Sheet'!G18,0)</f>
        <v>6.9217098811563442</v>
      </c>
      <c r="H21" s="4">
        <f>IF('Balance Sheet'!H18&gt;0,'Profit &amp; Loss'!H4/'Balance Sheet'!H18,0)</f>
        <v>7.9015588385356104</v>
      </c>
      <c r="I21" s="4">
        <f>IF('Balance Sheet'!I18&gt;0,'Profit &amp; Loss'!I4/'Balance Sheet'!I18,0)</f>
        <v>8.4888641723217457</v>
      </c>
      <c r="J21" s="4">
        <f>IF('Balance Sheet'!J18&gt;0,'Profit &amp; Loss'!J4/'Balance Sheet'!J18,0)</f>
        <v>9.0821126642671803</v>
      </c>
      <c r="K21" s="4">
        <f>IF('Balance Sheet'!K18&gt;0,'Profit &amp; Loss'!K4/'Balance Sheet'!K18,0)</f>
        <v>9.3019738094734397</v>
      </c>
    </row>
    <row r="23" spans="1:11" s="2" customFormat="1">
      <c r="A23" s="2" t="s">
        <v>59</v>
      </c>
      <c r="B23" s="10">
        <f>IF(SUM('Balance Sheet'!B4:B5)&gt;0,'Profit &amp; Loss'!B12/SUM('Balance Sheet'!B4:B5),"")</f>
        <v>0.14666189417143824</v>
      </c>
      <c r="C23" s="10">
        <f>IF(SUM('Balance Sheet'!C4:C5)&gt;0,'Profit &amp; Loss'!C12/SUM('Balance Sheet'!C4:C5),"")</f>
        <v>0.1283864510783235</v>
      </c>
      <c r="D23" s="10">
        <f>IF(SUM('Balance Sheet'!D4:D5)&gt;0,'Profit &amp; Loss'!D12/SUM('Balance Sheet'!D4:D5),"")</f>
        <v>9.4195817554843228E-2</v>
      </c>
      <c r="E23" s="10">
        <f>IF(SUM('Balance Sheet'!E4:E5)&gt;0,'Profit &amp; Loss'!E12/SUM('Balance Sheet'!E4:E5),"")</f>
        <v>-0.47900366835516911</v>
      </c>
      <c r="F23" s="10">
        <f>IF(SUM('Balance Sheet'!F4:F5)&gt;0,'Profit &amp; Loss'!F12/SUM('Balance Sheet'!F4:F5),"")</f>
        <v>-0.19136225907610721</v>
      </c>
      <c r="G23" s="10">
        <f>IF(SUM('Balance Sheet'!G4:G5)&gt;0,'Profit &amp; Loss'!G12/SUM('Balance Sheet'!G4:G5),"")</f>
        <v>-0.24347852687001145</v>
      </c>
      <c r="H23" s="10">
        <f>IF(SUM('Balance Sheet'!H4:H5)&gt;0,'Profit &amp; Loss'!H12/SUM('Balance Sheet'!H4:H5),"")</f>
        <v>-0.25675833975894746</v>
      </c>
      <c r="I23" s="10">
        <f>IF(SUM('Balance Sheet'!I4:I5)&gt;0,'Profit &amp; Loss'!I12/SUM('Balance Sheet'!I4:I5),"")</f>
        <v>5.326996131441411E-2</v>
      </c>
      <c r="J23" s="10">
        <f>IF(SUM('Balance Sheet'!J4:J5)&gt;0,'Profit &amp; Loss'!J12/SUM('Balance Sheet'!J4:J5),"")</f>
        <v>0.36975670646977082</v>
      </c>
      <c r="K23" s="10">
        <f>IF(SUM('Balance Sheet'!K4:K5)&gt;0,'Profit &amp; Loss'!K12/SUM('Balance Sheet'!K4:K5),"")</f>
        <v>0.23961633833861412</v>
      </c>
    </row>
    <row r="24" spans="1:11" s="2" customFormat="1">
      <c r="A24" s="2" t="s">
        <v>60</v>
      </c>
      <c r="B24" s="10"/>
      <c r="C24" s="10">
        <f>IF((B4+B5+B6+C4+C5+C6)&gt;0,('Profit &amp; Loss'!C10+'Profit &amp; Loss'!C9)*2/(B4+B5+B6+C4+C5+C6),"")</f>
        <v>9.5114630506525702E-2</v>
      </c>
      <c r="D24" s="10">
        <f>IF((C4+C5+C6+D4+D5+D6)&gt;0,('Profit &amp; Loss'!D10+'Profit &amp; Loss'!D9)*2/(C4+C5+C6+D4+D5+D6),"")</f>
        <v>9.8658175625322669E-2</v>
      </c>
      <c r="E24" s="10">
        <f>IF((D4+D5+D6+E4+E5+E6)&gt;0,('Profit &amp; Loss'!E10+'Profit &amp; Loss'!E9)*2/(D4+D5+D6+E4+E5+E6),"")</f>
        <v>-0.14605143828951733</v>
      </c>
      <c r="F24" s="10">
        <f>IF((E4+E5+E6+F4+F5+F6)&gt;0,('Profit &amp; Loss'!F10+'Profit &amp; Loss'!F9)*2/(E4+E5+E6+F4+F5+F6),"")</f>
        <v>-1.8839364919766063E-2</v>
      </c>
      <c r="G24" s="10">
        <f>IF((F4+F5+F6+G4+G5+G6)&gt;0,('Profit &amp; Loss'!G10+'Profit &amp; Loss'!G9)*2/(F4+F5+F6+G4+G5+G6),"")</f>
        <v>-1.2340819491134259E-2</v>
      </c>
      <c r="H24" s="10">
        <f>IF((G4+G5+G6+H4+H5+H6)&gt;0,('Profit &amp; Loss'!H10+'Profit &amp; Loss'!H9)*2/(G4+G5+G6+H4+H5+H6),"")</f>
        <v>1.1887352931695343E-2</v>
      </c>
      <c r="I24" s="10">
        <f>IF((H4+H5+H6+I4+I5+I6)&gt;0,('Profit &amp; Loss'!I10+'Profit &amp; Loss'!I9)*2/(H4+H5+H6+I4+I5+I6),"")</f>
        <v>7.3529898460097373E-2</v>
      </c>
      <c r="J24" s="10">
        <f>IF((I4+I5+I6+J4+J5+J6)&gt;0,('Profit &amp; Loss'!J10+'Profit &amp; Loss'!J9)*2/(I4+I5+I6+J4+J5+J6),"")</f>
        <v>0.19039483180045233</v>
      </c>
      <c r="K24" s="10">
        <f>IF((J4+J5+J6+K4+K5+K6)&gt;0,('Profit &amp; Loss'!K10+'Profit &amp; Loss'!K9)*2/(J4+J5+J6+K4+K5+K6),"")</f>
        <v>0.23026014436669773</v>
      </c>
    </row>
  </sheetData>
  <hyperlinks>
    <hyperlink ref="J1" r:id="rId1" xr:uid="{00000000-0004-0000-0200-000000000000}"/>
  </hyperlinks>
  <printOptions gridLines="1"/>
  <pageMargins left="0.7" right="0.7" top="0.75" bottom="0.75" header="0.3" footer="0.3"/>
  <pageSetup paperSize="9" scale="74"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8"/>
  <sheetViews>
    <sheetView zoomScale="116" zoomScaleNormal="150" zoomScalePageLayoutView="150" workbookViewId="0">
      <pane xSplit="1" ySplit="3" topLeftCell="E4" activePane="bottomRight" state="frozen"/>
      <selection pane="topRight" activeCell="B1" sqref="B1"/>
      <selection pane="bottomLeft" activeCell="A4" sqref="A4"/>
      <selection pane="bottomRight" activeCell="K5" sqref="K5"/>
    </sheetView>
  </sheetViews>
  <sheetFormatPr defaultColWidth="8.81640625" defaultRowHeight="14.5"/>
  <cols>
    <col min="1" max="1" width="26.81640625" bestFit="1" customWidth="1"/>
    <col min="2" max="6" width="13.453125" customWidth="1"/>
    <col min="7" max="11" width="13.453125" bestFit="1" customWidth="1"/>
  </cols>
  <sheetData>
    <row r="1" spans="1:11" s="2" customFormat="1">
      <c r="A1" s="2" t="str">
        <f>'Balance Sheet'!A1</f>
        <v>TATA MOTORS LTD</v>
      </c>
      <c r="E1" t="str">
        <f>UPDATE</f>
        <v/>
      </c>
      <c r="F1"/>
      <c r="J1" s="2" t="s">
        <v>1</v>
      </c>
    </row>
    <row r="3" spans="1:11" s="2" customFormat="1">
      <c r="A3" s="11" t="s">
        <v>2</v>
      </c>
      <c r="B3" s="12">
        <f>'Data Sheet'!B82</f>
        <v>42460</v>
      </c>
      <c r="C3" s="12">
        <f>'Data Sheet'!C82</f>
        <v>42825</v>
      </c>
      <c r="D3" s="12">
        <f>'Data Sheet'!D82</f>
        <v>43190</v>
      </c>
      <c r="E3" s="12">
        <f>'Data Sheet'!E82</f>
        <v>43555</v>
      </c>
      <c r="F3" s="12">
        <f>'Data Sheet'!F82</f>
        <v>43921</v>
      </c>
      <c r="G3" s="12">
        <f>'Data Sheet'!G82</f>
        <v>44286</v>
      </c>
      <c r="H3" s="12">
        <f>'Data Sheet'!H82</f>
        <v>44651</v>
      </c>
      <c r="I3" s="12">
        <f>'Data Sheet'!I82</f>
        <v>45016</v>
      </c>
      <c r="J3" s="12">
        <f>'Data Sheet'!J82</f>
        <v>45382</v>
      </c>
      <c r="K3" s="12">
        <f>'Data Sheet'!K82</f>
        <v>45747</v>
      </c>
    </row>
    <row r="4" spans="1:11" s="2" customFormat="1">
      <c r="A4" s="2" t="s">
        <v>32</v>
      </c>
      <c r="B4" s="1">
        <f>'Data Sheet'!B83</f>
        <v>37899.54</v>
      </c>
      <c r="C4" s="1">
        <f>'Data Sheet'!C83</f>
        <v>30199.25</v>
      </c>
      <c r="D4" s="1">
        <f>'Data Sheet'!D83</f>
        <v>23857.42</v>
      </c>
      <c r="E4" s="1">
        <f>'Data Sheet'!E83</f>
        <v>18890.75</v>
      </c>
      <c r="F4" s="1">
        <f>'Data Sheet'!F83</f>
        <v>26632.94</v>
      </c>
      <c r="G4" s="1">
        <f>'Data Sheet'!G83</f>
        <v>29000.51</v>
      </c>
      <c r="H4" s="1">
        <f>'Data Sheet'!H83</f>
        <v>14282.83</v>
      </c>
      <c r="I4" s="1">
        <f>'Data Sheet'!I83</f>
        <v>35388.01</v>
      </c>
      <c r="J4" s="1">
        <f>'Data Sheet'!J83</f>
        <v>67915</v>
      </c>
      <c r="K4" s="1">
        <f>'Data Sheet'!K83</f>
        <v>63102</v>
      </c>
    </row>
    <row r="5" spans="1:11">
      <c r="A5" t="s">
        <v>33</v>
      </c>
      <c r="B5" s="6">
        <f>'Data Sheet'!B84</f>
        <v>-36693.9</v>
      </c>
      <c r="C5" s="6">
        <f>'Data Sheet'!C84</f>
        <v>-39571.4</v>
      </c>
      <c r="D5" s="6">
        <f>'Data Sheet'!D84</f>
        <v>-25139.14</v>
      </c>
      <c r="E5" s="6">
        <f>'Data Sheet'!E84</f>
        <v>-20878.07</v>
      </c>
      <c r="F5" s="6">
        <f>'Data Sheet'!F84</f>
        <v>-33114.550000000003</v>
      </c>
      <c r="G5" s="6">
        <f>'Data Sheet'!G84</f>
        <v>-25672.5</v>
      </c>
      <c r="H5" s="6">
        <f>'Data Sheet'!H84</f>
        <v>-4443.66</v>
      </c>
      <c r="I5" s="6">
        <f>'Data Sheet'!I84</f>
        <v>-15417.17</v>
      </c>
      <c r="J5" s="6">
        <f>'Data Sheet'!J84</f>
        <v>-22781</v>
      </c>
      <c r="K5" s="6">
        <f>'Data Sheet'!K84</f>
        <v>-49982</v>
      </c>
    </row>
    <row r="6" spans="1:11">
      <c r="A6" t="s">
        <v>34</v>
      </c>
      <c r="B6" s="6">
        <f>'Data Sheet'!B85</f>
        <v>-3795.12</v>
      </c>
      <c r="C6" s="6">
        <f>'Data Sheet'!C85</f>
        <v>6205.3</v>
      </c>
      <c r="D6" s="6">
        <f>'Data Sheet'!D85</f>
        <v>2011.71</v>
      </c>
      <c r="E6" s="6">
        <f>'Data Sheet'!E85</f>
        <v>8830.3700000000008</v>
      </c>
      <c r="F6" s="6">
        <f>'Data Sheet'!F85</f>
        <v>3389.61</v>
      </c>
      <c r="G6" s="6">
        <f>'Data Sheet'!G85</f>
        <v>9904.2000000000007</v>
      </c>
      <c r="H6" s="6">
        <f>'Data Sheet'!H85</f>
        <v>-3380.17</v>
      </c>
      <c r="I6" s="6">
        <f>'Data Sheet'!I85</f>
        <v>-26242.9</v>
      </c>
      <c r="J6" s="6">
        <f>'Data Sheet'!J85</f>
        <v>-37006</v>
      </c>
      <c r="K6" s="6">
        <f>'Data Sheet'!K85</f>
        <v>-18786</v>
      </c>
    </row>
    <row r="7" spans="1:11" s="2" customFormat="1">
      <c r="A7" s="2" t="s">
        <v>35</v>
      </c>
      <c r="B7" s="1">
        <f>'Data Sheet'!B86</f>
        <v>-2589.48</v>
      </c>
      <c r="C7" s="1">
        <f>'Data Sheet'!C86</f>
        <v>-3166.85</v>
      </c>
      <c r="D7" s="1">
        <f>'Data Sheet'!D86</f>
        <v>729.99</v>
      </c>
      <c r="E7" s="1">
        <f>'Data Sheet'!E86</f>
        <v>6843.05</v>
      </c>
      <c r="F7" s="1">
        <f>'Data Sheet'!F86</f>
        <v>-3092</v>
      </c>
      <c r="G7" s="1">
        <f>'Data Sheet'!G86</f>
        <v>13232.21</v>
      </c>
      <c r="H7" s="1">
        <f>'Data Sheet'!H86</f>
        <v>6459</v>
      </c>
      <c r="I7" s="1">
        <f>'Data Sheet'!I86</f>
        <v>-6272.06</v>
      </c>
      <c r="J7" s="1">
        <f>'Data Sheet'!J86</f>
        <v>8128</v>
      </c>
      <c r="K7" s="1">
        <f>'Data Sheet'!K86</f>
        <v>-5666</v>
      </c>
    </row>
    <row r="8" spans="1:11">
      <c r="B8" s="6"/>
      <c r="C8" s="6"/>
      <c r="D8" s="6"/>
      <c r="E8" s="6"/>
      <c r="F8" s="6"/>
      <c r="G8" s="6"/>
      <c r="H8" s="6"/>
      <c r="I8" s="6"/>
      <c r="J8" s="6"/>
      <c r="K8" s="6"/>
    </row>
  </sheetData>
  <hyperlinks>
    <hyperlink ref="J1" r:id="rId1" xr:uid="{00000000-0004-0000-0300-000000000000}"/>
  </hyperlinks>
  <printOptions gridLines="1"/>
  <pageMargins left="0.7" right="0.7" top="0.75" bottom="0.75" header="0.3" footer="0.3"/>
  <pageSetup paperSize="9" scale="81"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EBA5A-AC69-4413-A87B-7596873FDD90}">
  <sheetPr codeName="Sheet7"/>
  <dimension ref="B2:M35"/>
  <sheetViews>
    <sheetView workbookViewId="0">
      <selection sqref="A1:A1048576"/>
    </sheetView>
  </sheetViews>
  <sheetFormatPr defaultRowHeight="14.5"/>
  <cols>
    <col min="1" max="1" width="1.90625" customWidth="1"/>
    <col min="2" max="2" width="26.26953125" bestFit="1" customWidth="1"/>
    <col min="3" max="13" width="10.54296875" customWidth="1"/>
  </cols>
  <sheetData>
    <row r="2" spans="2:13">
      <c r="B2" s="83" t="s">
        <v>226</v>
      </c>
      <c r="C2" s="126">
        <v>42430</v>
      </c>
      <c r="D2" s="126">
        <v>42795</v>
      </c>
      <c r="E2" s="126">
        <v>43160</v>
      </c>
      <c r="F2" s="126">
        <v>43525</v>
      </c>
      <c r="G2" s="126">
        <v>43891</v>
      </c>
      <c r="H2" s="126">
        <v>44256</v>
      </c>
      <c r="I2" s="126">
        <v>44621</v>
      </c>
      <c r="J2" s="126">
        <v>44986</v>
      </c>
      <c r="K2" s="126">
        <v>45352</v>
      </c>
      <c r="L2" s="126">
        <v>45717</v>
      </c>
    </row>
    <row r="3" spans="2:13">
      <c r="B3" s="2" t="s">
        <v>148</v>
      </c>
      <c r="C3" s="34">
        <v>37900</v>
      </c>
      <c r="D3" s="34">
        <v>30199</v>
      </c>
      <c r="E3" s="34">
        <v>23857</v>
      </c>
      <c r="F3" s="34">
        <v>18891</v>
      </c>
      <c r="G3" s="34">
        <v>26633</v>
      </c>
      <c r="H3" s="34">
        <v>29001</v>
      </c>
      <c r="I3" s="34">
        <v>14283</v>
      </c>
      <c r="J3" s="34">
        <v>35388</v>
      </c>
      <c r="K3" s="34">
        <v>67915</v>
      </c>
      <c r="L3" s="34">
        <v>63102</v>
      </c>
    </row>
    <row r="4" spans="2:13">
      <c r="B4" t="s">
        <v>123</v>
      </c>
      <c r="C4" s="34">
        <v>38626</v>
      </c>
      <c r="D4" s="34">
        <v>28840</v>
      </c>
      <c r="E4" s="34">
        <v>33312</v>
      </c>
      <c r="F4" s="34">
        <v>28771</v>
      </c>
      <c r="G4" s="34">
        <v>23352</v>
      </c>
      <c r="H4" s="34">
        <v>31198</v>
      </c>
      <c r="I4" s="34">
        <v>26943</v>
      </c>
      <c r="J4" s="34">
        <v>41694</v>
      </c>
      <c r="K4" s="34">
        <v>65106</v>
      </c>
      <c r="L4" s="34">
        <v>58937</v>
      </c>
    </row>
    <row r="5" spans="2:13">
      <c r="B5" t="s">
        <v>78</v>
      </c>
      <c r="C5" s="34">
        <v>-2223</v>
      </c>
      <c r="D5" s="34">
        <v>-4152</v>
      </c>
      <c r="E5" s="34">
        <v>-10688</v>
      </c>
      <c r="F5" s="34">
        <v>-9109</v>
      </c>
      <c r="G5" s="34">
        <v>9950</v>
      </c>
      <c r="H5" s="34">
        <v>-5505</v>
      </c>
      <c r="I5">
        <v>185</v>
      </c>
      <c r="J5" s="34">
        <v>-2213</v>
      </c>
      <c r="K5" s="34">
        <v>-1876</v>
      </c>
      <c r="L5" s="34">
        <v>3573</v>
      </c>
    </row>
    <row r="6" spans="2:13">
      <c r="B6" t="s">
        <v>45</v>
      </c>
      <c r="C6" s="34">
        <v>-5743</v>
      </c>
      <c r="D6" s="34">
        <v>-6621</v>
      </c>
      <c r="E6" s="34">
        <v>-3560</v>
      </c>
      <c r="F6" s="34">
        <v>2069</v>
      </c>
      <c r="G6" s="34">
        <v>2326</v>
      </c>
      <c r="H6" s="34">
        <v>3814</v>
      </c>
      <c r="I6">
        <v>472</v>
      </c>
      <c r="J6" s="34">
        <v>-5665</v>
      </c>
      <c r="K6" s="34">
        <v>-7265</v>
      </c>
      <c r="L6" s="34">
        <v>2127</v>
      </c>
      <c r="M6" s="34"/>
    </row>
    <row r="7" spans="2:13">
      <c r="B7" t="s">
        <v>124</v>
      </c>
      <c r="C7" s="34">
        <v>3947</v>
      </c>
      <c r="D7" s="34">
        <v>9301</v>
      </c>
      <c r="E7" s="34">
        <v>7320</v>
      </c>
      <c r="F7" s="34">
        <v>-4692</v>
      </c>
      <c r="G7" s="34">
        <v>-8085</v>
      </c>
      <c r="H7" s="34">
        <v>5748</v>
      </c>
      <c r="I7" s="34">
        <v>-7012</v>
      </c>
      <c r="J7" s="34">
        <v>6945</v>
      </c>
      <c r="K7" s="34">
        <v>13706</v>
      </c>
      <c r="L7" s="34">
        <v>1303</v>
      </c>
      <c r="M7" s="34"/>
    </row>
    <row r="8" spans="2:13">
      <c r="B8" t="s">
        <v>125</v>
      </c>
      <c r="C8">
        <v>-520</v>
      </c>
      <c r="D8">
        <v>0</v>
      </c>
      <c r="E8">
        <v>0</v>
      </c>
      <c r="F8">
        <v>0</v>
      </c>
      <c r="G8">
        <v>0</v>
      </c>
      <c r="H8">
        <v>0</v>
      </c>
      <c r="I8">
        <v>0</v>
      </c>
      <c r="J8">
        <v>0</v>
      </c>
      <c r="K8">
        <v>0</v>
      </c>
      <c r="L8">
        <v>0</v>
      </c>
      <c r="M8" s="34"/>
    </row>
    <row r="9" spans="2:13">
      <c r="B9" t="s">
        <v>126</v>
      </c>
      <c r="C9" s="34">
        <v>5852</v>
      </c>
      <c r="D9" s="34">
        <v>4727</v>
      </c>
      <c r="E9">
        <v>494</v>
      </c>
      <c r="F9" s="34">
        <v>4512</v>
      </c>
      <c r="G9">
        <v>875</v>
      </c>
      <c r="H9" s="34">
        <v>-4150</v>
      </c>
      <c r="I9" s="34">
        <v>-4396</v>
      </c>
      <c r="J9" s="34">
        <v>-2194</v>
      </c>
      <c r="K9" s="34">
        <v>2760</v>
      </c>
      <c r="L9" s="34">
        <v>1153</v>
      </c>
    </row>
    <row r="10" spans="2:13">
      <c r="B10" t="s">
        <v>127</v>
      </c>
      <c r="C10" s="34">
        <v>1313</v>
      </c>
      <c r="D10" s="34">
        <v>3254</v>
      </c>
      <c r="E10" s="34">
        <v>-6434</v>
      </c>
      <c r="F10" s="34">
        <v>-7221</v>
      </c>
      <c r="G10" s="34">
        <v>5065</v>
      </c>
      <c r="H10">
        <v>-93</v>
      </c>
      <c r="I10" s="34">
        <v>-10750</v>
      </c>
      <c r="J10" s="34">
        <v>-3127</v>
      </c>
      <c r="K10" s="34">
        <v>7325</v>
      </c>
      <c r="L10" s="34">
        <v>8156</v>
      </c>
    </row>
    <row r="11" spans="2:13">
      <c r="B11" t="s">
        <v>128</v>
      </c>
      <c r="C11" s="34">
        <v>-2040</v>
      </c>
      <c r="D11" s="34">
        <v>-1895</v>
      </c>
      <c r="E11" s="34">
        <v>-3021</v>
      </c>
      <c r="F11" s="34">
        <v>-2659</v>
      </c>
      <c r="G11" s="34">
        <v>-1785</v>
      </c>
      <c r="H11" s="34">
        <v>-2105</v>
      </c>
      <c r="I11" s="34">
        <v>-1910</v>
      </c>
      <c r="J11" s="34">
        <v>-3179</v>
      </c>
      <c r="K11" s="34">
        <v>-4516</v>
      </c>
      <c r="L11" s="34">
        <v>-3991</v>
      </c>
    </row>
    <row r="12" spans="2:13">
      <c r="C12" s="34"/>
      <c r="D12" s="34"/>
      <c r="E12" s="34"/>
      <c r="F12" s="34"/>
      <c r="G12" s="34"/>
      <c r="H12" s="34"/>
      <c r="I12" s="34"/>
      <c r="J12" s="34"/>
      <c r="K12" s="34"/>
      <c r="L12" s="34"/>
    </row>
    <row r="13" spans="2:13">
      <c r="B13" s="2" t="s">
        <v>149</v>
      </c>
      <c r="C13" s="34">
        <v>-36694</v>
      </c>
      <c r="D13" s="34">
        <v>-39571</v>
      </c>
      <c r="E13" s="34">
        <v>-25139</v>
      </c>
      <c r="F13" s="34">
        <v>-20878</v>
      </c>
      <c r="G13" s="34">
        <v>-33115</v>
      </c>
      <c r="H13" s="34">
        <v>-25672</v>
      </c>
      <c r="I13" s="34">
        <v>-4444</v>
      </c>
      <c r="J13" s="34">
        <v>-15417</v>
      </c>
      <c r="K13" s="34">
        <v>-22781</v>
      </c>
      <c r="L13" s="34">
        <v>-49982</v>
      </c>
    </row>
    <row r="14" spans="2:13">
      <c r="B14" t="s">
        <v>129</v>
      </c>
      <c r="C14" s="34">
        <v>-31503</v>
      </c>
      <c r="D14" s="34">
        <v>-16072</v>
      </c>
      <c r="E14" s="34">
        <v>-35079</v>
      </c>
      <c r="F14" s="34">
        <v>-35304</v>
      </c>
      <c r="G14" s="34">
        <v>-29702</v>
      </c>
      <c r="H14" s="34">
        <v>-20205</v>
      </c>
      <c r="I14" s="34">
        <v>-15168</v>
      </c>
      <c r="J14" s="34">
        <v>-19230</v>
      </c>
      <c r="K14" s="34">
        <v>-31414</v>
      </c>
      <c r="L14" s="34">
        <v>-38042</v>
      </c>
    </row>
    <row r="15" spans="2:13">
      <c r="B15" t="s">
        <v>130</v>
      </c>
      <c r="C15">
        <v>59</v>
      </c>
      <c r="D15">
        <v>53</v>
      </c>
      <c r="E15">
        <v>30</v>
      </c>
      <c r="F15">
        <v>67</v>
      </c>
      <c r="G15">
        <v>171</v>
      </c>
      <c r="H15">
        <v>351</v>
      </c>
      <c r="I15">
        <v>230</v>
      </c>
      <c r="J15">
        <v>285</v>
      </c>
      <c r="K15">
        <v>231</v>
      </c>
      <c r="L15">
        <v>974</v>
      </c>
    </row>
    <row r="16" spans="2:13">
      <c r="B16" t="s">
        <v>131</v>
      </c>
      <c r="C16" s="34">
        <v>-4728</v>
      </c>
      <c r="D16">
        <v>-6</v>
      </c>
      <c r="E16">
        <v>-329</v>
      </c>
      <c r="F16">
        <v>-130</v>
      </c>
      <c r="G16" s="34">
        <v>-1439</v>
      </c>
      <c r="H16" s="34">
        <v>-7530</v>
      </c>
      <c r="I16" s="34">
        <v>-3008</v>
      </c>
      <c r="J16">
        <v>-50</v>
      </c>
      <c r="K16">
        <v>-74</v>
      </c>
      <c r="L16" s="34">
        <v>-12677</v>
      </c>
    </row>
    <row r="17" spans="2:12">
      <c r="B17" t="s">
        <v>132</v>
      </c>
      <c r="C17">
        <v>89</v>
      </c>
      <c r="D17" s="34">
        <v>1965</v>
      </c>
      <c r="E17" s="34">
        <v>2381</v>
      </c>
      <c r="F17" s="34">
        <v>5644</v>
      </c>
      <c r="G17">
        <v>21</v>
      </c>
      <c r="H17">
        <v>226</v>
      </c>
      <c r="I17">
        <v>104</v>
      </c>
      <c r="J17" s="34">
        <v>6895</v>
      </c>
      <c r="K17" s="34">
        <v>10821</v>
      </c>
      <c r="L17">
        <v>111</v>
      </c>
    </row>
    <row r="18" spans="2:12">
      <c r="B18" t="s">
        <v>133</v>
      </c>
      <c r="C18">
        <v>731</v>
      </c>
      <c r="D18">
        <v>638</v>
      </c>
      <c r="E18">
        <v>690</v>
      </c>
      <c r="F18">
        <v>761</v>
      </c>
      <c r="G18" s="34">
        <v>1104</v>
      </c>
      <c r="H18">
        <v>428</v>
      </c>
      <c r="I18">
        <v>653</v>
      </c>
      <c r="J18">
        <v>973</v>
      </c>
      <c r="K18" s="34">
        <v>2493</v>
      </c>
      <c r="L18" s="34">
        <v>2420</v>
      </c>
    </row>
    <row r="19" spans="2:12">
      <c r="B19" t="s">
        <v>134</v>
      </c>
      <c r="C19">
        <v>58</v>
      </c>
      <c r="D19">
        <v>620</v>
      </c>
      <c r="E19" s="34">
        <v>1797</v>
      </c>
      <c r="F19">
        <v>232</v>
      </c>
      <c r="G19">
        <v>21</v>
      </c>
      <c r="H19">
        <v>18</v>
      </c>
      <c r="I19">
        <v>32</v>
      </c>
      <c r="J19">
        <v>46</v>
      </c>
      <c r="K19">
        <v>47</v>
      </c>
      <c r="L19">
        <v>64</v>
      </c>
    </row>
    <row r="20" spans="2:12">
      <c r="B20" t="s">
        <v>135</v>
      </c>
      <c r="C20">
        <v>0</v>
      </c>
      <c r="D20">
        <v>-107</v>
      </c>
      <c r="E20">
        <v>-4</v>
      </c>
      <c r="F20">
        <v>-9</v>
      </c>
      <c r="G20">
        <v>-606</v>
      </c>
      <c r="H20">
        <v>-10</v>
      </c>
      <c r="I20">
        <v>0</v>
      </c>
      <c r="J20">
        <v>0</v>
      </c>
      <c r="K20">
        <v>-150</v>
      </c>
      <c r="L20">
        <v>0</v>
      </c>
    </row>
    <row r="21" spans="2:12">
      <c r="B21" t="s">
        <v>136</v>
      </c>
      <c r="C21">
        <v>0</v>
      </c>
      <c r="D21">
        <v>0</v>
      </c>
      <c r="E21">
        <v>14</v>
      </c>
      <c r="F21">
        <v>533</v>
      </c>
      <c r="G21">
        <v>0</v>
      </c>
      <c r="H21">
        <v>0</v>
      </c>
      <c r="I21">
        <v>0</v>
      </c>
      <c r="J21">
        <v>19</v>
      </c>
      <c r="K21">
        <v>107</v>
      </c>
      <c r="L21">
        <v>765</v>
      </c>
    </row>
    <row r="22" spans="2:12">
      <c r="B22" t="s">
        <v>137</v>
      </c>
      <c r="C22">
        <v>-111</v>
      </c>
      <c r="D22">
        <v>0</v>
      </c>
      <c r="E22">
        <v>0</v>
      </c>
      <c r="F22">
        <v>-8</v>
      </c>
      <c r="G22">
        <v>-27</v>
      </c>
      <c r="H22">
        <v>0</v>
      </c>
      <c r="I22">
        <v>-98</v>
      </c>
      <c r="J22">
        <v>0</v>
      </c>
      <c r="K22">
        <v>0</v>
      </c>
      <c r="L22">
        <v>-688</v>
      </c>
    </row>
    <row r="23" spans="2:12">
      <c r="B23" t="s">
        <v>138</v>
      </c>
      <c r="C23">
        <v>0</v>
      </c>
      <c r="D23">
        <v>0</v>
      </c>
      <c r="E23">
        <v>0</v>
      </c>
      <c r="F23">
        <v>0</v>
      </c>
      <c r="G23">
        <v>0</v>
      </c>
      <c r="H23">
        <v>0</v>
      </c>
      <c r="I23">
        <v>0</v>
      </c>
      <c r="J23">
        <v>0</v>
      </c>
      <c r="K23">
        <v>-25</v>
      </c>
      <c r="L23">
        <v>-20</v>
      </c>
    </row>
    <row r="24" spans="2:12">
      <c r="B24" t="s">
        <v>139</v>
      </c>
      <c r="C24" s="34">
        <v>-1289</v>
      </c>
      <c r="D24" s="34">
        <v>-26663</v>
      </c>
      <c r="E24" s="34">
        <v>5360</v>
      </c>
      <c r="F24" s="34">
        <v>7335</v>
      </c>
      <c r="G24" s="34">
        <v>-2659</v>
      </c>
      <c r="H24" s="34">
        <v>1051</v>
      </c>
      <c r="I24" s="34">
        <v>12813</v>
      </c>
      <c r="J24" s="34">
        <v>-4357</v>
      </c>
      <c r="K24" s="34">
        <v>-4817</v>
      </c>
      <c r="L24" s="34">
        <v>-2889</v>
      </c>
    </row>
    <row r="25" spans="2:12">
      <c r="C25" s="34"/>
      <c r="D25" s="34"/>
      <c r="E25" s="34"/>
      <c r="F25" s="34"/>
      <c r="G25" s="34"/>
      <c r="H25" s="34"/>
      <c r="I25" s="34"/>
      <c r="J25" s="34"/>
      <c r="K25" s="34"/>
      <c r="L25" s="34"/>
    </row>
    <row r="26" spans="2:12">
      <c r="B26" s="2" t="s">
        <v>150</v>
      </c>
      <c r="C26" s="34">
        <v>-3795</v>
      </c>
      <c r="D26" s="34">
        <v>6205</v>
      </c>
      <c r="E26" s="34">
        <v>2012</v>
      </c>
      <c r="F26" s="34">
        <v>8830</v>
      </c>
      <c r="G26" s="34">
        <v>3390</v>
      </c>
      <c r="H26" s="34">
        <v>9904</v>
      </c>
      <c r="I26" s="34">
        <v>-3380</v>
      </c>
      <c r="J26" s="34">
        <v>-26243</v>
      </c>
      <c r="K26" s="34">
        <v>-37006</v>
      </c>
      <c r="L26" s="34">
        <v>-18786</v>
      </c>
    </row>
    <row r="27" spans="2:12">
      <c r="B27" t="s">
        <v>140</v>
      </c>
      <c r="C27" s="34">
        <v>7433</v>
      </c>
      <c r="D27">
        <v>5</v>
      </c>
      <c r="E27">
        <v>0</v>
      </c>
      <c r="F27">
        <v>0</v>
      </c>
      <c r="G27" s="34">
        <v>3889</v>
      </c>
      <c r="H27" s="34">
        <v>2603</v>
      </c>
      <c r="I27">
        <v>19</v>
      </c>
      <c r="J27">
        <v>20</v>
      </c>
      <c r="K27">
        <v>82</v>
      </c>
      <c r="L27" s="34">
        <v>1108</v>
      </c>
    </row>
    <row r="28" spans="2:12">
      <c r="B28" t="s">
        <v>141</v>
      </c>
      <c r="C28">
        <v>0</v>
      </c>
      <c r="D28">
        <v>0</v>
      </c>
      <c r="E28">
        <v>0</v>
      </c>
      <c r="F28">
        <v>0</v>
      </c>
      <c r="G28">
        <v>0</v>
      </c>
      <c r="H28">
        <v>0</v>
      </c>
      <c r="I28">
        <v>0</v>
      </c>
      <c r="J28">
        <v>0</v>
      </c>
      <c r="K28">
        <v>0</v>
      </c>
      <c r="L28">
        <v>0</v>
      </c>
    </row>
    <row r="29" spans="2:12">
      <c r="B29" t="s">
        <v>142</v>
      </c>
      <c r="C29" s="34">
        <v>19519</v>
      </c>
      <c r="D29" s="34">
        <v>33390</v>
      </c>
      <c r="E29" s="34">
        <v>37482</v>
      </c>
      <c r="F29" s="34">
        <v>51128</v>
      </c>
      <c r="G29" s="34">
        <v>38297</v>
      </c>
      <c r="H29" s="34">
        <v>46641</v>
      </c>
      <c r="I29" s="34">
        <v>46578</v>
      </c>
      <c r="J29" s="34">
        <v>43934</v>
      </c>
      <c r="K29" s="34">
        <v>18829</v>
      </c>
      <c r="L29" s="34">
        <v>13384</v>
      </c>
    </row>
    <row r="30" spans="2:12">
      <c r="B30" t="s">
        <v>143</v>
      </c>
      <c r="C30" s="34">
        <v>-24924</v>
      </c>
      <c r="D30" s="34">
        <v>-21732</v>
      </c>
      <c r="E30" s="34">
        <v>-29964</v>
      </c>
      <c r="F30" s="34">
        <v>-35198</v>
      </c>
      <c r="G30" s="34">
        <v>-29847</v>
      </c>
      <c r="H30" s="34">
        <v>-29709</v>
      </c>
      <c r="I30" s="34">
        <v>-42816</v>
      </c>
      <c r="J30" s="34">
        <v>-62557</v>
      </c>
      <c r="K30" s="34">
        <v>-47414</v>
      </c>
      <c r="L30" s="34">
        <v>-21443</v>
      </c>
    </row>
    <row r="31" spans="2:12">
      <c r="B31" t="s">
        <v>144</v>
      </c>
      <c r="C31" s="34">
        <v>-5716</v>
      </c>
      <c r="D31" s="34">
        <v>-5336</v>
      </c>
      <c r="E31" s="34">
        <v>-5411</v>
      </c>
      <c r="F31" s="34">
        <v>-7005</v>
      </c>
      <c r="G31" s="34">
        <v>-7518</v>
      </c>
      <c r="H31" s="34">
        <v>-8123</v>
      </c>
      <c r="I31" s="34">
        <v>-9251</v>
      </c>
      <c r="J31" s="34">
        <v>-9336</v>
      </c>
      <c r="K31" s="34">
        <v>-9332</v>
      </c>
      <c r="L31" s="34">
        <v>-5814</v>
      </c>
    </row>
    <row r="32" spans="2:12">
      <c r="B32" t="s">
        <v>145</v>
      </c>
      <c r="C32">
        <v>-108</v>
      </c>
      <c r="D32">
        <v>-121</v>
      </c>
      <c r="E32">
        <v>-96</v>
      </c>
      <c r="F32">
        <v>-95</v>
      </c>
      <c r="G32">
        <v>-57</v>
      </c>
      <c r="H32">
        <v>-30</v>
      </c>
      <c r="I32">
        <v>-100</v>
      </c>
      <c r="J32">
        <v>-141</v>
      </c>
      <c r="K32" s="34">
        <v>-1059</v>
      </c>
      <c r="L32" s="34">
        <v>-2492</v>
      </c>
    </row>
    <row r="33" spans="2:12">
      <c r="B33" t="s">
        <v>146</v>
      </c>
      <c r="C33">
        <v>0</v>
      </c>
      <c r="D33">
        <v>0</v>
      </c>
      <c r="E33">
        <v>0</v>
      </c>
      <c r="F33">
        <v>0</v>
      </c>
      <c r="G33" s="34">
        <v>-1346</v>
      </c>
      <c r="H33" s="34">
        <v>-1477</v>
      </c>
      <c r="I33" s="34">
        <v>-1559</v>
      </c>
      <c r="J33" s="34">
        <v>-1517</v>
      </c>
      <c r="K33" s="34">
        <v>-1924</v>
      </c>
      <c r="L33" s="34">
        <v>-2393</v>
      </c>
    </row>
    <row r="34" spans="2:12">
      <c r="B34" t="s">
        <v>147</v>
      </c>
      <c r="C34">
        <v>0</v>
      </c>
      <c r="D34">
        <v>0</v>
      </c>
      <c r="E34">
        <v>0</v>
      </c>
      <c r="F34">
        <v>0</v>
      </c>
      <c r="G34">
        <v>-29</v>
      </c>
      <c r="H34">
        <v>0</v>
      </c>
      <c r="I34" s="34">
        <v>3750</v>
      </c>
      <c r="J34" s="34">
        <v>3355</v>
      </c>
      <c r="K34" s="34">
        <v>3812</v>
      </c>
      <c r="L34" s="34">
        <v>-1136</v>
      </c>
    </row>
    <row r="35" spans="2:12">
      <c r="B35" t="s">
        <v>35</v>
      </c>
      <c r="C35" s="34">
        <v>-2589</v>
      </c>
      <c r="D35" s="34">
        <v>-3167</v>
      </c>
      <c r="E35">
        <v>730</v>
      </c>
      <c r="F35" s="34">
        <v>6843</v>
      </c>
      <c r="G35" s="34">
        <v>-3092</v>
      </c>
      <c r="H35" s="34">
        <v>13232</v>
      </c>
      <c r="I35" s="34">
        <v>6459</v>
      </c>
      <c r="J35" s="34">
        <v>-6272</v>
      </c>
      <c r="K35" s="34">
        <v>8128</v>
      </c>
      <c r="L35" s="34">
        <v>-5666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K110"/>
  <sheetViews>
    <sheetView zoomScale="94" zoomScaleNormal="120" zoomScalePageLayoutView="120" workbookViewId="0">
      <pane xSplit="1" ySplit="1" topLeftCell="B103" activePane="bottomRight" state="frozen"/>
      <selection activeCell="C4" sqref="C4"/>
      <selection pane="topRight" activeCell="C4" sqref="C4"/>
      <selection pane="bottomLeft" activeCell="C4" sqref="C4"/>
      <selection pane="bottomRight" activeCell="D112" sqref="D112"/>
    </sheetView>
  </sheetViews>
  <sheetFormatPr defaultColWidth="8.81640625" defaultRowHeight="14.5"/>
  <cols>
    <col min="1" max="1" width="27.6328125" style="4" bestFit="1" customWidth="1"/>
    <col min="2" max="2" width="18.08984375" style="4" bestFit="1" customWidth="1"/>
    <col min="3" max="3" width="13.6328125" style="4" bestFit="1" customWidth="1"/>
    <col min="4" max="11" width="13.453125" style="4" bestFit="1" customWidth="1"/>
    <col min="12" max="16384" width="8.81640625" style="4"/>
  </cols>
  <sheetData>
    <row r="1" spans="1:11" s="1" customFormat="1">
      <c r="A1" s="1" t="s">
        <v>0</v>
      </c>
      <c r="B1" s="1" t="s">
        <v>63</v>
      </c>
      <c r="E1" s="423" t="str">
        <f>IF(B2&lt;&gt;B3, "A NEW VERSION OF THE WORKSHEET IS AVAILABLE", "")</f>
        <v/>
      </c>
      <c r="F1" s="423"/>
      <c r="G1" s="423"/>
      <c r="H1" s="423"/>
      <c r="I1" s="423"/>
      <c r="J1" s="423"/>
      <c r="K1" s="423"/>
    </row>
    <row r="2" spans="1:11">
      <c r="A2" s="1" t="s">
        <v>61</v>
      </c>
      <c r="B2" s="4">
        <v>2.1</v>
      </c>
      <c r="E2" s="424" t="s">
        <v>36</v>
      </c>
      <c r="F2" s="424"/>
      <c r="G2" s="424"/>
      <c r="H2" s="424"/>
      <c r="I2" s="424"/>
      <c r="J2" s="424"/>
      <c r="K2" s="424"/>
    </row>
    <row r="3" spans="1:11">
      <c r="A3" s="1" t="s">
        <v>62</v>
      </c>
      <c r="B3" s="4">
        <v>2.1</v>
      </c>
    </row>
    <row r="4" spans="1:11">
      <c r="A4" s="1"/>
    </row>
    <row r="5" spans="1:11">
      <c r="A5" s="1" t="s">
        <v>64</v>
      </c>
    </row>
    <row r="6" spans="1:11" ht="16.5">
      <c r="A6" s="4" t="s">
        <v>42</v>
      </c>
      <c r="B6" s="4">
        <f>IF(B9&gt;0, B9/B8, 0)</f>
        <v>368.17104005880191</v>
      </c>
      <c r="C6" s="317"/>
    </row>
    <row r="7" spans="1:11">
      <c r="A7" s="4" t="s">
        <v>31</v>
      </c>
      <c r="B7">
        <v>2</v>
      </c>
    </row>
    <row r="8" spans="1:11">
      <c r="A8" s="4" t="s">
        <v>43</v>
      </c>
      <c r="B8">
        <v>680.25</v>
      </c>
    </row>
    <row r="9" spans="1:11">
      <c r="A9" s="4" t="s">
        <v>79</v>
      </c>
      <c r="B9">
        <v>250448.35</v>
      </c>
    </row>
    <row r="15" spans="1:11">
      <c r="A15" s="1" t="s">
        <v>37</v>
      </c>
    </row>
    <row r="16" spans="1:11" s="18" customFormat="1">
      <c r="A16" s="17" t="s">
        <v>38</v>
      </c>
      <c r="B16" s="12">
        <v>42460</v>
      </c>
      <c r="C16" s="12">
        <v>42825</v>
      </c>
      <c r="D16" s="12">
        <v>43190</v>
      </c>
      <c r="E16" s="12">
        <v>43555</v>
      </c>
      <c r="F16" s="12">
        <v>43921</v>
      </c>
      <c r="G16" s="12">
        <v>44286</v>
      </c>
      <c r="H16" s="12">
        <v>44651</v>
      </c>
      <c r="I16" s="12">
        <v>45016</v>
      </c>
      <c r="J16" s="12">
        <v>45382</v>
      </c>
      <c r="K16" s="12">
        <v>45747</v>
      </c>
    </row>
    <row r="17" spans="1:11" s="6" customFormat="1">
      <c r="A17" s="6" t="s">
        <v>6</v>
      </c>
      <c r="B17">
        <v>273045.59999999998</v>
      </c>
      <c r="C17">
        <v>269692.51</v>
      </c>
      <c r="D17">
        <v>291550.48</v>
      </c>
      <c r="E17">
        <v>301938.40000000002</v>
      </c>
      <c r="F17">
        <v>261067.97</v>
      </c>
      <c r="G17">
        <v>249794.75</v>
      </c>
      <c r="H17">
        <v>278453.62</v>
      </c>
      <c r="I17">
        <v>345966.97</v>
      </c>
      <c r="J17">
        <v>434016</v>
      </c>
      <c r="K17">
        <v>439695</v>
      </c>
    </row>
    <row r="18" spans="1:11" s="6" customFormat="1">
      <c r="A18" s="4" t="s">
        <v>80</v>
      </c>
      <c r="B18">
        <v>166134.01</v>
      </c>
      <c r="C18">
        <v>173294.07999999999</v>
      </c>
      <c r="D18">
        <v>187896.58</v>
      </c>
      <c r="E18">
        <v>194267.91</v>
      </c>
      <c r="F18">
        <v>164899.82</v>
      </c>
      <c r="G18">
        <v>153607.35999999999</v>
      </c>
      <c r="H18">
        <v>179295.33</v>
      </c>
      <c r="I18">
        <v>231251.26</v>
      </c>
      <c r="J18">
        <v>274321</v>
      </c>
      <c r="K18">
        <v>268950</v>
      </c>
    </row>
    <row r="19" spans="1:11" s="6" customFormat="1">
      <c r="A19" s="4" t="s">
        <v>81</v>
      </c>
      <c r="B19">
        <v>2750.99</v>
      </c>
      <c r="C19">
        <v>7399.92</v>
      </c>
      <c r="D19">
        <v>2046.58</v>
      </c>
      <c r="E19">
        <v>-2053.2800000000002</v>
      </c>
      <c r="F19">
        <v>-2231.19</v>
      </c>
      <c r="G19">
        <v>-4684.16</v>
      </c>
      <c r="H19">
        <v>-1590.49</v>
      </c>
      <c r="I19">
        <v>4781.62</v>
      </c>
      <c r="J19">
        <v>1566</v>
      </c>
      <c r="K19">
        <v>-2836</v>
      </c>
    </row>
    <row r="20" spans="1:11" s="6" customFormat="1">
      <c r="A20" s="4" t="s">
        <v>82</v>
      </c>
      <c r="B20">
        <v>1143.6300000000001</v>
      </c>
      <c r="C20">
        <v>1159.82</v>
      </c>
      <c r="D20">
        <v>1308.08</v>
      </c>
      <c r="E20">
        <v>1585.93</v>
      </c>
      <c r="F20">
        <v>1264.95</v>
      </c>
      <c r="G20">
        <v>1112.8699999999999</v>
      </c>
      <c r="H20">
        <v>2178.29</v>
      </c>
      <c r="I20">
        <v>2513.33</v>
      </c>
      <c r="J20">
        <v>2189</v>
      </c>
      <c r="K20">
        <v>2443</v>
      </c>
    </row>
    <row r="21" spans="1:11" s="6" customFormat="1">
      <c r="A21" s="4" t="s">
        <v>83</v>
      </c>
      <c r="B21">
        <v>12101.53</v>
      </c>
      <c r="C21">
        <v>10067.370000000001</v>
      </c>
      <c r="D21">
        <v>10971.66</v>
      </c>
      <c r="E21">
        <v>11694.54</v>
      </c>
      <c r="F21">
        <v>11541.51</v>
      </c>
      <c r="G21">
        <v>8273.17</v>
      </c>
      <c r="H21">
        <v>9427.3799999999992</v>
      </c>
      <c r="I21">
        <v>11765.97</v>
      </c>
      <c r="J21">
        <v>17446</v>
      </c>
      <c r="K21">
        <v>18813</v>
      </c>
    </row>
    <row r="22" spans="1:11" s="6" customFormat="1">
      <c r="A22" s="4" t="s">
        <v>84</v>
      </c>
      <c r="B22">
        <v>28880.89</v>
      </c>
      <c r="C22">
        <v>28332.89</v>
      </c>
      <c r="D22">
        <v>30300.09</v>
      </c>
      <c r="E22">
        <v>33243.870000000003</v>
      </c>
      <c r="F22">
        <v>30438.6</v>
      </c>
      <c r="G22">
        <v>27648.48</v>
      </c>
      <c r="H22">
        <v>30808.52</v>
      </c>
      <c r="I22">
        <v>33654.699999999997</v>
      </c>
      <c r="J22">
        <v>41990</v>
      </c>
      <c r="K22">
        <v>47767</v>
      </c>
    </row>
    <row r="23" spans="1:11" s="6" customFormat="1">
      <c r="A23" s="4" t="s">
        <v>85</v>
      </c>
      <c r="B23">
        <v>21991.9</v>
      </c>
      <c r="C23">
        <v>30039.38</v>
      </c>
      <c r="D23">
        <v>31004.58</v>
      </c>
      <c r="E23">
        <v>32719.8</v>
      </c>
      <c r="F23">
        <v>29248.32</v>
      </c>
      <c r="G23">
        <v>23015.79</v>
      </c>
      <c r="H23">
        <v>29205.4</v>
      </c>
      <c r="I23">
        <v>34839.19</v>
      </c>
      <c r="J23">
        <v>42765</v>
      </c>
      <c r="K23">
        <v>47099</v>
      </c>
    </row>
    <row r="24" spans="1:11" s="6" customFormat="1">
      <c r="A24" s="4" t="s">
        <v>86</v>
      </c>
      <c r="B24">
        <v>7149.38</v>
      </c>
      <c r="C24">
        <v>4610.2</v>
      </c>
      <c r="D24">
        <v>658.39</v>
      </c>
      <c r="E24">
        <v>1708.74</v>
      </c>
      <c r="F24">
        <v>3456.51</v>
      </c>
      <c r="G24">
        <v>-834.51</v>
      </c>
      <c r="H24">
        <v>1228.1199999999999</v>
      </c>
      <c r="I24">
        <v>4908.34</v>
      </c>
      <c r="J24">
        <v>-953</v>
      </c>
      <c r="K24">
        <v>-3429</v>
      </c>
    </row>
    <row r="25" spans="1:11" s="6" customFormat="1">
      <c r="A25" s="6" t="s">
        <v>9</v>
      </c>
      <c r="B25">
        <v>-2669.62</v>
      </c>
      <c r="C25">
        <v>1869.1</v>
      </c>
      <c r="D25">
        <v>5932.73</v>
      </c>
      <c r="E25">
        <v>-26686.25</v>
      </c>
      <c r="F25">
        <v>101.71</v>
      </c>
      <c r="G25">
        <v>-11117.83</v>
      </c>
      <c r="H25">
        <v>2424.0500000000002</v>
      </c>
      <c r="I25">
        <v>6663.97</v>
      </c>
      <c r="J25">
        <v>4792</v>
      </c>
      <c r="K25">
        <v>11774</v>
      </c>
    </row>
    <row r="26" spans="1:11" s="6" customFormat="1">
      <c r="A26" s="6" t="s">
        <v>10</v>
      </c>
      <c r="B26">
        <v>16710.78</v>
      </c>
      <c r="C26">
        <v>17904.990000000002</v>
      </c>
      <c r="D26">
        <v>21553.59</v>
      </c>
      <c r="E26">
        <v>23590.63</v>
      </c>
      <c r="F26">
        <v>21425.43</v>
      </c>
      <c r="G26">
        <v>23546.71</v>
      </c>
      <c r="H26">
        <v>24835.69</v>
      </c>
      <c r="I26">
        <v>24860.36</v>
      </c>
      <c r="J26">
        <v>27239</v>
      </c>
      <c r="K26">
        <v>23256</v>
      </c>
    </row>
    <row r="27" spans="1:11" s="6" customFormat="1">
      <c r="A27" s="6" t="s">
        <v>11</v>
      </c>
      <c r="B27">
        <v>4889.08</v>
      </c>
      <c r="C27">
        <v>4238.01</v>
      </c>
      <c r="D27">
        <v>4681.79</v>
      </c>
      <c r="E27">
        <v>5758.6</v>
      </c>
      <c r="F27">
        <v>7243.33</v>
      </c>
      <c r="G27">
        <v>8097.17</v>
      </c>
      <c r="H27">
        <v>9311.86</v>
      </c>
      <c r="I27">
        <v>10225.48</v>
      </c>
      <c r="J27">
        <v>7594</v>
      </c>
      <c r="K27">
        <v>5083</v>
      </c>
    </row>
    <row r="28" spans="1:11" s="6" customFormat="1">
      <c r="A28" s="6" t="s">
        <v>12</v>
      </c>
      <c r="B28">
        <v>14125.77</v>
      </c>
      <c r="C28">
        <v>9314.7900000000009</v>
      </c>
      <c r="D28">
        <v>11155.03</v>
      </c>
      <c r="E28">
        <v>-31371.15</v>
      </c>
      <c r="F28">
        <v>-10579.98</v>
      </c>
      <c r="G28">
        <v>-10474.280000000001</v>
      </c>
      <c r="H28">
        <v>-7003.41</v>
      </c>
      <c r="I28">
        <v>3393.93</v>
      </c>
      <c r="J28">
        <v>27783</v>
      </c>
      <c r="K28">
        <v>38651</v>
      </c>
    </row>
    <row r="29" spans="1:11" s="6" customFormat="1">
      <c r="A29" s="6" t="s">
        <v>13</v>
      </c>
      <c r="B29">
        <v>3025.05</v>
      </c>
      <c r="C29">
        <v>3251.23</v>
      </c>
      <c r="D29">
        <v>4341.93</v>
      </c>
      <c r="E29">
        <v>-2437.4499999999998</v>
      </c>
      <c r="F29">
        <v>395.25</v>
      </c>
      <c r="G29">
        <v>2541.86</v>
      </c>
      <c r="H29">
        <v>4231.29</v>
      </c>
      <c r="I29">
        <v>704.06</v>
      </c>
      <c r="J29">
        <v>-4024</v>
      </c>
      <c r="K29">
        <v>10502</v>
      </c>
    </row>
    <row r="30" spans="1:11" s="6" customFormat="1">
      <c r="A30" s="6" t="s">
        <v>14</v>
      </c>
      <c r="B30">
        <v>11579.31</v>
      </c>
      <c r="C30">
        <v>7454.36</v>
      </c>
      <c r="D30">
        <v>8988.91</v>
      </c>
      <c r="E30">
        <v>-28826.23</v>
      </c>
      <c r="F30">
        <v>-12070.85</v>
      </c>
      <c r="G30">
        <v>-13451.39</v>
      </c>
      <c r="H30">
        <v>-11441.47</v>
      </c>
      <c r="I30">
        <v>2414.29</v>
      </c>
      <c r="J30">
        <v>31399</v>
      </c>
      <c r="K30">
        <v>27830</v>
      </c>
    </row>
    <row r="31" spans="1:11" s="6" customFormat="1">
      <c r="A31" s="6" t="s">
        <v>70</v>
      </c>
      <c r="B31">
        <v>67.92</v>
      </c>
      <c r="I31">
        <v>766.02</v>
      </c>
      <c r="J31">
        <v>2301</v>
      </c>
      <c r="K31">
        <v>2208</v>
      </c>
    </row>
    <row r="32" spans="1:11" s="6" customFormat="1">
      <c r="A32" s="6" t="s">
        <v>224</v>
      </c>
      <c r="B32" s="6">
        <f>B30+B29+B27+B26</f>
        <v>36204.22</v>
      </c>
      <c r="C32" s="6">
        <f t="shared" ref="C32:K32" si="0">C30+C29+C27+C26</f>
        <v>32848.590000000004</v>
      </c>
      <c r="D32" s="6">
        <f t="shared" si="0"/>
        <v>39566.22</v>
      </c>
      <c r="E32" s="6">
        <f t="shared" si="0"/>
        <v>-1914.4500000000007</v>
      </c>
      <c r="F32" s="6">
        <f t="shared" si="0"/>
        <v>16993.16</v>
      </c>
      <c r="G32" s="6">
        <f t="shared" si="0"/>
        <v>20734.349999999999</v>
      </c>
      <c r="H32" s="6">
        <f t="shared" si="0"/>
        <v>26937.37</v>
      </c>
      <c r="I32" s="6">
        <f t="shared" si="0"/>
        <v>38204.19</v>
      </c>
      <c r="J32" s="6">
        <f t="shared" si="0"/>
        <v>62208</v>
      </c>
      <c r="K32" s="6">
        <f t="shared" si="0"/>
        <v>66671</v>
      </c>
    </row>
    <row r="33" spans="1:11">
      <c r="A33" s="6"/>
    </row>
    <row r="34" spans="1:11">
      <c r="A34" s="6"/>
      <c r="J34" s="4" t="s">
        <v>429</v>
      </c>
      <c r="K34" s="4">
        <f>K28+K27</f>
        <v>43734</v>
      </c>
    </row>
    <row r="35" spans="1:11">
      <c r="A35" s="6"/>
    </row>
    <row r="36" spans="1:11">
      <c r="A36" s="6" t="s">
        <v>485</v>
      </c>
      <c r="C36" s="305">
        <f>C17/B17-1</f>
        <v>-1.2280329732469508E-2</v>
      </c>
      <c r="D36" s="305">
        <f t="shared" ref="D36:K36" si="1">D17/C17-1</f>
        <v>8.104774581985974E-2</v>
      </c>
      <c r="E36" s="305">
        <f t="shared" si="1"/>
        <v>3.5629919045237157E-2</v>
      </c>
      <c r="F36" s="305">
        <f t="shared" si="1"/>
        <v>-0.135360159555724</v>
      </c>
      <c r="G36" s="305">
        <f t="shared" si="1"/>
        <v>-4.3181168490336042E-2</v>
      </c>
      <c r="H36" s="305">
        <f t="shared" si="1"/>
        <v>0.11472967306158344</v>
      </c>
      <c r="I36" s="305">
        <f t="shared" si="1"/>
        <v>0.24245815155859707</v>
      </c>
      <c r="J36" s="305">
        <f t="shared" si="1"/>
        <v>0.25450126062612277</v>
      </c>
      <c r="K36" s="305">
        <f t="shared" si="1"/>
        <v>1.3084771068347711E-2</v>
      </c>
    </row>
    <row r="37" spans="1:11">
      <c r="A37" s="6"/>
    </row>
    <row r="38" spans="1:11">
      <c r="A38" s="6"/>
    </row>
    <row r="39" spans="1:11">
      <c r="A39" s="6"/>
    </row>
    <row r="40" spans="1:11">
      <c r="A40" s="6"/>
    </row>
    <row r="41" spans="1:11">
      <c r="A41" s="1" t="s">
        <v>39</v>
      </c>
    </row>
    <row r="42" spans="1:11" s="18" customFormat="1">
      <c r="A42" s="17" t="s">
        <v>38</v>
      </c>
      <c r="B42" s="12">
        <v>44926</v>
      </c>
      <c r="C42" s="12">
        <v>45016</v>
      </c>
      <c r="D42" s="12">
        <v>45107</v>
      </c>
      <c r="E42" s="12">
        <v>45199</v>
      </c>
      <c r="F42" s="12">
        <v>45291</v>
      </c>
      <c r="G42" s="12">
        <v>45382</v>
      </c>
      <c r="H42" s="12">
        <v>45473</v>
      </c>
      <c r="I42" s="12">
        <v>45565</v>
      </c>
      <c r="J42" s="12">
        <v>45657</v>
      </c>
      <c r="K42" s="12">
        <v>45747</v>
      </c>
    </row>
    <row r="43" spans="1:11" s="6" customFormat="1">
      <c r="A43" s="6" t="s">
        <v>6</v>
      </c>
      <c r="B43">
        <v>88488.59</v>
      </c>
      <c r="C43">
        <v>105932.35</v>
      </c>
      <c r="D43">
        <v>102236</v>
      </c>
      <c r="E43">
        <v>105129</v>
      </c>
      <c r="F43">
        <v>110577</v>
      </c>
      <c r="G43">
        <v>119033</v>
      </c>
      <c r="H43">
        <v>108048</v>
      </c>
      <c r="I43">
        <v>101450</v>
      </c>
      <c r="J43">
        <v>112608</v>
      </c>
      <c r="K43">
        <v>119503</v>
      </c>
    </row>
    <row r="44" spans="1:11" s="6" customFormat="1">
      <c r="A44" s="6" t="s">
        <v>7</v>
      </c>
      <c r="B44">
        <v>77668.350000000006</v>
      </c>
      <c r="C44">
        <v>92817.95</v>
      </c>
      <c r="D44">
        <v>89019</v>
      </c>
      <c r="E44">
        <v>91362</v>
      </c>
      <c r="F44">
        <v>95159</v>
      </c>
      <c r="G44">
        <v>102348</v>
      </c>
      <c r="H44">
        <v>92263</v>
      </c>
      <c r="I44">
        <v>89291</v>
      </c>
      <c r="J44">
        <v>100185</v>
      </c>
      <c r="K44">
        <v>102685</v>
      </c>
    </row>
    <row r="45" spans="1:11" s="6" customFormat="1">
      <c r="A45" s="6" t="s">
        <v>9</v>
      </c>
      <c r="B45">
        <v>1129.98</v>
      </c>
      <c r="C45">
        <v>1452.86</v>
      </c>
      <c r="D45">
        <v>895</v>
      </c>
      <c r="E45">
        <v>1557</v>
      </c>
      <c r="F45">
        <v>1604</v>
      </c>
      <c r="G45">
        <v>1412</v>
      </c>
      <c r="H45">
        <v>1747</v>
      </c>
      <c r="I45">
        <v>1647</v>
      </c>
      <c r="J45">
        <v>1700</v>
      </c>
      <c r="K45">
        <v>1057</v>
      </c>
    </row>
    <row r="46" spans="1:11" s="6" customFormat="1">
      <c r="A46" s="6" t="s">
        <v>10</v>
      </c>
      <c r="B46">
        <v>6071.78</v>
      </c>
      <c r="C46">
        <v>7050.2</v>
      </c>
      <c r="D46">
        <v>6633</v>
      </c>
      <c r="E46">
        <v>6637</v>
      </c>
      <c r="F46">
        <v>6850</v>
      </c>
      <c r="G46">
        <v>7143</v>
      </c>
      <c r="H46">
        <v>6574</v>
      </c>
      <c r="I46">
        <v>6005</v>
      </c>
      <c r="J46">
        <v>5399</v>
      </c>
      <c r="K46">
        <v>5295</v>
      </c>
    </row>
    <row r="47" spans="1:11" s="6" customFormat="1">
      <c r="A47" s="6" t="s">
        <v>11</v>
      </c>
      <c r="B47">
        <v>2675.83</v>
      </c>
      <c r="C47">
        <v>2641.67</v>
      </c>
      <c r="D47">
        <v>2615</v>
      </c>
      <c r="E47">
        <v>2652</v>
      </c>
      <c r="F47">
        <v>2485</v>
      </c>
      <c r="G47">
        <v>1645</v>
      </c>
      <c r="H47">
        <v>2088</v>
      </c>
      <c r="I47">
        <v>2034</v>
      </c>
      <c r="J47">
        <v>1119</v>
      </c>
      <c r="K47">
        <v>1076</v>
      </c>
    </row>
    <row r="48" spans="1:11" s="6" customFormat="1">
      <c r="A48" s="6" t="s">
        <v>12</v>
      </c>
      <c r="B48">
        <v>3202.61</v>
      </c>
      <c r="C48">
        <v>4875.3900000000003</v>
      </c>
      <c r="D48">
        <v>4864</v>
      </c>
      <c r="E48">
        <v>6035</v>
      </c>
      <c r="F48">
        <v>7687</v>
      </c>
      <c r="G48">
        <v>9309</v>
      </c>
      <c r="H48">
        <v>8870</v>
      </c>
      <c r="I48">
        <v>5767</v>
      </c>
      <c r="J48">
        <v>7605</v>
      </c>
      <c r="K48">
        <v>11504</v>
      </c>
    </row>
    <row r="49" spans="1:11" s="6" customFormat="1">
      <c r="A49" s="6" t="s">
        <v>13</v>
      </c>
      <c r="B49">
        <v>262.83</v>
      </c>
      <c r="C49">
        <v>-620.65</v>
      </c>
      <c r="D49">
        <v>1563</v>
      </c>
      <c r="E49">
        <v>2203</v>
      </c>
      <c r="F49">
        <v>542</v>
      </c>
      <c r="G49">
        <v>-8219</v>
      </c>
      <c r="H49">
        <v>3178</v>
      </c>
      <c r="I49">
        <v>2317</v>
      </c>
      <c r="J49">
        <v>2120</v>
      </c>
      <c r="K49">
        <v>2948</v>
      </c>
    </row>
    <row r="50" spans="1:11" s="6" customFormat="1">
      <c r="A50" s="6" t="s">
        <v>14</v>
      </c>
      <c r="B50">
        <v>2957.71</v>
      </c>
      <c r="C50">
        <v>5407.79</v>
      </c>
      <c r="D50">
        <v>3203</v>
      </c>
      <c r="E50">
        <v>3764</v>
      </c>
      <c r="F50">
        <v>7025</v>
      </c>
      <c r="G50">
        <v>17407</v>
      </c>
      <c r="H50">
        <v>5566</v>
      </c>
      <c r="I50">
        <v>3343</v>
      </c>
      <c r="J50">
        <v>5406</v>
      </c>
      <c r="K50">
        <v>8470</v>
      </c>
    </row>
    <row r="51" spans="1:11">
      <c r="A51" s="6" t="s">
        <v>8</v>
      </c>
      <c r="B51">
        <v>10820.24</v>
      </c>
      <c r="C51">
        <v>13114.4</v>
      </c>
      <c r="D51">
        <v>13217</v>
      </c>
      <c r="E51">
        <v>13767</v>
      </c>
      <c r="F51">
        <v>15418</v>
      </c>
      <c r="G51">
        <v>16685</v>
      </c>
      <c r="H51">
        <v>15785</v>
      </c>
      <c r="I51">
        <v>12159</v>
      </c>
      <c r="J51">
        <v>12423</v>
      </c>
      <c r="K51">
        <v>16818</v>
      </c>
    </row>
    <row r="52" spans="1:11">
      <c r="A52" s="6"/>
    </row>
    <row r="53" spans="1:11">
      <c r="A53" s="6"/>
    </row>
    <row r="54" spans="1:11">
      <c r="A54" s="6"/>
    </row>
    <row r="55" spans="1:11">
      <c r="A55" s="6"/>
    </row>
    <row r="56" spans="1:11">
      <c r="A56" s="1" t="s">
        <v>40</v>
      </c>
    </row>
    <row r="57" spans="1:11" s="18" customFormat="1">
      <c r="A57" s="17" t="s">
        <v>38</v>
      </c>
      <c r="B57" s="12">
        <v>42460</v>
      </c>
      <c r="C57" s="12">
        <v>42825</v>
      </c>
      <c r="D57" s="12">
        <v>43190</v>
      </c>
      <c r="E57" s="12">
        <v>43555</v>
      </c>
      <c r="F57" s="12">
        <v>43921</v>
      </c>
      <c r="G57" s="12">
        <v>44286</v>
      </c>
      <c r="H57" s="12">
        <v>44651</v>
      </c>
      <c r="I57" s="12">
        <v>45016</v>
      </c>
      <c r="J57" s="12">
        <v>45382</v>
      </c>
      <c r="K57" s="12">
        <v>45747</v>
      </c>
    </row>
    <row r="58" spans="1:11">
      <c r="A58" s="6" t="s">
        <v>24</v>
      </c>
      <c r="B58">
        <v>679.18</v>
      </c>
      <c r="C58">
        <v>679.22</v>
      </c>
      <c r="D58">
        <v>679.22</v>
      </c>
      <c r="E58">
        <v>679.22</v>
      </c>
      <c r="F58">
        <v>719.54</v>
      </c>
      <c r="G58">
        <v>765.81</v>
      </c>
      <c r="H58">
        <v>765.88</v>
      </c>
      <c r="I58">
        <v>766.02</v>
      </c>
      <c r="J58">
        <v>767</v>
      </c>
      <c r="K58">
        <v>736</v>
      </c>
    </row>
    <row r="59" spans="1:11">
      <c r="A59" s="6" t="s">
        <v>25</v>
      </c>
      <c r="B59">
        <v>78273.23</v>
      </c>
      <c r="C59">
        <v>57382.67</v>
      </c>
      <c r="D59">
        <v>94748.69</v>
      </c>
      <c r="E59">
        <v>59500.34</v>
      </c>
      <c r="F59">
        <v>62358.99</v>
      </c>
      <c r="G59">
        <v>54480.91</v>
      </c>
      <c r="H59">
        <v>43795.360000000001</v>
      </c>
      <c r="I59">
        <v>44555.77</v>
      </c>
      <c r="J59">
        <v>84151</v>
      </c>
      <c r="K59">
        <v>115408</v>
      </c>
    </row>
    <row r="60" spans="1:11">
      <c r="A60" s="6" t="s">
        <v>71</v>
      </c>
      <c r="B60">
        <v>69359.960000000006</v>
      </c>
      <c r="C60">
        <v>78603.98</v>
      </c>
      <c r="D60">
        <v>88950.47</v>
      </c>
      <c r="E60">
        <v>106175.34</v>
      </c>
      <c r="F60">
        <v>124787.64</v>
      </c>
      <c r="G60">
        <v>142130.57</v>
      </c>
      <c r="H60">
        <v>146449.03</v>
      </c>
      <c r="I60">
        <v>134113.44</v>
      </c>
      <c r="J60">
        <v>107264</v>
      </c>
      <c r="K60">
        <v>71540</v>
      </c>
    </row>
    <row r="61" spans="1:11">
      <c r="A61" s="6" t="s">
        <v>72</v>
      </c>
      <c r="B61">
        <v>114871.75</v>
      </c>
      <c r="C61">
        <v>135914.49</v>
      </c>
      <c r="D61">
        <v>142813.43</v>
      </c>
      <c r="E61">
        <v>139348.59</v>
      </c>
      <c r="F61">
        <v>132313.22</v>
      </c>
      <c r="G61">
        <v>144192.62</v>
      </c>
      <c r="H61">
        <v>138051.22</v>
      </c>
      <c r="I61">
        <v>155239.20000000001</v>
      </c>
      <c r="J61">
        <v>177339</v>
      </c>
      <c r="K61">
        <v>189289</v>
      </c>
    </row>
    <row r="62" spans="1:11" s="1" customFormat="1">
      <c r="A62" s="1" t="s">
        <v>26</v>
      </c>
      <c r="B62">
        <v>263184.12</v>
      </c>
      <c r="C62">
        <v>272580.36</v>
      </c>
      <c r="D62">
        <v>327191.81</v>
      </c>
      <c r="E62">
        <v>305703.49</v>
      </c>
      <c r="F62">
        <v>320179.39</v>
      </c>
      <c r="G62">
        <v>341569.91</v>
      </c>
      <c r="H62">
        <v>329061.49</v>
      </c>
      <c r="I62">
        <v>334674.43</v>
      </c>
      <c r="J62">
        <v>369521</v>
      </c>
      <c r="K62">
        <v>376973</v>
      </c>
    </row>
    <row r="63" spans="1:11">
      <c r="A63" s="6" t="s">
        <v>27</v>
      </c>
      <c r="B63">
        <v>107231.76</v>
      </c>
      <c r="C63">
        <v>95944.08</v>
      </c>
      <c r="D63">
        <v>121413.86</v>
      </c>
      <c r="E63">
        <v>111234.47</v>
      </c>
      <c r="F63">
        <v>127107.14</v>
      </c>
      <c r="G63">
        <v>138707.60999999999</v>
      </c>
      <c r="H63">
        <v>138855.45000000001</v>
      </c>
      <c r="I63">
        <v>132079.76</v>
      </c>
      <c r="J63">
        <v>121285</v>
      </c>
      <c r="K63">
        <v>115697</v>
      </c>
    </row>
    <row r="64" spans="1:11">
      <c r="A64" s="6" t="s">
        <v>28</v>
      </c>
      <c r="B64">
        <v>25918.94</v>
      </c>
      <c r="C64">
        <v>33698.839999999997</v>
      </c>
      <c r="D64">
        <v>40033.5</v>
      </c>
      <c r="E64">
        <v>31883.84</v>
      </c>
      <c r="F64">
        <v>35622.29</v>
      </c>
      <c r="G64">
        <v>20963.93</v>
      </c>
      <c r="H64">
        <v>10251.09</v>
      </c>
      <c r="I64">
        <v>14274.5</v>
      </c>
      <c r="J64">
        <v>35698</v>
      </c>
      <c r="K64">
        <v>65806</v>
      </c>
    </row>
    <row r="65" spans="1:11">
      <c r="A65" s="6" t="s">
        <v>29</v>
      </c>
      <c r="B65">
        <v>23767.02</v>
      </c>
      <c r="C65">
        <v>20337.919999999998</v>
      </c>
      <c r="D65">
        <v>20812.75</v>
      </c>
      <c r="E65">
        <v>15770.72</v>
      </c>
      <c r="F65">
        <v>16308.48</v>
      </c>
      <c r="G65">
        <v>24620.28</v>
      </c>
      <c r="H65">
        <v>29379.53</v>
      </c>
      <c r="I65">
        <v>26379.16</v>
      </c>
      <c r="J65">
        <v>22971</v>
      </c>
      <c r="K65">
        <v>35656</v>
      </c>
    </row>
    <row r="66" spans="1:11">
      <c r="A66" s="6" t="s">
        <v>73</v>
      </c>
      <c r="B66">
        <v>106266.4</v>
      </c>
      <c r="C66">
        <v>122599.52</v>
      </c>
      <c r="D66">
        <v>144931.70000000001</v>
      </c>
      <c r="E66">
        <v>146814.46</v>
      </c>
      <c r="F66">
        <v>141141.48000000001</v>
      </c>
      <c r="G66">
        <v>157278.09</v>
      </c>
      <c r="H66">
        <v>150575.42000000001</v>
      </c>
      <c r="I66">
        <v>161941.01</v>
      </c>
      <c r="J66">
        <v>189567</v>
      </c>
      <c r="K66">
        <v>159814</v>
      </c>
    </row>
    <row r="67" spans="1:11" s="1" customFormat="1">
      <c r="A67" s="1" t="s">
        <v>26</v>
      </c>
      <c r="B67">
        <v>263184.12</v>
      </c>
      <c r="C67">
        <v>272580.36</v>
      </c>
      <c r="D67">
        <v>327191.81</v>
      </c>
      <c r="E67">
        <v>305703.49</v>
      </c>
      <c r="F67">
        <v>320179.39</v>
      </c>
      <c r="G67">
        <v>341569.91</v>
      </c>
      <c r="H67">
        <v>329061.49</v>
      </c>
      <c r="I67">
        <v>334674.43</v>
      </c>
      <c r="J67">
        <v>369521</v>
      </c>
      <c r="K67">
        <v>376973</v>
      </c>
    </row>
    <row r="68" spans="1:11" s="6" customFormat="1">
      <c r="A68" s="6" t="s">
        <v>78</v>
      </c>
      <c r="B68">
        <v>13570.91</v>
      </c>
      <c r="C68">
        <v>14075.55</v>
      </c>
      <c r="D68">
        <v>19893.3</v>
      </c>
      <c r="E68">
        <v>18996.169999999998</v>
      </c>
      <c r="F68">
        <v>11172.69</v>
      </c>
      <c r="G68">
        <v>12679.08</v>
      </c>
      <c r="H68">
        <v>12442.12</v>
      </c>
      <c r="I68">
        <v>15737.97</v>
      </c>
      <c r="J68">
        <v>16952</v>
      </c>
      <c r="K68">
        <v>13248</v>
      </c>
    </row>
    <row r="69" spans="1:11">
      <c r="A69" s="6" t="s">
        <v>45</v>
      </c>
      <c r="B69">
        <v>32655.73</v>
      </c>
      <c r="C69">
        <v>35085.31</v>
      </c>
      <c r="D69">
        <v>42137.63</v>
      </c>
      <c r="E69">
        <v>39013.730000000003</v>
      </c>
      <c r="F69">
        <v>37456.879999999997</v>
      </c>
      <c r="G69">
        <v>36088.589999999997</v>
      </c>
      <c r="H69">
        <v>35240.339999999997</v>
      </c>
      <c r="I69">
        <v>40755.39</v>
      </c>
      <c r="J69">
        <v>47788</v>
      </c>
      <c r="K69">
        <v>47269</v>
      </c>
    </row>
    <row r="70" spans="1:11">
      <c r="A70" s="4" t="s">
        <v>87</v>
      </c>
      <c r="B70">
        <v>30460.400000000001</v>
      </c>
      <c r="C70">
        <v>36077.879999999997</v>
      </c>
      <c r="D70">
        <v>34613.910000000003</v>
      </c>
      <c r="E70">
        <v>32648.82</v>
      </c>
      <c r="F70">
        <v>33726.97</v>
      </c>
      <c r="G70">
        <v>46792.46</v>
      </c>
      <c r="H70">
        <v>40669.19</v>
      </c>
      <c r="I70">
        <v>37015.56</v>
      </c>
      <c r="J70">
        <v>45807</v>
      </c>
      <c r="K70">
        <v>40834</v>
      </c>
    </row>
    <row r="71" spans="1:11">
      <c r="A71" s="4" t="s">
        <v>74</v>
      </c>
      <c r="B71">
        <v>3395930306</v>
      </c>
      <c r="C71">
        <v>3396100719</v>
      </c>
      <c r="D71">
        <v>3396100719</v>
      </c>
      <c r="E71">
        <v>3396100719</v>
      </c>
      <c r="F71">
        <v>3597726185</v>
      </c>
      <c r="G71">
        <v>3829060661</v>
      </c>
      <c r="H71">
        <v>3829414903</v>
      </c>
      <c r="I71">
        <v>3830097221</v>
      </c>
      <c r="J71">
        <v>3832491897</v>
      </c>
      <c r="K71">
        <v>3681348742</v>
      </c>
    </row>
    <row r="72" spans="1:11">
      <c r="A72" s="4" t="s">
        <v>75</v>
      </c>
    </row>
    <row r="73" spans="1:11">
      <c r="A73" s="4" t="s">
        <v>88</v>
      </c>
      <c r="B73">
        <v>2</v>
      </c>
      <c r="C73">
        <v>2</v>
      </c>
      <c r="D73">
        <v>2</v>
      </c>
      <c r="E73">
        <v>2</v>
      </c>
      <c r="F73">
        <v>2</v>
      </c>
      <c r="G73">
        <v>2</v>
      </c>
      <c r="H73">
        <v>2</v>
      </c>
      <c r="I73">
        <v>2</v>
      </c>
      <c r="J73">
        <v>2</v>
      </c>
      <c r="K73">
        <v>2</v>
      </c>
    </row>
    <row r="75" spans="1:11">
      <c r="A75" s="6" t="s">
        <v>227</v>
      </c>
      <c r="B75" s="4">
        <f>B66-SUM(B68:B70)</f>
        <v>29579.359999999986</v>
      </c>
      <c r="C75" s="4">
        <f t="shared" ref="C75:K75" si="2">C66-SUM(C68:C70)</f>
        <v>37360.780000000013</v>
      </c>
      <c r="D75" s="4">
        <f t="shared" si="2"/>
        <v>48286.860000000015</v>
      </c>
      <c r="E75" s="4">
        <f t="shared" si="2"/>
        <v>56155.739999999991</v>
      </c>
      <c r="F75" s="4">
        <f t="shared" si="2"/>
        <v>58784.94</v>
      </c>
      <c r="G75" s="4">
        <f t="shared" si="2"/>
        <v>61717.959999999992</v>
      </c>
      <c r="H75" s="4">
        <f t="shared" si="2"/>
        <v>62223.770000000019</v>
      </c>
      <c r="I75" s="4">
        <f t="shared" si="2"/>
        <v>68432.090000000011</v>
      </c>
      <c r="J75" s="4">
        <f t="shared" si="2"/>
        <v>79020</v>
      </c>
      <c r="K75" s="4">
        <f t="shared" si="2"/>
        <v>58463</v>
      </c>
    </row>
    <row r="76" spans="1:11">
      <c r="A76" s="6"/>
    </row>
    <row r="77" spans="1:11">
      <c r="A77" s="6" t="s">
        <v>498</v>
      </c>
      <c r="B77" s="4">
        <f>B58+B59</f>
        <v>78952.409999999989</v>
      </c>
      <c r="C77" s="4">
        <f t="shared" ref="C77:K77" si="3">C58+C59</f>
        <v>58061.89</v>
      </c>
      <c r="D77" s="4">
        <f t="shared" si="3"/>
        <v>95427.91</v>
      </c>
      <c r="E77" s="4">
        <f t="shared" si="3"/>
        <v>60179.56</v>
      </c>
      <c r="F77" s="4">
        <f t="shared" si="3"/>
        <v>63078.53</v>
      </c>
      <c r="G77" s="4">
        <f t="shared" si="3"/>
        <v>55246.720000000001</v>
      </c>
      <c r="H77" s="4">
        <f t="shared" si="3"/>
        <v>44561.24</v>
      </c>
      <c r="I77" s="4">
        <f>I58+I59</f>
        <v>45321.789999999994</v>
      </c>
      <c r="J77" s="4">
        <f t="shared" si="3"/>
        <v>84918</v>
      </c>
      <c r="K77" s="4">
        <f t="shared" si="3"/>
        <v>116144</v>
      </c>
    </row>
    <row r="78" spans="1:11">
      <c r="A78" s="6"/>
    </row>
    <row r="79" spans="1:11">
      <c r="A79" s="6"/>
    </row>
    <row r="80" spans="1:11">
      <c r="A80" s="6"/>
    </row>
    <row r="81" spans="1:11">
      <c r="A81" s="1" t="s">
        <v>41</v>
      </c>
    </row>
    <row r="82" spans="1:11" s="18" customFormat="1">
      <c r="A82" s="17" t="s">
        <v>38</v>
      </c>
      <c r="B82" s="12">
        <v>42460</v>
      </c>
      <c r="C82" s="12">
        <v>42825</v>
      </c>
      <c r="D82" s="12">
        <v>43190</v>
      </c>
      <c r="E82" s="12">
        <v>43555</v>
      </c>
      <c r="F82" s="12">
        <v>43921</v>
      </c>
      <c r="G82" s="12">
        <v>44286</v>
      </c>
      <c r="H82" s="12">
        <v>44651</v>
      </c>
      <c r="I82" s="12">
        <v>45016</v>
      </c>
      <c r="J82" s="12">
        <v>45382</v>
      </c>
      <c r="K82" s="12">
        <v>45747</v>
      </c>
    </row>
    <row r="83" spans="1:11" s="1" customFormat="1">
      <c r="A83" s="6" t="s">
        <v>32</v>
      </c>
      <c r="B83">
        <v>37899.54</v>
      </c>
      <c r="C83">
        <v>30199.25</v>
      </c>
      <c r="D83">
        <v>23857.42</v>
      </c>
      <c r="E83">
        <v>18890.75</v>
      </c>
      <c r="F83">
        <v>26632.94</v>
      </c>
      <c r="G83">
        <v>29000.51</v>
      </c>
      <c r="H83">
        <v>14282.83</v>
      </c>
      <c r="I83">
        <v>35388.01</v>
      </c>
      <c r="J83">
        <v>67915</v>
      </c>
      <c r="K83">
        <v>63102</v>
      </c>
    </row>
    <row r="84" spans="1:11" s="6" customFormat="1">
      <c r="A84" s="6" t="s">
        <v>33</v>
      </c>
      <c r="B84">
        <v>-36693.9</v>
      </c>
      <c r="C84">
        <v>-39571.4</v>
      </c>
      <c r="D84">
        <v>-25139.14</v>
      </c>
      <c r="E84">
        <v>-20878.07</v>
      </c>
      <c r="F84">
        <v>-33114.550000000003</v>
      </c>
      <c r="G84">
        <v>-25672.5</v>
      </c>
      <c r="H84">
        <v>-4443.66</v>
      </c>
      <c r="I84">
        <v>-15417.17</v>
      </c>
      <c r="J84">
        <v>-22781</v>
      </c>
      <c r="K84">
        <v>-49982</v>
      </c>
    </row>
    <row r="85" spans="1:11" s="6" customFormat="1">
      <c r="A85" s="6" t="s">
        <v>34</v>
      </c>
      <c r="B85">
        <v>-3795.12</v>
      </c>
      <c r="C85">
        <v>6205.3</v>
      </c>
      <c r="D85">
        <v>2011.71</v>
      </c>
      <c r="E85">
        <v>8830.3700000000008</v>
      </c>
      <c r="F85">
        <v>3389.61</v>
      </c>
      <c r="G85">
        <v>9904.2000000000007</v>
      </c>
      <c r="H85">
        <v>-3380.17</v>
      </c>
      <c r="I85">
        <v>-26242.9</v>
      </c>
      <c r="J85">
        <v>-37006</v>
      </c>
      <c r="K85">
        <v>-18786</v>
      </c>
    </row>
    <row r="86" spans="1:11" s="1" customFormat="1">
      <c r="A86" s="6" t="s">
        <v>35</v>
      </c>
      <c r="B86">
        <v>-2589.48</v>
      </c>
      <c r="C86">
        <v>-3166.85</v>
      </c>
      <c r="D86">
        <v>729.99</v>
      </c>
      <c r="E86">
        <v>6843.05</v>
      </c>
      <c r="F86">
        <v>-3092</v>
      </c>
      <c r="G86">
        <v>13232.21</v>
      </c>
      <c r="H86">
        <v>6459</v>
      </c>
      <c r="I86">
        <v>-6272.06</v>
      </c>
      <c r="J86">
        <v>8128</v>
      </c>
      <c r="K86">
        <v>-5666</v>
      </c>
    </row>
    <row r="87" spans="1:11">
      <c r="A87" s="6"/>
    </row>
    <row r="88" spans="1:11">
      <c r="A88" s="6"/>
    </row>
    <row r="89" spans="1:11">
      <c r="A89" s="6"/>
    </row>
    <row r="90" spans="1:11">
      <c r="A90" s="6"/>
    </row>
    <row r="91" spans="1:11" s="1" customFormat="1">
      <c r="A91" s="1" t="s">
        <v>77</v>
      </c>
      <c r="B91">
        <v>386.6</v>
      </c>
      <c r="C91">
        <v>465.85</v>
      </c>
      <c r="D91">
        <v>326.85000000000002</v>
      </c>
      <c r="E91">
        <v>174.25</v>
      </c>
      <c r="F91">
        <v>71.05</v>
      </c>
      <c r="G91">
        <v>301.8</v>
      </c>
      <c r="H91">
        <v>433.75</v>
      </c>
      <c r="I91">
        <v>420.8</v>
      </c>
      <c r="J91">
        <v>992.8</v>
      </c>
      <c r="K91">
        <v>674.45</v>
      </c>
    </row>
    <row r="93" spans="1:11" s="1" customFormat="1">
      <c r="A93" s="1" t="s">
        <v>76</v>
      </c>
    </row>
    <row r="94" spans="1:11">
      <c r="A94" s="4" t="s">
        <v>89</v>
      </c>
      <c r="B94" s="24">
        <v>288.72000000000003</v>
      </c>
      <c r="C94" s="24">
        <v>288.73</v>
      </c>
      <c r="D94" s="24">
        <v>288.73</v>
      </c>
      <c r="E94" s="24">
        <v>288.73</v>
      </c>
      <c r="F94" s="24">
        <v>308.89999999999998</v>
      </c>
      <c r="G94" s="24">
        <v>332.03</v>
      </c>
      <c r="H94" s="24">
        <v>332.07</v>
      </c>
      <c r="I94" s="24">
        <v>332.13</v>
      </c>
      <c r="J94" s="24">
        <v>332.37</v>
      </c>
      <c r="K94" s="24">
        <v>368.13</v>
      </c>
    </row>
    <row r="97" spans="1:11">
      <c r="A97" s="4" t="s">
        <v>494</v>
      </c>
      <c r="B97" s="4">
        <f>B94*B91</f>
        <v>111619.15200000002</v>
      </c>
      <c r="C97" s="4">
        <f t="shared" ref="C97:K97" si="4">C94*C91</f>
        <v>134504.87050000002</v>
      </c>
      <c r="D97" s="4">
        <f t="shared" si="4"/>
        <v>94371.400500000018</v>
      </c>
      <c r="E97" s="4">
        <f t="shared" si="4"/>
        <v>50311.202500000007</v>
      </c>
      <c r="F97" s="4">
        <f t="shared" si="4"/>
        <v>21947.344999999998</v>
      </c>
      <c r="G97" s="4">
        <f t="shared" si="4"/>
        <v>100206.65399999999</v>
      </c>
      <c r="H97" s="4">
        <f t="shared" si="4"/>
        <v>144035.36249999999</v>
      </c>
      <c r="I97" s="4">
        <f t="shared" si="4"/>
        <v>139760.304</v>
      </c>
      <c r="J97" s="4">
        <f t="shared" si="4"/>
        <v>329976.93599999999</v>
      </c>
      <c r="K97" s="4">
        <f t="shared" si="4"/>
        <v>248285.27850000001</v>
      </c>
    </row>
    <row r="98" spans="1:11">
      <c r="A98" s="4" t="s">
        <v>495</v>
      </c>
      <c r="B98" s="4">
        <f>B60</f>
        <v>69359.960000000006</v>
      </c>
      <c r="C98" s="4">
        <f t="shared" ref="C98:K98" si="5">C60</f>
        <v>78603.98</v>
      </c>
      <c r="D98" s="4">
        <f t="shared" si="5"/>
        <v>88950.47</v>
      </c>
      <c r="E98" s="4">
        <f t="shared" si="5"/>
        <v>106175.34</v>
      </c>
      <c r="F98" s="4">
        <f t="shared" si="5"/>
        <v>124787.64</v>
      </c>
      <c r="G98" s="4">
        <f t="shared" si="5"/>
        <v>142130.57</v>
      </c>
      <c r="H98" s="4">
        <f t="shared" si="5"/>
        <v>146449.03</v>
      </c>
      <c r="I98" s="4">
        <f t="shared" si="5"/>
        <v>134113.44</v>
      </c>
      <c r="J98" s="4">
        <f t="shared" si="5"/>
        <v>107264</v>
      </c>
      <c r="K98" s="4">
        <f t="shared" si="5"/>
        <v>71540</v>
      </c>
    </row>
    <row r="99" spans="1:11">
      <c r="A99" s="4" t="s">
        <v>496</v>
      </c>
      <c r="B99" s="4">
        <f>B70</f>
        <v>30460.400000000001</v>
      </c>
      <c r="C99" s="4">
        <f t="shared" ref="C99:K99" si="6">C70</f>
        <v>36077.879999999997</v>
      </c>
      <c r="D99" s="4">
        <f t="shared" si="6"/>
        <v>34613.910000000003</v>
      </c>
      <c r="E99" s="4">
        <f t="shared" si="6"/>
        <v>32648.82</v>
      </c>
      <c r="F99" s="4">
        <f t="shared" si="6"/>
        <v>33726.97</v>
      </c>
      <c r="G99" s="4">
        <f t="shared" si="6"/>
        <v>46792.46</v>
      </c>
      <c r="H99" s="4">
        <f t="shared" si="6"/>
        <v>40669.19</v>
      </c>
      <c r="I99" s="4">
        <f t="shared" si="6"/>
        <v>37015.56</v>
      </c>
      <c r="J99" s="4">
        <f t="shared" si="6"/>
        <v>45807</v>
      </c>
      <c r="K99" s="4">
        <f t="shared" si="6"/>
        <v>40834</v>
      </c>
    </row>
    <row r="100" spans="1:11">
      <c r="A100" s="4" t="s">
        <v>410</v>
      </c>
      <c r="B100" s="4">
        <f>B97+B98-B99</f>
        <v>150518.71200000003</v>
      </c>
      <c r="C100" s="4">
        <f t="shared" ref="C100:K100" si="7">C97+C98-C99</f>
        <v>177030.9705</v>
      </c>
      <c r="D100" s="4">
        <f t="shared" si="7"/>
        <v>148707.96050000002</v>
      </c>
      <c r="E100" s="4">
        <f t="shared" si="7"/>
        <v>123837.7225</v>
      </c>
      <c r="F100" s="4">
        <f t="shared" si="7"/>
        <v>113008.01499999998</v>
      </c>
      <c r="G100" s="4">
        <f t="shared" si="7"/>
        <v>195544.764</v>
      </c>
      <c r="H100" s="4">
        <f t="shared" si="7"/>
        <v>249815.20249999996</v>
      </c>
      <c r="I100" s="4">
        <f t="shared" si="7"/>
        <v>236858.18400000001</v>
      </c>
      <c r="J100" s="4">
        <f t="shared" si="7"/>
        <v>391433.93599999999</v>
      </c>
      <c r="K100" s="4">
        <f t="shared" si="7"/>
        <v>278991.27850000001</v>
      </c>
    </row>
    <row r="102" spans="1:11">
      <c r="A102" s="4" t="s">
        <v>396</v>
      </c>
      <c r="B102" s="4">
        <f>B100/B32</f>
        <v>4.1574908118445864</v>
      </c>
      <c r="C102" s="4">
        <f t="shared" ref="C102:K102" si="8">C100/C32</f>
        <v>5.3893019609060842</v>
      </c>
      <c r="D102" s="4">
        <f t="shared" si="8"/>
        <v>3.7584576060083581</v>
      </c>
      <c r="E102" s="4">
        <f t="shared" si="8"/>
        <v>-64.685796181670952</v>
      </c>
      <c r="F102" s="4">
        <f t="shared" si="8"/>
        <v>6.6502060240708607</v>
      </c>
      <c r="G102" s="4">
        <f t="shared" si="8"/>
        <v>9.4309570350650009</v>
      </c>
      <c r="H102" s="4">
        <f t="shared" si="8"/>
        <v>9.2739269832207061</v>
      </c>
      <c r="I102" s="4">
        <f t="shared" si="8"/>
        <v>6.1997959909632945</v>
      </c>
      <c r="J102" s="4">
        <f t="shared" si="8"/>
        <v>6.2923407921810695</v>
      </c>
      <c r="K102" s="4">
        <f t="shared" si="8"/>
        <v>4.1845971786833855</v>
      </c>
    </row>
    <row r="103" spans="1:11">
      <c r="A103" s="4" t="s">
        <v>497</v>
      </c>
      <c r="B103" s="4">
        <f>B100/B17</f>
        <v>0.5512585150612207</v>
      </c>
      <c r="C103" s="4">
        <f t="shared" ref="C103:K103" si="9">C100/C17</f>
        <v>0.65641782376529478</v>
      </c>
      <c r="D103" s="4">
        <f t="shared" si="9"/>
        <v>0.51005904877947728</v>
      </c>
      <c r="E103" s="4">
        <f t="shared" si="9"/>
        <v>0.41014234194789401</v>
      </c>
      <c r="F103" s="4">
        <f t="shared" si="9"/>
        <v>0.43286817222350171</v>
      </c>
      <c r="G103" s="4">
        <f t="shared" si="9"/>
        <v>0.78282175265893295</v>
      </c>
      <c r="H103" s="4">
        <f t="shared" si="9"/>
        <v>0.89715192964630863</v>
      </c>
      <c r="I103" s="4">
        <f t="shared" si="9"/>
        <v>0.68462658154909994</v>
      </c>
      <c r="J103" s="4">
        <f t="shared" si="9"/>
        <v>0.90188826218388263</v>
      </c>
      <c r="K103" s="4">
        <f t="shared" si="9"/>
        <v>0.63451091893244183</v>
      </c>
    </row>
    <row r="104" spans="1:11">
      <c r="A104" s="4" t="s">
        <v>501</v>
      </c>
      <c r="B104" s="4">
        <f>B97/B77</f>
        <v>1.413752309777498</v>
      </c>
      <c r="C104" s="4">
        <f t="shared" ref="C104:K104" si="10">C97/C77</f>
        <v>2.3165775433765594</v>
      </c>
      <c r="D104" s="4">
        <f t="shared" si="10"/>
        <v>0.98892871592807607</v>
      </c>
      <c r="E104" s="4">
        <f t="shared" si="10"/>
        <v>0.83601811811186399</v>
      </c>
      <c r="F104" s="4">
        <f t="shared" si="10"/>
        <v>0.34793684951123621</v>
      </c>
      <c r="G104" s="4">
        <f t="shared" si="10"/>
        <v>1.8138027741737426</v>
      </c>
      <c r="H104" s="4">
        <f t="shared" si="10"/>
        <v>3.232301491161377</v>
      </c>
      <c r="I104" s="4">
        <f t="shared" si="10"/>
        <v>3.0837331005681818</v>
      </c>
      <c r="J104" s="4">
        <f t="shared" si="10"/>
        <v>3.8858302833321554</v>
      </c>
      <c r="K104" s="4">
        <f t="shared" si="10"/>
        <v>2.1377365899228544</v>
      </c>
    </row>
    <row r="105" spans="1:11">
      <c r="A105" s="4" t="s">
        <v>504</v>
      </c>
      <c r="B105" s="4">
        <f>'Historical FS'!C39/('Data Sheet'!B58+'Data Sheet'!B59)</f>
        <v>0.17441316864171685</v>
      </c>
      <c r="C105" s="4">
        <f>'Historical FS'!D39/('Data Sheet'!C58+'Data Sheet'!C59)</f>
        <v>7.2241189530689018E-2</v>
      </c>
      <c r="D105" s="4">
        <f>'Historical FS'!E39/('Data Sheet'!D58+'Data Sheet'!D59)</f>
        <v>9.2254980749341738E-3</v>
      </c>
      <c r="E105" s="4">
        <f>'Historical FS'!F39/('Data Sheet'!E58+'Data Sheet'!E59)</f>
        <v>-3.7345736658758885E-2</v>
      </c>
      <c r="F105" s="4">
        <f>'Historical FS'!G39/('Data Sheet'!F58+'Data Sheet'!F59)</f>
        <v>-0.17560555073176307</v>
      </c>
      <c r="G105" s="4">
        <f>'Historical FS'!H39/('Data Sheet'!G58+'Data Sheet'!G59)</f>
        <v>-3.4360591904822206E-2</v>
      </c>
      <c r="H105" s="4">
        <f>'Historical FS'!I39/('Data Sheet'!H58+'Data Sheet'!H59)</f>
        <v>-0.30651638060341274</v>
      </c>
      <c r="I105" s="4">
        <f>'Historical FS'!J39/('Data Sheet'!I58+'Data Sheet'!I59)</f>
        <v>-8.7686298356707396E-2</v>
      </c>
      <c r="J105" s="4">
        <f>'Historical FS'!K39/('Data Sheet'!J58+'Data Sheet'!J59)</f>
        <v>0.31813043171059141</v>
      </c>
      <c r="K105" s="4">
        <f>'Historical FS'!L39/('Data Sheet'!K58+'Data Sheet'!K59)</f>
        <v>0.14098877255820361</v>
      </c>
    </row>
    <row r="106" spans="1:11">
      <c r="A106" s="20" t="s">
        <v>503</v>
      </c>
      <c r="B106" s="4">
        <f>('Historical FS'!C24-'Historical FS'!C30)/('Historical FS'!C70-'Historical FS'!C56)</f>
        <v>0.1462081011853561</v>
      </c>
      <c r="C106" s="4">
        <f>('Historical FS'!D24-'Historical FS'!D30)/('Historical FS'!D70-'Historical FS'!D56)</f>
        <v>8.549098615477306E-2</v>
      </c>
      <c r="D106" s="4">
        <f>('Historical FS'!E24-'Historical FS'!E30)/('Historical FS'!E70-'Historical FS'!E56)</f>
        <v>5.3716113570365424E-2</v>
      </c>
      <c r="E106" s="4">
        <f>('Historical FS'!F24-'Historical FS'!F30)/('Historical FS'!F70-'Historical FS'!F56)</f>
        <v>6.4542733637543747E-3</v>
      </c>
      <c r="F106" s="4">
        <f>('Historical FS'!G24-'Historical FS'!G30)/('Historical FS'!G70-'Historical FS'!G56)</f>
        <v>-1.8302177555437664E-2</v>
      </c>
      <c r="G106" s="4">
        <f>('Historical FS'!H24-'Historical FS'!H30)/('Historical FS'!H70-'Historical FS'!H56)</f>
        <v>4.4284324706251772E-2</v>
      </c>
      <c r="H106" s="4">
        <f>('Historical FS'!I24-'Historical FS'!I30)/('Historical FS'!I70-'Historical FS'!I56)</f>
        <v>-6.0520306054754594E-4</v>
      </c>
      <c r="I106" s="4">
        <f>('Historical FS'!J24-'Historical FS'!J30)/('Historical FS'!J70-'Historical FS'!J56)</f>
        <v>3.8762956416083731E-2</v>
      </c>
      <c r="J106" s="4">
        <f>('Historical FS'!K24-'Historical FS'!K30)/('Historical FS'!K70-'Historical FS'!K56)</f>
        <v>0.15914601783725843</v>
      </c>
      <c r="K106" s="4">
        <f>('Historical FS'!L24-'Historical FS'!L30)/('Historical FS'!L70-'Historical FS'!L56)</f>
        <v>0.17028622578376421</v>
      </c>
    </row>
    <row r="109" spans="1:11">
      <c r="B109" t="s">
        <v>187</v>
      </c>
      <c r="D109" t="s">
        <v>186</v>
      </c>
    </row>
    <row r="110" spans="1:11">
      <c r="B110" t="s">
        <v>188</v>
      </c>
      <c r="D110" t="s">
        <v>185</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topLeftCell="A6" zoomScale="150" zoomScaleNormal="150" zoomScalePageLayoutView="150" workbookViewId="0">
      <selection activeCell="B16" sqref="B16"/>
    </sheetView>
  </sheetViews>
  <sheetFormatPr defaultColWidth="8.81640625" defaultRowHeight="14.5"/>
  <cols>
    <col min="1" max="1" width="8.81640625" style="2"/>
    <col min="2" max="2" width="10.453125" customWidth="1"/>
    <col min="3" max="3" width="13.36328125" style="20" customWidth="1"/>
    <col min="6" max="6" width="6.81640625" customWidth="1"/>
  </cols>
  <sheetData>
    <row r="1" spans="1:7" ht="21">
      <c r="A1" s="19" t="s">
        <v>56</v>
      </c>
    </row>
    <row r="3" spans="1:7">
      <c r="A3" s="2" t="s">
        <v>48</v>
      </c>
    </row>
    <row r="4" spans="1:7">
      <c r="B4" t="s">
        <v>90</v>
      </c>
    </row>
    <row r="5" spans="1:7">
      <c r="B5" t="s">
        <v>49</v>
      </c>
    </row>
    <row r="7" spans="1:7">
      <c r="A7" s="2" t="s">
        <v>50</v>
      </c>
    </row>
    <row r="8" spans="1:7">
      <c r="B8" t="s">
        <v>51</v>
      </c>
      <c r="C8" s="21" t="s">
        <v>91</v>
      </c>
    </row>
    <row r="10" spans="1:7">
      <c r="A10" s="2" t="s">
        <v>52</v>
      </c>
    </row>
    <row r="11" spans="1:7">
      <c r="B11" t="s">
        <v>53</v>
      </c>
    </row>
    <row r="14" spans="1:7">
      <c r="A14" s="2" t="s">
        <v>54</v>
      </c>
    </row>
    <row r="15" spans="1:7">
      <c r="B15" t="s">
        <v>55</v>
      </c>
    </row>
    <row r="16" spans="1:7">
      <c r="B16" t="s">
        <v>92</v>
      </c>
      <c r="G16" s="22"/>
    </row>
  </sheetData>
  <hyperlinks>
    <hyperlink ref="C8" r:id="rId1" display=" http://www.screener.in/excel" xr:uid="{00000000-0004-0000-0400-00000000000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8639-F548-4C79-AE14-625D31A291C6}">
  <sheetPr>
    <tabColor theme="9" tint="0.59999389629810485"/>
  </sheetPr>
  <dimension ref="A1"/>
  <sheetViews>
    <sheetView workbookViewId="0">
      <selection activeCell="C20" sqref="C20"/>
    </sheetView>
  </sheetViews>
  <sheetFormatPr defaultRowHeight="14.5"/>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FD08-9542-438E-B606-F75A0DCDCEE5}">
  <sheetPr codeName="Sheet33">
    <pageSetUpPr fitToPage="1"/>
  </sheetPr>
  <dimension ref="B2:M71"/>
  <sheetViews>
    <sheetView showGridLines="0" topLeftCell="C10" zoomScale="134" workbookViewId="0">
      <selection activeCell="O15" sqref="O15"/>
    </sheetView>
  </sheetViews>
  <sheetFormatPr defaultRowHeight="14.5"/>
  <cols>
    <col min="1" max="1" width="1.90625" customWidth="1"/>
    <col min="2" max="2" width="38.81640625" customWidth="1"/>
    <col min="3" max="7" width="10.08984375" bestFit="1" customWidth="1"/>
    <col min="8" max="8" width="2" customWidth="1"/>
    <col min="9" max="9" width="16.6328125" customWidth="1"/>
    <col min="10" max="10" width="9.54296875" customWidth="1"/>
    <col min="11" max="11" width="4.90625" customWidth="1"/>
  </cols>
  <sheetData>
    <row r="2" spans="2:12" s="273" customFormat="1" ht="15.5">
      <c r="B2" s="426" t="str">
        <f>'Data Sheet'!B1 &amp;" - "&amp;"Company Profile"</f>
        <v>TATA MOTORS LTD - Company Profile</v>
      </c>
      <c r="C2" s="426"/>
      <c r="D2" s="426"/>
      <c r="E2" s="426"/>
      <c r="F2" s="426"/>
      <c r="G2" s="426"/>
      <c r="H2" s="426"/>
      <c r="I2" s="426"/>
      <c r="J2" s="345"/>
      <c r="K2" s="343"/>
      <c r="L2" s="284"/>
    </row>
    <row r="3" spans="2:12" s="284" customFormat="1" ht="3.5" customHeight="1">
      <c r="B3" s="302"/>
      <c r="C3" s="302"/>
      <c r="D3" s="302"/>
      <c r="E3" s="302"/>
      <c r="F3" s="302"/>
      <c r="G3" s="302"/>
      <c r="H3" s="302"/>
      <c r="I3" s="302"/>
    </row>
    <row r="4" spans="2:12" s="273" customFormat="1" ht="50" customHeight="1">
      <c r="B4" s="278"/>
      <c r="C4" s="427" t="s">
        <v>481</v>
      </c>
      <c r="D4" s="427"/>
      <c r="E4" s="427"/>
      <c r="F4" s="427"/>
      <c r="G4" s="427"/>
      <c r="H4" s="427"/>
      <c r="I4" s="427"/>
      <c r="J4" s="427"/>
      <c r="K4" s="275"/>
    </row>
    <row r="5" spans="2:12" s="273" customFormat="1" ht="10" customHeight="1">
      <c r="B5" s="301" t="s">
        <v>460</v>
      </c>
      <c r="C5" s="427"/>
      <c r="D5" s="427"/>
      <c r="E5" s="427"/>
      <c r="F5" s="427"/>
      <c r="G5" s="427"/>
      <c r="H5" s="427"/>
      <c r="I5" s="427"/>
      <c r="J5" s="427"/>
      <c r="K5" s="275"/>
    </row>
    <row r="6" spans="2:12" s="273" customFormat="1" ht="8" customHeight="1">
      <c r="B6" s="301" t="s">
        <v>480</v>
      </c>
      <c r="C6" s="427"/>
      <c r="D6" s="427"/>
      <c r="E6" s="427"/>
      <c r="F6" s="427"/>
      <c r="G6" s="427"/>
      <c r="H6" s="427"/>
      <c r="I6" s="427"/>
      <c r="J6" s="427"/>
    </row>
    <row r="7" spans="2:12" s="273" customFormat="1" ht="7.5" customHeight="1">
      <c r="B7" s="301" t="s">
        <v>463</v>
      </c>
    </row>
    <row r="8" spans="2:12" s="273" customFormat="1" ht="2.5" customHeight="1">
      <c r="B8" s="303"/>
      <c r="C8" s="303"/>
      <c r="D8" s="303"/>
      <c r="E8" s="303"/>
      <c r="F8" s="303"/>
      <c r="G8" s="303"/>
      <c r="H8" s="303"/>
      <c r="I8" s="303"/>
      <c r="J8" s="303"/>
    </row>
    <row r="9" spans="2:12" s="273" customFormat="1" ht="2.5" customHeight="1"/>
    <row r="10" spans="2:12" s="273" customFormat="1" ht="8.5" customHeight="1">
      <c r="B10" s="304" t="s">
        <v>483</v>
      </c>
    </row>
    <row r="11" spans="2:12" ht="2" customHeight="1"/>
    <row r="12" spans="2:12">
      <c r="B12" s="346" t="s">
        <v>482</v>
      </c>
      <c r="C12" s="347">
        <f>'Data Sheet'!G16</f>
        <v>44286</v>
      </c>
      <c r="D12" s="347">
        <f>'Data Sheet'!H16</f>
        <v>44651</v>
      </c>
      <c r="E12" s="347">
        <f>'Data Sheet'!I16</f>
        <v>45016</v>
      </c>
      <c r="F12" s="347">
        <f>'Data Sheet'!J16</f>
        <v>45382</v>
      </c>
      <c r="G12" s="347">
        <f>'Data Sheet'!K16</f>
        <v>45747</v>
      </c>
      <c r="I12" s="428" t="s">
        <v>493</v>
      </c>
      <c r="J12" s="428"/>
    </row>
    <row r="13" spans="2:12" ht="3" customHeight="1"/>
    <row r="14" spans="2:12">
      <c r="B14" s="332" t="s">
        <v>475</v>
      </c>
      <c r="C14" s="332">
        <f>'Historical FS'!H12</f>
        <v>249794.75</v>
      </c>
      <c r="D14" s="332">
        <f>'Historical FS'!I12</f>
        <v>278453.62</v>
      </c>
      <c r="E14" s="332">
        <f>'Historical FS'!J12</f>
        <v>345966.97</v>
      </c>
      <c r="F14" s="332">
        <f>'Historical FS'!K12</f>
        <v>434016</v>
      </c>
      <c r="G14" s="332">
        <f>'Historical FS'!L12</f>
        <v>439695</v>
      </c>
    </row>
    <row r="15" spans="2:12">
      <c r="B15" s="333" t="s">
        <v>484</v>
      </c>
      <c r="C15" s="334">
        <f>'Historical FS'!H13</f>
        <v>-4.3181168490336042E-2</v>
      </c>
      <c r="D15" s="334">
        <f>'Historical FS'!I13</f>
        <v>0.11472967306158344</v>
      </c>
      <c r="E15" s="334">
        <f>'Historical FS'!J13</f>
        <v>0.24245815155859707</v>
      </c>
      <c r="F15" s="334">
        <f>'Historical FS'!K13</f>
        <v>0.25450126062612277</v>
      </c>
      <c r="G15" s="334">
        <f>'Historical FS'!L13</f>
        <v>1.3084771068347711E-2</v>
      </c>
    </row>
    <row r="16" spans="2:12">
      <c r="B16" s="332" t="s">
        <v>98</v>
      </c>
      <c r="C16" s="332">
        <f>'Historical FS'!H18</f>
        <v>54468.710000000021</v>
      </c>
      <c r="D16" s="332">
        <f>'Historical FS'!I18</f>
        <v>55153.609999999986</v>
      </c>
      <c r="E16" s="332">
        <f>'Historical FS'!J18</f>
        <v>71563.329999999958</v>
      </c>
      <c r="F16" s="332">
        <f>'Historical FS'!K18</f>
        <v>99636</v>
      </c>
      <c r="G16" s="332">
        <f>'Historical FS'!L18</f>
        <v>98886</v>
      </c>
    </row>
    <row r="17" spans="2:13">
      <c r="B17" s="332" t="s">
        <v>488</v>
      </c>
      <c r="C17" s="335">
        <f>'Historical FS'!H19</f>
        <v>0.21805386222088344</v>
      </c>
      <c r="D17" s="335">
        <f>'Historical FS'!I19</f>
        <v>0.1980710827174737</v>
      </c>
      <c r="E17" s="335">
        <f>'Historical FS'!J19</f>
        <v>0.20685017994636876</v>
      </c>
      <c r="F17" s="335">
        <f>'Historical FS'!K19</f>
        <v>0.22956757354567572</v>
      </c>
      <c r="G17" s="335">
        <f>'Historical FS'!L19</f>
        <v>0.22489680346603896</v>
      </c>
      <c r="M17" s="48"/>
    </row>
    <row r="18" spans="2:13">
      <c r="B18" s="332" t="s">
        <v>487</v>
      </c>
      <c r="C18" s="335">
        <f>'Historical FS'!H25</f>
        <v>0.12925583904385507</v>
      </c>
      <c r="D18" s="335">
        <f>'Historical FS'!I25</f>
        <v>8.8776328352276349E-2</v>
      </c>
      <c r="E18" s="335">
        <f>'Historical FS'!J25</f>
        <v>9.1961958102532049E-2</v>
      </c>
      <c r="F18" s="335">
        <f>'Historical FS'!K25</f>
        <v>0.13323011133230112</v>
      </c>
      <c r="G18" s="335">
        <f>'Historical FS'!L25</f>
        <v>0.12557795744777631</v>
      </c>
    </row>
    <row r="19" spans="2:13">
      <c r="B19" s="332" t="s">
        <v>486</v>
      </c>
      <c r="C19" s="335">
        <f>('Historical FS'!H24-'Historical FS'!H30)/'Historical FS'!H12</f>
        <v>3.4991608110258601E-2</v>
      </c>
      <c r="D19" s="335">
        <f>('Historical FS'!I24-'Historical FS'!I30)/'Historical FS'!I12</f>
        <v>-4.151499269429972E-4</v>
      </c>
      <c r="E19" s="335">
        <f>('Historical FS'!J24-'Historical FS'!J30)/'Historical FS'!J12</f>
        <v>2.0104346955433228E-2</v>
      </c>
      <c r="F19" s="335">
        <f>('Historical FS'!K24-'Historical FS'!K30)/'Historical FS'!K12</f>
        <v>7.0469752267197525E-2</v>
      </c>
      <c r="G19" s="335">
        <f>('Historical FS'!L24-'Historical FS'!L30)/'Historical FS'!L12</f>
        <v>7.2686748769033083E-2</v>
      </c>
    </row>
    <row r="20" spans="2:13">
      <c r="B20" s="332" t="s">
        <v>489</v>
      </c>
      <c r="C20" s="335">
        <f>'Historical FS'!H40</f>
        <v>-7.5994791724004569E-3</v>
      </c>
      <c r="D20" s="335">
        <f>'Historical FS'!I40</f>
        <v>-4.9052154538339339E-2</v>
      </c>
      <c r="E20" s="335">
        <f>'Historical FS'!J40</f>
        <v>-1.1486934720964945E-2</v>
      </c>
      <c r="F20" s="335">
        <f>'Historical FS'!K40</f>
        <v>6.224424905994249E-2</v>
      </c>
      <c r="G20" s="335">
        <f>'Historical FS'!L40</f>
        <v>3.724172437712505E-2</v>
      </c>
    </row>
    <row r="21" spans="2:13">
      <c r="B21" s="332" t="s">
        <v>490</v>
      </c>
      <c r="C21" s="336">
        <f>'Historical FS'!H44</f>
        <v>-5.7172845827183663</v>
      </c>
      <c r="D21" s="336">
        <f>'Historical FS'!I44</f>
        <v>-41.132140813683918</v>
      </c>
      <c r="E21" s="336">
        <f>'Historical FS'!J44</f>
        <v>-11.965495438533218</v>
      </c>
      <c r="F21" s="336">
        <f>'Historical FS'!K44</f>
        <v>81.279898907843673</v>
      </c>
      <c r="G21" s="336">
        <f>'Historical FS'!L44</f>
        <v>44.481569010947219</v>
      </c>
    </row>
    <row r="22" spans="2:13">
      <c r="B22" s="333" t="s">
        <v>491</v>
      </c>
      <c r="C22" s="334">
        <f>'Historical FS'!H45</f>
        <v>-0.84056344011959105</v>
      </c>
      <c r="D22" s="334">
        <f>'Historical FS'!I45</f>
        <v>6.1943490338077662</v>
      </c>
      <c r="E22" s="334">
        <f>'Historical FS'!J45</f>
        <v>-0.70909621522659694</v>
      </c>
      <c r="F22" s="334">
        <f>'Historical FS'!K45</f>
        <v>-7.7928569548481077</v>
      </c>
      <c r="G22" s="334">
        <f>'Historical FS'!L45</f>
        <v>-0.45273592107464278</v>
      </c>
    </row>
    <row r="23" spans="2:13">
      <c r="B23" s="332" t="s">
        <v>113</v>
      </c>
      <c r="C23" s="336">
        <f>'Historical FS'!H47</f>
        <v>0</v>
      </c>
      <c r="D23" s="336">
        <f>'Historical FS'!I47</f>
        <v>0</v>
      </c>
      <c r="E23" s="336">
        <f>'Historical FS'!J47</f>
        <v>2.3063860536536898</v>
      </c>
      <c r="F23" s="336">
        <f>'Historical FS'!K47</f>
        <v>6.9230074916508713</v>
      </c>
      <c r="G23" s="336">
        <f>'Historical FS'!L47</f>
        <v>5.9978811832776469</v>
      </c>
    </row>
    <row r="24" spans="2:13">
      <c r="B24" s="333" t="s">
        <v>492</v>
      </c>
      <c r="C24" s="334">
        <f>'Historical FS'!H48</f>
        <v>0</v>
      </c>
      <c r="D24" s="334">
        <f>'Historical FS'!I48</f>
        <v>0</v>
      </c>
      <c r="E24" s="334">
        <f>'Historical FS'!J48</f>
        <v>-0.19275307616818721</v>
      </c>
      <c r="F24" s="334">
        <f>'Historical FS'!K48</f>
        <v>8.517490283176013E-2</v>
      </c>
      <c r="G24" s="334">
        <f>'Historical FS'!L48</f>
        <v>0.13483969465648857</v>
      </c>
    </row>
    <row r="26" spans="2:13">
      <c r="B26" s="346" t="s">
        <v>499</v>
      </c>
      <c r="C26" s="347">
        <f>C12</f>
        <v>44286</v>
      </c>
      <c r="D26" s="347">
        <f t="shared" ref="D26:G26" si="0">D12</f>
        <v>44651</v>
      </c>
      <c r="E26" s="347">
        <f t="shared" si="0"/>
        <v>45016</v>
      </c>
      <c r="F26" s="347">
        <f t="shared" si="0"/>
        <v>45382</v>
      </c>
      <c r="G26" s="347">
        <f t="shared" si="0"/>
        <v>45747</v>
      </c>
      <c r="I26" s="428" t="s">
        <v>505</v>
      </c>
      <c r="J26" s="428"/>
    </row>
    <row r="27" spans="2:13" ht="5" customHeight="1"/>
    <row r="28" spans="2:13">
      <c r="B28" s="329" t="s">
        <v>500</v>
      </c>
      <c r="C28" s="330">
        <f>'Profit &amp; Loss'!G14</f>
        <v>-7.4495389695786081</v>
      </c>
      <c r="D28" s="330">
        <f>'Profit &amp; Loss'!H14</f>
        <v>-12.588886087189845</v>
      </c>
      <c r="E28" s="330">
        <f>'Profit &amp; Loss'!I14</f>
        <v>57.88878055246056</v>
      </c>
      <c r="F28" s="330">
        <f>'Profit &amp; Loss'!J14</f>
        <v>10.509154304277205</v>
      </c>
      <c r="G28" s="330">
        <f>'Profit &amp; Loss'!K14</f>
        <v>8.9214976104922741</v>
      </c>
    </row>
    <row r="29" spans="2:13">
      <c r="B29" s="331" t="str">
        <f>'Data Sheet'!A102</f>
        <v>EV/EBITDA</v>
      </c>
      <c r="C29" s="330">
        <f>'Data Sheet'!G102</f>
        <v>9.4309570350650009</v>
      </c>
      <c r="D29" s="330">
        <f>'Data Sheet'!H102</f>
        <v>9.2739269832207061</v>
      </c>
      <c r="E29" s="330">
        <f>'Data Sheet'!I102</f>
        <v>6.1997959909632945</v>
      </c>
      <c r="F29" s="330">
        <f>'Data Sheet'!J102</f>
        <v>6.2923407921810695</v>
      </c>
      <c r="G29" s="330">
        <f>'Data Sheet'!K102</f>
        <v>4.1845971786833855</v>
      </c>
    </row>
    <row r="30" spans="2:13">
      <c r="B30" s="331" t="str">
        <f>'Data Sheet'!A103</f>
        <v>EV/Sales</v>
      </c>
      <c r="C30" s="330">
        <f>'Data Sheet'!G103</f>
        <v>0.78282175265893295</v>
      </c>
      <c r="D30" s="330">
        <f>'Data Sheet'!H103</f>
        <v>0.89715192964630863</v>
      </c>
      <c r="E30" s="330">
        <f>'Data Sheet'!I103</f>
        <v>0.68462658154909994</v>
      </c>
      <c r="F30" s="330">
        <f>'Data Sheet'!J103</f>
        <v>0.90188826218388263</v>
      </c>
      <c r="G30" s="330">
        <f>'Data Sheet'!K103</f>
        <v>0.63451091893244183</v>
      </c>
    </row>
    <row r="31" spans="2:13">
      <c r="B31" s="331" t="str">
        <f>'Data Sheet'!A104</f>
        <v>Price to Book Value</v>
      </c>
      <c r="C31" s="330">
        <f>'Data Sheet'!G104</f>
        <v>1.8138027741737426</v>
      </c>
      <c r="D31" s="330">
        <f>'Data Sheet'!H104</f>
        <v>3.232301491161377</v>
      </c>
      <c r="E31" s="330">
        <f>'Data Sheet'!I104</f>
        <v>3.0837331005681818</v>
      </c>
      <c r="F31" s="330">
        <f>'Data Sheet'!J104</f>
        <v>3.8858302833321554</v>
      </c>
      <c r="G31" s="330">
        <f>'Data Sheet'!K104</f>
        <v>2.1377365899228544</v>
      </c>
    </row>
    <row r="32" spans="2:13">
      <c r="B32" s="329" t="s">
        <v>502</v>
      </c>
      <c r="C32" s="330">
        <f>'Data Sheet'!G105</f>
        <v>-3.4360591904822206E-2</v>
      </c>
      <c r="D32" s="330">
        <f>'Data Sheet'!H105</f>
        <v>-0.30651638060341274</v>
      </c>
      <c r="E32" s="330">
        <f>'Data Sheet'!I105</f>
        <v>-8.7686298356707396E-2</v>
      </c>
      <c r="F32" s="330">
        <f>'Data Sheet'!J105</f>
        <v>0.31813043171059141</v>
      </c>
      <c r="G32" s="330">
        <f>'Data Sheet'!K105</f>
        <v>0.14098877255820361</v>
      </c>
    </row>
    <row r="33" spans="2:13">
      <c r="B33" s="329" t="s">
        <v>503</v>
      </c>
      <c r="C33" s="330">
        <f>'Data Sheet'!G106</f>
        <v>4.4284324706251772E-2</v>
      </c>
      <c r="D33" s="330">
        <f>'Data Sheet'!H106</f>
        <v>-6.0520306054754594E-4</v>
      </c>
      <c r="E33" s="330">
        <f>'Data Sheet'!I106</f>
        <v>3.8762956416083731E-2</v>
      </c>
      <c r="F33" s="330">
        <f>'Data Sheet'!J106</f>
        <v>0.15914601783725843</v>
      </c>
      <c r="G33" s="330">
        <f>'Data Sheet'!K106</f>
        <v>0.17028622578376421</v>
      </c>
    </row>
    <row r="35" spans="2:13">
      <c r="B35" s="83" t="s">
        <v>506</v>
      </c>
      <c r="C35" s="428" t="s">
        <v>507</v>
      </c>
      <c r="D35" s="428"/>
      <c r="E35" s="83" t="s">
        <v>508</v>
      </c>
      <c r="F35" s="428" t="s">
        <v>509</v>
      </c>
      <c r="G35" s="428"/>
      <c r="I35" s="428" t="s">
        <v>1563</v>
      </c>
      <c r="J35" s="429"/>
    </row>
    <row r="36" spans="2:13" ht="3.5" customHeight="1"/>
    <row r="37" spans="2:13">
      <c r="B37" s="332" t="str">
        <f>'Historical Data'!C1251</f>
        <v>Tata Sons Private Limited</v>
      </c>
      <c r="C37" s="432">
        <f>'Historical Data'!D1251</f>
        <v>147.8263541</v>
      </c>
      <c r="D37" s="431"/>
      <c r="E37" s="335">
        <f>'Historical Data'!E1251</f>
        <v>0.40149999999999997</v>
      </c>
      <c r="F37" s="430">
        <f>'Historical Data'!F1251</f>
        <v>102207.14122474</v>
      </c>
      <c r="G37" s="431"/>
    </row>
    <row r="38" spans="2:13">
      <c r="B38" s="332" t="str">
        <f>'Historical Data'!C1252</f>
        <v>Life Insurance Corporation Of India</v>
      </c>
      <c r="C38" s="432">
        <f>'Historical Data'!D1252</f>
        <v>14.3329281</v>
      </c>
      <c r="D38" s="431"/>
      <c r="E38" s="335">
        <f>'Historical Data'!E1252</f>
        <v>3.8900000000000004E-2</v>
      </c>
      <c r="F38" s="430">
        <f>'Historical Data'!F1252</f>
        <v>9909.7864883399998</v>
      </c>
      <c r="G38" s="431"/>
    </row>
    <row r="39" spans="2:13">
      <c r="B39" s="332" t="str">
        <f>'Historical Data'!C1253</f>
        <v>SBI Nifty 50 Etf</v>
      </c>
      <c r="C39" s="432">
        <f>'Historical Data'!D1253</f>
        <v>10.2534387</v>
      </c>
      <c r="D39" s="431"/>
      <c r="E39" s="335">
        <f>'Historical Data'!E1253</f>
        <v>2.7900000000000001E-2</v>
      </c>
      <c r="F39" s="430">
        <f>'Historical Data'!F1253</f>
        <v>7089.2275171800002</v>
      </c>
      <c r="G39" s="431"/>
    </row>
    <row r="40" spans="2:13">
      <c r="B40" s="332" t="str">
        <f>'Historical Data'!C1254</f>
        <v>Tata Industries Limited</v>
      </c>
      <c r="C40" s="432">
        <f>'Historical Data'!D1254</f>
        <v>7.2203629999999999</v>
      </c>
      <c r="D40" s="431"/>
      <c r="E40" s="335">
        <f>'Historical Data'!E1254</f>
        <v>1.9599999999999999E-2</v>
      </c>
      <c r="F40" s="430">
        <f>'Historical Data'!F1254</f>
        <v>4992.1589782000001</v>
      </c>
      <c r="G40" s="431"/>
    </row>
    <row r="41" spans="2:13">
      <c r="B41" s="332" t="str">
        <f>'Historical Data'!C1255</f>
        <v>ICICI Prudential Value Discovery Fund</v>
      </c>
      <c r="C41" s="432">
        <f>'Historical Data'!D1255</f>
        <v>6.8270492000000003</v>
      </c>
      <c r="D41" s="431"/>
      <c r="E41" s="335">
        <f>'Historical Data'!E1255</f>
        <v>1.8500000000000003E-2</v>
      </c>
      <c r="F41" s="430">
        <f>'Historical Data'!F1255</f>
        <v>4720.22181688</v>
      </c>
      <c r="G41" s="431"/>
    </row>
    <row r="42" spans="2:13">
      <c r="B42" s="332" t="str">
        <f>'Historical Data'!C1256</f>
        <v>HDFC Trustee Co. &amp; HDFC Large Cap Fund</v>
      </c>
      <c r="C42" s="432">
        <f>'Historical Data'!D1256</f>
        <v>4.9420875000000004</v>
      </c>
      <c r="D42" s="431"/>
      <c r="E42" s="335">
        <f>'Historical Data'!E1256</f>
        <v>1.34E-2</v>
      </c>
      <c r="F42" s="430">
        <f>'Historical Data'!F1256</f>
        <v>3416.9592975</v>
      </c>
      <c r="G42" s="431"/>
    </row>
    <row r="43" spans="2:13">
      <c r="B43" s="332" t="str">
        <f>'Historical Data'!C1257</f>
        <v>Rekha Jhunjhunwala</v>
      </c>
      <c r="C43" s="432">
        <f>'Historical Data'!D1257</f>
        <v>4.7770260000000002</v>
      </c>
      <c r="D43" s="431"/>
      <c r="E43" s="335">
        <f>'Historical Data'!E1257</f>
        <v>1.3000000000000001E-2</v>
      </c>
      <c r="F43" s="430">
        <f>'Historical Data'!F1257</f>
        <v>3302.8357764000002</v>
      </c>
      <c r="G43" s="431"/>
      <c r="M43" s="48"/>
    </row>
    <row r="44" spans="2:13">
      <c r="B44" s="332" t="str">
        <f>'Historical Data'!C1258</f>
        <v>Tata Investment Corporation Limited</v>
      </c>
      <c r="C44" s="432">
        <f>'Historical Data'!D1258</f>
        <v>1.1000000000000001</v>
      </c>
      <c r="D44" s="431"/>
      <c r="E44" s="335">
        <f>'Historical Data'!E1258</f>
        <v>3.0000000000000001E-3</v>
      </c>
      <c r="F44" s="430">
        <f>'Historical Data'!F1258</f>
        <v>760.54000000000008</v>
      </c>
      <c r="G44" s="431"/>
    </row>
    <row r="45" spans="2:13">
      <c r="B45" s="332" t="str">
        <f>'Historical Data'!C1259</f>
        <v>Investor Education and Protection Fund (IEPF)</v>
      </c>
      <c r="C45" s="432">
        <f>'Historical Data'!D1259</f>
        <v>0.97688240000000004</v>
      </c>
      <c r="D45" s="431"/>
      <c r="E45" s="335">
        <f>'Historical Data'!E1259</f>
        <v>2.7000000000000001E-3</v>
      </c>
      <c r="F45" s="430">
        <f>'Historical Data'!F1259</f>
        <v>675.41649136000001</v>
      </c>
      <c r="G45" s="431"/>
    </row>
    <row r="46" spans="2:13">
      <c r="B46" s="332" t="str">
        <f>'Historical Data'!C1260</f>
        <v>Ewart Investments Limited</v>
      </c>
      <c r="C46" s="432">
        <f>'Historical Data'!D1260</f>
        <v>0.33837460000000003</v>
      </c>
      <c r="D46" s="431"/>
      <c r="E46" s="335">
        <f>'Historical Data'!E1260</f>
        <v>8.9999999999999998E-4</v>
      </c>
      <c r="F46" s="430">
        <f>'Historical Data'!F1260</f>
        <v>233.95219844000002</v>
      </c>
      <c r="G46" s="431"/>
    </row>
    <row r="48" spans="2:13" ht="22.5" customHeight="1">
      <c r="B48" s="378" t="s">
        <v>1588</v>
      </c>
      <c r="C48" s="435" t="s">
        <v>1576</v>
      </c>
      <c r="D48" s="435"/>
      <c r="E48" s="434" t="str">
        <f>'Historical Data'!F1263</f>
        <v>Ratio of remuneration to median remuneration</v>
      </c>
      <c r="F48" s="434"/>
      <c r="G48" s="379" t="str">
        <f>'Historical Data'!G1263</f>
        <v>%  Increase in Remuneration</v>
      </c>
      <c r="I48" s="425" t="s">
        <v>328</v>
      </c>
      <c r="J48" s="425"/>
    </row>
    <row r="49" spans="2:12" ht="5.5" customHeight="1"/>
    <row r="50" spans="2:12">
      <c r="B50" s="332" t="str">
        <f>'Historical Data'!D1264</f>
        <v>Mr N Chandrasekaran</v>
      </c>
      <c r="C50" s="433" t="str">
        <f>'Historical Data'!E1264</f>
        <v>Chairman- NE Director</v>
      </c>
      <c r="D50" s="433"/>
      <c r="E50" s="431" t="str">
        <f>'Historical Data'!F1264</f>
        <v>-</v>
      </c>
      <c r="F50" s="431"/>
      <c r="G50" s="337" t="str">
        <f>'Historical Data'!G1264</f>
        <v>-</v>
      </c>
      <c r="I50" s="318" t="s">
        <v>1574</v>
      </c>
      <c r="J50" s="321">
        <v>691.4</v>
      </c>
    </row>
    <row r="51" spans="2:12">
      <c r="B51" s="332" t="str">
        <f>'Historical Data'!D1265</f>
        <v>Mr Girish Wagh</v>
      </c>
      <c r="C51" s="433" t="str">
        <f>'Historical Data'!E1265</f>
        <v xml:space="preserve"> Executive Director</v>
      </c>
      <c r="D51" s="433"/>
      <c r="E51" s="431">
        <f>'Historical Data'!F1265</f>
        <v>60.21</v>
      </c>
      <c r="F51" s="431"/>
      <c r="G51" s="337">
        <f>'Historical Data'!G1265</f>
        <v>18.91</v>
      </c>
      <c r="I51" s="318" t="s">
        <v>1570</v>
      </c>
      <c r="J51" s="321">
        <f>'Data Sheet'!B6</f>
        <v>368.17104005880191</v>
      </c>
    </row>
    <row r="52" spans="2:12">
      <c r="B52" s="332" t="str">
        <f>'Historical Data'!D1266</f>
        <v>Mr Om Prakash Bhat</v>
      </c>
      <c r="C52" s="433" t="str">
        <f>'Historical Data'!E1266</f>
        <v>Independent Director</v>
      </c>
      <c r="D52" s="433"/>
      <c r="E52" s="431">
        <f>'Historical Data'!F1266</f>
        <v>10.8</v>
      </c>
      <c r="F52" s="431"/>
      <c r="G52" s="337">
        <f>'Historical Data'!G1266</f>
        <v>12.21</v>
      </c>
      <c r="I52" s="319" t="s">
        <v>79</v>
      </c>
      <c r="J52" s="321">
        <f>J50*J51</f>
        <v>254553.45709665562</v>
      </c>
    </row>
    <row r="53" spans="2:12">
      <c r="B53" s="332" t="str">
        <f>'Historical Data'!D1267</f>
        <v>Ms Hanne Sorensen</v>
      </c>
      <c r="C53" s="433" t="str">
        <f>'Historical Data'!E1267</f>
        <v>Independent Director</v>
      </c>
      <c r="D53" s="433"/>
      <c r="E53" s="431">
        <f>'Historical Data'!F1267</f>
        <v>10.7</v>
      </c>
      <c r="F53" s="431"/>
      <c r="G53" s="337">
        <f>'Historical Data'!G1267</f>
        <v>12.34</v>
      </c>
      <c r="I53" s="320" t="s">
        <v>1571</v>
      </c>
      <c r="J53" s="322">
        <f>-'Data Sheet'!K70</f>
        <v>-40834</v>
      </c>
    </row>
    <row r="54" spans="2:12">
      <c r="B54" s="332" t="str">
        <f>'Historical Data'!D1268</f>
        <v>Ms Vedika Bhandarkar</v>
      </c>
      <c r="C54" s="433" t="str">
        <f>'Historical Data'!E1268</f>
        <v>Independent Director</v>
      </c>
      <c r="D54" s="433"/>
      <c r="E54" s="431">
        <f>'Historical Data'!F1268</f>
        <v>10.65</v>
      </c>
      <c r="F54" s="431"/>
      <c r="G54" s="337">
        <f>'Historical Data'!G1268</f>
        <v>13.44</v>
      </c>
      <c r="I54" s="320" t="s">
        <v>1572</v>
      </c>
      <c r="J54" s="321">
        <f>'Data Sheet'!K60</f>
        <v>71540</v>
      </c>
    </row>
    <row r="55" spans="2:12">
      <c r="B55" s="332" t="str">
        <f>'Historical Data'!D1269</f>
        <v>Mr K V Chowdary</v>
      </c>
      <c r="C55" s="433" t="str">
        <f>'Historical Data'!E1269</f>
        <v>Independent Director</v>
      </c>
      <c r="D55" s="433"/>
      <c r="E55" s="431">
        <f>'Historical Data'!F1269</f>
        <v>8.3699999999999992</v>
      </c>
      <c r="F55" s="431"/>
      <c r="G55" s="337">
        <f>'Historical Data'!G1269</f>
        <v>16.07</v>
      </c>
      <c r="I55" s="320" t="s">
        <v>1573</v>
      </c>
      <c r="J55" s="321">
        <v>6610</v>
      </c>
    </row>
    <row r="56" spans="2:12">
      <c r="B56" s="332" t="str">
        <f>'Historical Data'!D1270</f>
        <v>Mr Al-Noor Ramji</v>
      </c>
      <c r="C56" s="433" t="str">
        <f>'Historical Data'!E1270</f>
        <v>Independent Director</v>
      </c>
      <c r="D56" s="433"/>
      <c r="E56" s="431">
        <f>'Historical Data'!F1270</f>
        <v>10.44</v>
      </c>
      <c r="F56" s="431"/>
      <c r="G56" s="337">
        <f>'Historical Data'!G1270</f>
        <v>14.39</v>
      </c>
      <c r="I56" s="319" t="s">
        <v>392</v>
      </c>
      <c r="J56" s="323">
        <f>SUM(J52:J55)</f>
        <v>291869.45709665562</v>
      </c>
    </row>
    <row r="57" spans="2:12">
      <c r="B57" s="332" t="str">
        <f>'Historical Data'!D1271</f>
        <v>Mrs Usha Sangwan</v>
      </c>
      <c r="C57" s="433" t="str">
        <f>'Historical Data'!E1271</f>
        <v>Independent Director</v>
      </c>
      <c r="D57" s="433"/>
      <c r="E57" s="431">
        <f>'Historical Data'!F1271</f>
        <v>7.29</v>
      </c>
      <c r="F57" s="431"/>
      <c r="G57" s="337" t="str">
        <f>'Historical Data'!G1271</f>
        <v>-</v>
      </c>
    </row>
    <row r="59" spans="2:12">
      <c r="B59" s="83" t="s">
        <v>1591</v>
      </c>
      <c r="C59" s="83"/>
      <c r="D59" s="83"/>
      <c r="E59" s="83"/>
      <c r="F59" s="83"/>
      <c r="G59" s="83"/>
      <c r="H59" s="93"/>
      <c r="I59" s="93"/>
      <c r="J59" s="93"/>
    </row>
    <row r="60" spans="2:12" ht="3.5" customHeight="1"/>
    <row r="61" spans="2:12">
      <c r="B61" s="342" t="s">
        <v>1592</v>
      </c>
      <c r="C61" s="338"/>
      <c r="D61" s="338"/>
      <c r="E61" s="338"/>
      <c r="F61" s="338"/>
      <c r="G61" s="338"/>
      <c r="H61" s="338"/>
      <c r="I61" s="338"/>
      <c r="J61" s="338"/>
    </row>
    <row r="62" spans="2:12">
      <c r="B62" s="342" t="s">
        <v>1597</v>
      </c>
      <c r="C62" s="338"/>
      <c r="D62" s="338"/>
      <c r="E62" s="338"/>
      <c r="F62" s="338"/>
      <c r="G62" s="338"/>
      <c r="H62" s="338"/>
      <c r="I62" s="338"/>
      <c r="J62" s="338"/>
    </row>
    <row r="63" spans="2:12">
      <c r="B63" s="342" t="s">
        <v>1593</v>
      </c>
      <c r="C63" s="338"/>
      <c r="D63" s="338"/>
      <c r="E63" s="338"/>
      <c r="F63" s="338"/>
      <c r="G63" s="338"/>
      <c r="H63" s="338"/>
      <c r="I63" s="338"/>
      <c r="J63" s="338"/>
    </row>
    <row r="64" spans="2:12">
      <c r="B64" s="342" t="s">
        <v>1594</v>
      </c>
      <c r="C64" s="338"/>
      <c r="D64" s="338"/>
      <c r="E64" s="338"/>
      <c r="F64" s="338"/>
      <c r="G64" s="338"/>
      <c r="H64" s="338"/>
      <c r="I64" s="338"/>
      <c r="J64" s="338"/>
      <c r="L64" s="48"/>
    </row>
    <row r="65" spans="2:10">
      <c r="B65" s="342" t="s">
        <v>1595</v>
      </c>
      <c r="C65" s="338"/>
      <c r="D65" s="338"/>
      <c r="E65" s="338"/>
      <c r="F65" s="338"/>
      <c r="G65" s="338"/>
      <c r="H65" s="338"/>
      <c r="I65" s="338"/>
      <c r="J65" s="338"/>
    </row>
    <row r="66" spans="2:10">
      <c r="B66" s="342" t="s">
        <v>1596</v>
      </c>
      <c r="C66" s="338"/>
      <c r="D66" s="338"/>
      <c r="E66" s="338"/>
      <c r="F66" s="338"/>
      <c r="G66" s="338"/>
      <c r="H66" s="338"/>
      <c r="J66" s="338"/>
    </row>
    <row r="67" spans="2:10" ht="15.5" customHeight="1">
      <c r="B67" s="341"/>
      <c r="C67" s="338"/>
      <c r="D67" s="338"/>
      <c r="E67" s="338"/>
      <c r="F67" s="338"/>
      <c r="G67" s="338"/>
      <c r="H67" s="338"/>
      <c r="I67" s="338"/>
      <c r="J67" s="338"/>
    </row>
    <row r="68" spans="2:10" ht="15.5" customHeight="1">
      <c r="B68" s="380"/>
      <c r="C68" s="381"/>
      <c r="D68" s="381"/>
      <c r="E68" s="381"/>
      <c r="F68" s="381"/>
      <c r="G68" s="381"/>
      <c r="H68" s="381"/>
      <c r="I68" s="381"/>
      <c r="J68" s="381"/>
    </row>
    <row r="69" spans="2:10" ht="15.5" customHeight="1">
      <c r="B69" s="339"/>
      <c r="C69" s="328"/>
      <c r="D69" s="328"/>
      <c r="E69" s="328"/>
      <c r="F69" s="328"/>
      <c r="G69" s="328"/>
      <c r="H69" s="328"/>
      <c r="I69" s="328"/>
      <c r="J69" s="328"/>
    </row>
    <row r="70" spans="2:10" ht="15.5" customHeight="1">
      <c r="B70" s="339"/>
    </row>
    <row r="71" spans="2:10" ht="15.5">
      <c r="B71" s="340"/>
    </row>
  </sheetData>
  <mergeCells count="46">
    <mergeCell ref="C54:D54"/>
    <mergeCell ref="C55:D55"/>
    <mergeCell ref="C56:D56"/>
    <mergeCell ref="C57:D57"/>
    <mergeCell ref="E48:F48"/>
    <mergeCell ref="E50:F50"/>
    <mergeCell ref="E51:F51"/>
    <mergeCell ref="E52:F52"/>
    <mergeCell ref="E53:F53"/>
    <mergeCell ref="E54:F54"/>
    <mergeCell ref="E55:F55"/>
    <mergeCell ref="E56:F56"/>
    <mergeCell ref="E57:F57"/>
    <mergeCell ref="C48:D48"/>
    <mergeCell ref="C50:D50"/>
    <mergeCell ref="C51:D51"/>
    <mergeCell ref="C52:D52"/>
    <mergeCell ref="C53:D53"/>
    <mergeCell ref="F46:G46"/>
    <mergeCell ref="F41:G41"/>
    <mergeCell ref="F42:G42"/>
    <mergeCell ref="F43:G43"/>
    <mergeCell ref="F44:G44"/>
    <mergeCell ref="F45:G45"/>
    <mergeCell ref="C46:D46"/>
    <mergeCell ref="C37:D37"/>
    <mergeCell ref="C38:D38"/>
    <mergeCell ref="C39:D39"/>
    <mergeCell ref="C40:D40"/>
    <mergeCell ref="C41:D41"/>
    <mergeCell ref="I48:J48"/>
    <mergeCell ref="B2:I2"/>
    <mergeCell ref="C4:J6"/>
    <mergeCell ref="I26:J26"/>
    <mergeCell ref="C35:D35"/>
    <mergeCell ref="F35:G35"/>
    <mergeCell ref="I35:J35"/>
    <mergeCell ref="F37:G37"/>
    <mergeCell ref="F38:G38"/>
    <mergeCell ref="F39:G39"/>
    <mergeCell ref="F40:G40"/>
    <mergeCell ref="I12:J12"/>
    <mergeCell ref="C42:D42"/>
    <mergeCell ref="C43:D43"/>
    <mergeCell ref="C44:D44"/>
    <mergeCell ref="C45:D45"/>
  </mergeCells>
  <pageMargins left="0.25" right="0.25" top="0.75" bottom="0.75" header="0.3" footer="0.3"/>
  <pageSetup paperSize="9" scale="6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8AF8-FB63-4D6D-80EE-F9C739EFEFD2}">
  <sheetPr codeName="Sheet9">
    <tabColor theme="9" tint="0.59999389629810485"/>
  </sheetPr>
  <dimension ref="A1"/>
  <sheetViews>
    <sheetView workbookViewId="0">
      <selection activeCell="G19" sqref="G19"/>
    </sheetView>
  </sheetViews>
  <sheetFormatPr defaultRowHeight="14.5"/>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83EFD-844C-4FB3-9DF6-AE4AAF2D89FD}">
  <sheetPr codeName="Sheet10">
    <pageSetUpPr fitToPage="1"/>
  </sheetPr>
  <dimension ref="A1:M82"/>
  <sheetViews>
    <sheetView showGridLines="0" zoomScale="83" zoomScaleNormal="115" workbookViewId="0">
      <pane ySplit="10" topLeftCell="A11" activePane="bottomLeft" state="frozen"/>
      <selection pane="bottomLeft" activeCell="A11" sqref="A11"/>
    </sheetView>
  </sheetViews>
  <sheetFormatPr defaultRowHeight="14.5"/>
  <cols>
    <col min="1" max="1" width="2.6328125" customWidth="1"/>
    <col min="2" max="2" width="25.90625" bestFit="1" customWidth="1"/>
    <col min="3" max="12" width="14.36328125" customWidth="1"/>
    <col min="13" max="13" width="3.7265625" customWidth="1"/>
  </cols>
  <sheetData>
    <row r="1" spans="1:13">
      <c r="A1" s="273"/>
      <c r="B1" s="361"/>
      <c r="C1" s="361"/>
      <c r="D1" s="361"/>
      <c r="E1" s="361"/>
      <c r="F1" s="361"/>
      <c r="G1" s="361"/>
      <c r="H1" s="361"/>
      <c r="I1" s="361"/>
      <c r="J1" s="93"/>
      <c r="K1" s="93"/>
      <c r="L1" s="93"/>
    </row>
    <row r="2" spans="1:13" ht="6.5" customHeight="1">
      <c r="A2" s="273"/>
      <c r="B2" s="273"/>
      <c r="C2" s="273"/>
      <c r="D2" s="273"/>
      <c r="E2" s="273"/>
      <c r="F2" s="273"/>
      <c r="G2" s="273"/>
      <c r="H2" s="273"/>
      <c r="I2" s="273"/>
    </row>
    <row r="3" spans="1:13" ht="25.5" customHeight="1">
      <c r="A3" s="273"/>
      <c r="B3" s="362" t="str">
        <f>'Data Sheet'!B1</f>
        <v>TATA MOTORS LTD</v>
      </c>
      <c r="C3" s="273"/>
      <c r="D3" s="273"/>
      <c r="E3" s="273"/>
      <c r="F3" s="273"/>
      <c r="G3" s="273"/>
      <c r="H3" s="273"/>
      <c r="I3" s="273"/>
    </row>
    <row r="4" spans="1:13">
      <c r="A4" s="273"/>
      <c r="B4" s="274" t="s">
        <v>460</v>
      </c>
      <c r="C4" s="273"/>
      <c r="D4" s="273"/>
      <c r="E4" s="273"/>
      <c r="F4" s="273"/>
      <c r="G4" s="273"/>
      <c r="H4" s="273"/>
      <c r="I4" s="273"/>
    </row>
    <row r="5" spans="1:13" ht="18.5">
      <c r="A5" s="273"/>
      <c r="B5" s="363" t="s">
        <v>461</v>
      </c>
      <c r="C5" s="273"/>
      <c r="D5" s="273"/>
      <c r="E5" s="273"/>
      <c r="F5" s="273"/>
      <c r="G5" s="273"/>
      <c r="H5" s="273"/>
      <c r="I5" s="273"/>
    </row>
    <row r="6" spans="1:13">
      <c r="A6" s="273"/>
      <c r="B6" s="279" t="s">
        <v>463</v>
      </c>
      <c r="C6" s="273"/>
      <c r="D6" s="273"/>
      <c r="E6" s="273"/>
      <c r="F6" s="273"/>
      <c r="G6" s="273"/>
      <c r="H6" s="273"/>
      <c r="I6" s="273"/>
    </row>
    <row r="7" spans="1:13" ht="5.5" customHeight="1" thickBot="1">
      <c r="A7" s="273"/>
      <c r="B7" s="393"/>
      <c r="C7" s="393"/>
      <c r="D7" s="393"/>
      <c r="E7" s="393"/>
      <c r="F7" s="393"/>
      <c r="G7" s="393"/>
      <c r="H7" s="393"/>
      <c r="I7" s="393"/>
      <c r="J7" s="397"/>
      <c r="K7" s="397"/>
      <c r="L7" s="397"/>
    </row>
    <row r="8" spans="1:13" ht="7.5" customHeight="1"/>
    <row r="9" spans="1:13">
      <c r="B9" s="425" t="str">
        <f>"Historical Financial Statement -"&amp;'Data Sheet'!B1</f>
        <v>Historical Financial Statement -TATA MOTORS LTD</v>
      </c>
      <c r="C9" s="425"/>
      <c r="D9" s="425"/>
      <c r="E9" s="425"/>
      <c r="F9" s="425"/>
      <c r="G9" s="425"/>
      <c r="H9" s="425"/>
      <c r="I9" s="425"/>
      <c r="J9" s="425"/>
      <c r="K9" s="425"/>
      <c r="L9" s="425"/>
    </row>
    <row r="10" spans="1:13">
      <c r="B10" s="223" t="s">
        <v>93</v>
      </c>
      <c r="C10" s="126">
        <f>'Data Sheet'!B16</f>
        <v>42460</v>
      </c>
      <c r="D10" s="126">
        <f>'Data Sheet'!C16</f>
        <v>42825</v>
      </c>
      <c r="E10" s="126">
        <f>'Data Sheet'!D16</f>
        <v>43190</v>
      </c>
      <c r="F10" s="126">
        <f>'Data Sheet'!E16</f>
        <v>43555</v>
      </c>
      <c r="G10" s="126">
        <f>'Data Sheet'!F16</f>
        <v>43921</v>
      </c>
      <c r="H10" s="126">
        <f>'Data Sheet'!G16</f>
        <v>44286</v>
      </c>
      <c r="I10" s="126">
        <f>'Data Sheet'!H16</f>
        <v>44651</v>
      </c>
      <c r="J10" s="126">
        <f>'Data Sheet'!I16</f>
        <v>45016</v>
      </c>
      <c r="K10" s="126">
        <f>'Data Sheet'!J16</f>
        <v>45382</v>
      </c>
      <c r="L10" s="126">
        <f>'Data Sheet'!K16</f>
        <v>45747</v>
      </c>
      <c r="M10" s="25"/>
    </row>
    <row r="11" spans="1:13" s="48" customFormat="1">
      <c r="A11" s="411" t="s">
        <v>94</v>
      </c>
      <c r="B11" s="36" t="s">
        <v>95</v>
      </c>
      <c r="C11" s="35"/>
      <c r="D11" s="35"/>
      <c r="E11" s="35"/>
      <c r="F11" s="35"/>
      <c r="G11" s="35"/>
      <c r="H11" s="35"/>
      <c r="I11" s="35"/>
      <c r="J11" s="35"/>
      <c r="K11" s="35"/>
      <c r="L11" s="35"/>
    </row>
    <row r="12" spans="1:13">
      <c r="B12" t="s">
        <v>6</v>
      </c>
      <c r="C12" s="32">
        <f>IFERROR('Data Sheet'!B17,0)</f>
        <v>273045.59999999998</v>
      </c>
      <c r="D12" s="32">
        <f>IFERROR('Data Sheet'!C17,0)</f>
        <v>269692.51</v>
      </c>
      <c r="E12" s="32">
        <f>IFERROR('Data Sheet'!D17,0)</f>
        <v>291550.48</v>
      </c>
      <c r="F12" s="32">
        <f>IFERROR('Data Sheet'!E17,0)</f>
        <v>301938.40000000002</v>
      </c>
      <c r="G12" s="32">
        <f>IFERROR('Data Sheet'!F17,0)</f>
        <v>261067.97</v>
      </c>
      <c r="H12" s="32">
        <f>IFERROR('Data Sheet'!G17,0)</f>
        <v>249794.75</v>
      </c>
      <c r="I12" s="32">
        <f>IFERROR('Data Sheet'!H17,0)</f>
        <v>278453.62</v>
      </c>
      <c r="J12" s="32">
        <f>IFERROR('Data Sheet'!I17,0)</f>
        <v>345966.97</v>
      </c>
      <c r="K12" s="32">
        <f>IFERROR('Data Sheet'!J17,0)</f>
        <v>434016</v>
      </c>
      <c r="L12" s="32">
        <f>IFERROR('Data Sheet'!K17,0)</f>
        <v>439695</v>
      </c>
    </row>
    <row r="13" spans="1:13">
      <c r="B13" s="26" t="s">
        <v>22</v>
      </c>
      <c r="C13" s="30" t="s">
        <v>112</v>
      </c>
      <c r="D13" s="27">
        <f>D12/C12-1</f>
        <v>-1.2280329732469508E-2</v>
      </c>
      <c r="E13" s="27">
        <f t="shared" ref="E13:L13" si="0">E12/D12-1</f>
        <v>8.104774581985974E-2</v>
      </c>
      <c r="F13" s="27">
        <f t="shared" si="0"/>
        <v>3.5629919045237157E-2</v>
      </c>
      <c r="G13" s="27">
        <f t="shared" si="0"/>
        <v>-0.135360159555724</v>
      </c>
      <c r="H13" s="27">
        <f t="shared" si="0"/>
        <v>-4.3181168490336042E-2</v>
      </c>
      <c r="I13" s="27">
        <f t="shared" si="0"/>
        <v>0.11472967306158344</v>
      </c>
      <c r="J13" s="27">
        <f t="shared" si="0"/>
        <v>0.24245815155859707</v>
      </c>
      <c r="K13" s="27">
        <f t="shared" si="0"/>
        <v>0.25450126062612277</v>
      </c>
      <c r="L13" s="27">
        <f t="shared" si="0"/>
        <v>1.3084771068347711E-2</v>
      </c>
    </row>
    <row r="15" spans="1:13">
      <c r="B15" t="s">
        <v>96</v>
      </c>
      <c r="C15" s="32">
        <f>IFERROR(SUM('Data Sheet'!B18,'Data Sheet'!B20,'Data Sheet'!B21,'Data Sheet'!B22-1*'Data Sheet'!B19),0)</f>
        <v>205509.07</v>
      </c>
      <c r="D15" s="32">
        <f>IFERROR(SUM('Data Sheet'!C18,'Data Sheet'!C20,'Data Sheet'!C21,'Data Sheet'!C22-1*'Data Sheet'!C19),0)</f>
        <v>205454.24</v>
      </c>
      <c r="E15" s="32">
        <f>IFERROR(SUM('Data Sheet'!D18,'Data Sheet'!D20,'Data Sheet'!D21,'Data Sheet'!D22-1*'Data Sheet'!D19),0)</f>
        <v>228429.83</v>
      </c>
      <c r="F15" s="32">
        <f>IFERROR(SUM('Data Sheet'!E18,'Data Sheet'!E20,'Data Sheet'!E21,'Data Sheet'!E22-1*'Data Sheet'!E19),0)</f>
        <v>242845.53</v>
      </c>
      <c r="G15" s="32">
        <f>IFERROR(SUM('Data Sheet'!F18,'Data Sheet'!F20,'Data Sheet'!F21,'Data Sheet'!F22-1*'Data Sheet'!F19),0)</f>
        <v>210376.07000000004</v>
      </c>
      <c r="H15" s="32">
        <f>IFERROR(SUM('Data Sheet'!G18,'Data Sheet'!G20,'Data Sheet'!G21,'Data Sheet'!G22-1*'Data Sheet'!G19),0)</f>
        <v>195326.03999999998</v>
      </c>
      <c r="I15" s="32">
        <f>IFERROR(SUM('Data Sheet'!H18,'Data Sheet'!H20,'Data Sheet'!H21,'Data Sheet'!H22-1*'Data Sheet'!H19),0)</f>
        <v>223300.01</v>
      </c>
      <c r="J15" s="32">
        <f>IFERROR(SUM('Data Sheet'!I18,'Data Sheet'!I20,'Data Sheet'!I21,'Data Sheet'!I22-1*'Data Sheet'!I19),0)</f>
        <v>274403.64</v>
      </c>
      <c r="K15" s="32">
        <f>IFERROR(SUM('Data Sheet'!J18,'Data Sheet'!J20,'Data Sheet'!J21,'Data Sheet'!J22-1*'Data Sheet'!J19),0)</f>
        <v>334380</v>
      </c>
      <c r="L15" s="32">
        <f>IFERROR(SUM('Data Sheet'!K18,'Data Sheet'!K20,'Data Sheet'!K21,'Data Sheet'!K22-1*'Data Sheet'!K19),0)</f>
        <v>340809</v>
      </c>
    </row>
    <row r="16" spans="1:13">
      <c r="B16" s="26" t="s">
        <v>97</v>
      </c>
      <c r="C16" s="27">
        <f>C15/C12</f>
        <v>0.75265475803309057</v>
      </c>
      <c r="D16" s="27">
        <f t="shared" ref="D16:L16" si="1">D15/D12</f>
        <v>0.76180921746770047</v>
      </c>
      <c r="E16" s="27">
        <f t="shared" si="1"/>
        <v>0.78350009919380004</v>
      </c>
      <c r="F16" s="27">
        <f t="shared" si="1"/>
        <v>0.80428832503583503</v>
      </c>
      <c r="G16" s="27">
        <f t="shared" si="1"/>
        <v>0.80582872728508226</v>
      </c>
      <c r="H16" s="27">
        <f t="shared" si="1"/>
        <v>0.78194613777911659</v>
      </c>
      <c r="I16" s="27">
        <f t="shared" si="1"/>
        <v>0.80192891728252635</v>
      </c>
      <c r="J16" s="27">
        <f t="shared" si="1"/>
        <v>0.79314982005363122</v>
      </c>
      <c r="K16" s="27">
        <f t="shared" si="1"/>
        <v>0.7704324264543243</v>
      </c>
      <c r="L16" s="27">
        <f t="shared" si="1"/>
        <v>0.77510319653396109</v>
      </c>
    </row>
    <row r="18" spans="2:12">
      <c r="B18" s="38" t="s">
        <v>98</v>
      </c>
      <c r="C18" s="39">
        <f>C12-C15</f>
        <v>67536.52999999997</v>
      </c>
      <c r="D18" s="39">
        <f t="shared" ref="D18:L18" si="2">D12-D15</f>
        <v>64238.270000000019</v>
      </c>
      <c r="E18" s="39">
        <f t="shared" si="2"/>
        <v>63120.649999999994</v>
      </c>
      <c r="F18" s="39">
        <f t="shared" si="2"/>
        <v>59092.870000000024</v>
      </c>
      <c r="G18" s="39">
        <f t="shared" si="2"/>
        <v>50691.899999999965</v>
      </c>
      <c r="H18" s="39">
        <f t="shared" si="2"/>
        <v>54468.710000000021</v>
      </c>
      <c r="I18" s="39">
        <f t="shared" si="2"/>
        <v>55153.609999999986</v>
      </c>
      <c r="J18" s="39">
        <f t="shared" si="2"/>
        <v>71563.329999999958</v>
      </c>
      <c r="K18" s="39">
        <f t="shared" si="2"/>
        <v>99636</v>
      </c>
      <c r="L18" s="39">
        <f t="shared" si="2"/>
        <v>98886</v>
      </c>
    </row>
    <row r="19" spans="2:12">
      <c r="B19" s="28" t="s">
        <v>117</v>
      </c>
      <c r="C19" s="29">
        <f>C18/C12</f>
        <v>0.24734524196690946</v>
      </c>
      <c r="D19" s="29">
        <f t="shared" ref="D19:L19" si="3">D18/D12</f>
        <v>0.23819078253229953</v>
      </c>
      <c r="E19" s="29">
        <f t="shared" si="3"/>
        <v>0.21649990080619999</v>
      </c>
      <c r="F19" s="29">
        <f t="shared" si="3"/>
        <v>0.19571167496416494</v>
      </c>
      <c r="G19" s="29">
        <f t="shared" si="3"/>
        <v>0.19417127271491774</v>
      </c>
      <c r="H19" s="29">
        <f t="shared" si="3"/>
        <v>0.21805386222088344</v>
      </c>
      <c r="I19" s="29">
        <f t="shared" si="3"/>
        <v>0.1980710827174737</v>
      </c>
      <c r="J19" s="29">
        <f t="shared" si="3"/>
        <v>0.20685017994636876</v>
      </c>
      <c r="K19" s="29">
        <f t="shared" si="3"/>
        <v>0.22956757354567572</v>
      </c>
      <c r="L19" s="29">
        <f t="shared" si="3"/>
        <v>0.22489680346603896</v>
      </c>
    </row>
    <row r="21" spans="2:12">
      <c r="B21" t="s">
        <v>99</v>
      </c>
      <c r="C21" s="32">
        <f>IFERROR(SUM('Data Sheet'!B23,'Data Sheet'!B24),0)</f>
        <v>29141.280000000002</v>
      </c>
      <c r="D21" s="32">
        <f>IFERROR(SUM('Data Sheet'!C23,'Data Sheet'!C24),0)</f>
        <v>34649.58</v>
      </c>
      <c r="E21" s="32">
        <f>IFERROR(SUM('Data Sheet'!D23,'Data Sheet'!D24),0)</f>
        <v>31662.97</v>
      </c>
      <c r="F21" s="32">
        <f>IFERROR(SUM('Data Sheet'!E23,'Data Sheet'!E24),0)</f>
        <v>34428.54</v>
      </c>
      <c r="G21" s="32">
        <f>IFERROR(SUM('Data Sheet'!F23,'Data Sheet'!F24),0)</f>
        <v>32704.83</v>
      </c>
      <c r="H21" s="32">
        <f>IFERROR(SUM('Data Sheet'!G23,'Data Sheet'!G24),0)</f>
        <v>22181.280000000002</v>
      </c>
      <c r="I21" s="32">
        <f>IFERROR(SUM('Data Sheet'!H23,'Data Sheet'!H24),0)</f>
        <v>30433.52</v>
      </c>
      <c r="J21" s="32">
        <f>IFERROR(SUM('Data Sheet'!I23,'Data Sheet'!I24),0)</f>
        <v>39747.53</v>
      </c>
      <c r="K21" s="32">
        <f>IFERROR(SUM('Data Sheet'!J23,'Data Sheet'!J24),0)</f>
        <v>41812</v>
      </c>
      <c r="L21" s="32">
        <f>IFERROR(SUM('Data Sheet'!K23,'Data Sheet'!K24),0)</f>
        <v>43670</v>
      </c>
    </row>
    <row r="22" spans="2:12">
      <c r="B22" s="28" t="s">
        <v>100</v>
      </c>
      <c r="C22" s="29">
        <f>C21/C12</f>
        <v>0.10672678849247161</v>
      </c>
      <c r="D22" s="29">
        <f t="shared" ref="D22:L22" si="4">D21/D12</f>
        <v>0.12847809529452636</v>
      </c>
      <c r="E22" s="29">
        <f t="shared" si="4"/>
        <v>0.10860201636437025</v>
      </c>
      <c r="F22" s="29">
        <f t="shared" si="4"/>
        <v>0.11402504616835751</v>
      </c>
      <c r="G22" s="29">
        <f t="shared" si="4"/>
        <v>0.12527323822987554</v>
      </c>
      <c r="H22" s="29">
        <f t="shared" si="4"/>
        <v>8.8798023177028354E-2</v>
      </c>
      <c r="I22" s="29">
        <f t="shared" si="4"/>
        <v>0.10929475436519734</v>
      </c>
      <c r="J22" s="29">
        <f t="shared" si="4"/>
        <v>0.11488822184383672</v>
      </c>
      <c r="K22" s="29">
        <f t="shared" si="4"/>
        <v>9.6337462213374622E-2</v>
      </c>
      <c r="L22" s="29">
        <f t="shared" si="4"/>
        <v>9.9318846018262658E-2</v>
      </c>
    </row>
    <row r="24" spans="2:12">
      <c r="B24" s="38" t="s">
        <v>224</v>
      </c>
      <c r="C24" s="39">
        <f>C18-C21</f>
        <v>38395.249999999971</v>
      </c>
      <c r="D24" s="39">
        <f t="shared" ref="D24:L24" si="5">D18-D21</f>
        <v>29588.690000000017</v>
      </c>
      <c r="E24" s="39">
        <f t="shared" si="5"/>
        <v>31457.679999999993</v>
      </c>
      <c r="F24" s="39">
        <f t="shared" si="5"/>
        <v>24664.330000000024</v>
      </c>
      <c r="G24" s="39">
        <f t="shared" si="5"/>
        <v>17987.069999999963</v>
      </c>
      <c r="H24" s="39">
        <f t="shared" si="5"/>
        <v>32287.430000000018</v>
      </c>
      <c r="I24" s="39">
        <f t="shared" si="5"/>
        <v>24720.089999999986</v>
      </c>
      <c r="J24" s="39">
        <f t="shared" si="5"/>
        <v>31815.799999999959</v>
      </c>
      <c r="K24" s="39">
        <f t="shared" si="5"/>
        <v>57824</v>
      </c>
      <c r="L24" s="39">
        <f t="shared" si="5"/>
        <v>55216</v>
      </c>
    </row>
    <row r="25" spans="2:12">
      <c r="B25" s="28" t="s">
        <v>101</v>
      </c>
      <c r="C25" s="29">
        <f>C24/C12</f>
        <v>0.14061845347443788</v>
      </c>
      <c r="D25" s="29">
        <f t="shared" ref="D25:L25" si="6">D24/D12</f>
        <v>0.10971268723777318</v>
      </c>
      <c r="E25" s="29">
        <f t="shared" si="6"/>
        <v>0.10789788444182975</v>
      </c>
      <c r="F25" s="29">
        <f t="shared" si="6"/>
        <v>8.1686628795807431E-2</v>
      </c>
      <c r="G25" s="29">
        <f t="shared" si="6"/>
        <v>6.8898034485042198E-2</v>
      </c>
      <c r="H25" s="29">
        <f t="shared" si="6"/>
        <v>0.12925583904385507</v>
      </c>
      <c r="I25" s="29">
        <f t="shared" si="6"/>
        <v>8.8776328352276349E-2</v>
      </c>
      <c r="J25" s="29">
        <f t="shared" si="6"/>
        <v>9.1961958102532049E-2</v>
      </c>
      <c r="K25" s="29">
        <f t="shared" si="6"/>
        <v>0.13323011133230112</v>
      </c>
      <c r="L25" s="29">
        <f t="shared" si="6"/>
        <v>0.12557795744777631</v>
      </c>
    </row>
    <row r="27" spans="2:12">
      <c r="B27" t="s">
        <v>11</v>
      </c>
      <c r="C27" s="32">
        <f>IFERROR('Data Sheet'!B27,0)</f>
        <v>4889.08</v>
      </c>
      <c r="D27" s="32">
        <f>IFERROR('Data Sheet'!C27,0)</f>
        <v>4238.01</v>
      </c>
      <c r="E27" s="32">
        <f>IFERROR('Data Sheet'!D27,0)</f>
        <v>4681.79</v>
      </c>
      <c r="F27" s="32">
        <f>IFERROR('Data Sheet'!E27,0)</f>
        <v>5758.6</v>
      </c>
      <c r="G27" s="32">
        <f>IFERROR('Data Sheet'!F27,0)</f>
        <v>7243.33</v>
      </c>
      <c r="H27" s="32">
        <f>IFERROR('Data Sheet'!G27,0)</f>
        <v>8097.17</v>
      </c>
      <c r="I27" s="32">
        <f>IFERROR('Data Sheet'!H27,0)</f>
        <v>9311.86</v>
      </c>
      <c r="J27" s="32">
        <f>IFERROR('Data Sheet'!I27,0)</f>
        <v>10225.48</v>
      </c>
      <c r="K27" s="32">
        <f>IFERROR('Data Sheet'!J27,0)</f>
        <v>7594</v>
      </c>
      <c r="L27" s="32">
        <f>IFERROR('Data Sheet'!K27,0)</f>
        <v>5083</v>
      </c>
    </row>
    <row r="28" spans="2:12">
      <c r="B28" s="28" t="s">
        <v>102</v>
      </c>
      <c r="C28" s="29">
        <f t="shared" ref="C28:L28" si="7">C27/C12</f>
        <v>1.7905727101993223E-2</v>
      </c>
      <c r="D28" s="29">
        <f t="shared" si="7"/>
        <v>1.5714229512714312E-2</v>
      </c>
      <c r="E28" s="29">
        <f t="shared" si="7"/>
        <v>1.605824830060304E-2</v>
      </c>
      <c r="F28" s="29">
        <f t="shared" si="7"/>
        <v>1.9072102124141878E-2</v>
      </c>
      <c r="G28" s="29">
        <f t="shared" si="7"/>
        <v>2.7744996829752802E-2</v>
      </c>
      <c r="H28" s="29">
        <f t="shared" si="7"/>
        <v>3.2415292955516477E-2</v>
      </c>
      <c r="I28" s="29">
        <f t="shared" si="7"/>
        <v>3.3441332168710897E-2</v>
      </c>
      <c r="J28" s="29">
        <f t="shared" si="7"/>
        <v>2.9556231914277829E-2</v>
      </c>
      <c r="K28" s="29">
        <f t="shared" si="7"/>
        <v>1.7497050799970507E-2</v>
      </c>
      <c r="L28" s="29">
        <f t="shared" si="7"/>
        <v>1.1560286107415368E-2</v>
      </c>
    </row>
    <row r="30" spans="2:12">
      <c r="B30" t="s">
        <v>10</v>
      </c>
      <c r="C30" s="32">
        <f>IFERROR('Data Sheet'!B26,0)</f>
        <v>16710.78</v>
      </c>
      <c r="D30" s="32">
        <f>IFERROR('Data Sheet'!C26,0)</f>
        <v>17904.990000000002</v>
      </c>
      <c r="E30" s="32">
        <f>IFERROR('Data Sheet'!D26,0)</f>
        <v>21553.59</v>
      </c>
      <c r="F30" s="32">
        <f>IFERROR('Data Sheet'!E26,0)</f>
        <v>23590.63</v>
      </c>
      <c r="G30" s="32">
        <f>IFERROR('Data Sheet'!F26,0)</f>
        <v>21425.43</v>
      </c>
      <c r="H30" s="32">
        <f>IFERROR('Data Sheet'!G26,0)</f>
        <v>23546.71</v>
      </c>
      <c r="I30" s="32">
        <f>IFERROR('Data Sheet'!H26,0)</f>
        <v>24835.69</v>
      </c>
      <c r="J30" s="32">
        <f>IFERROR('Data Sheet'!I26,0)</f>
        <v>24860.36</v>
      </c>
      <c r="K30" s="32">
        <f>IFERROR('Data Sheet'!J26,0)</f>
        <v>27239</v>
      </c>
      <c r="L30" s="32">
        <f>IFERROR('Data Sheet'!K26,0)</f>
        <v>23256</v>
      </c>
    </row>
    <row r="31" spans="2:12">
      <c r="B31" s="28" t="s">
        <v>103</v>
      </c>
      <c r="C31" s="29">
        <f t="shared" ref="C31:L31" si="8">C30/C12</f>
        <v>6.1201425695927715E-2</v>
      </c>
      <c r="D31" s="29">
        <f t="shared" si="8"/>
        <v>6.63903865924938E-2</v>
      </c>
      <c r="E31" s="29">
        <f t="shared" si="8"/>
        <v>7.3927472182518786E-2</v>
      </c>
      <c r="F31" s="29">
        <f t="shared" si="8"/>
        <v>7.8130605447998658E-2</v>
      </c>
      <c r="G31" s="29">
        <f t="shared" si="8"/>
        <v>8.206839774331566E-2</v>
      </c>
      <c r="H31" s="29">
        <f t="shared" si="8"/>
        <v>9.4264230933596482E-2</v>
      </c>
      <c r="I31" s="29">
        <f t="shared" si="8"/>
        <v>8.9191478279219347E-2</v>
      </c>
      <c r="J31" s="29">
        <f t="shared" si="8"/>
        <v>7.1857611147098821E-2</v>
      </c>
      <c r="K31" s="29">
        <f t="shared" si="8"/>
        <v>6.2760359065103591E-2</v>
      </c>
      <c r="L31" s="29">
        <f t="shared" si="8"/>
        <v>5.2891208678743216E-2</v>
      </c>
    </row>
    <row r="33" spans="2:12">
      <c r="B33" s="38" t="s">
        <v>104</v>
      </c>
      <c r="C33" s="39">
        <f>IFERROR(C24-SUM(C27,C30),0)</f>
        <v>16795.38999999997</v>
      </c>
      <c r="D33" s="39">
        <f t="shared" ref="D33:L33" si="9">IFERROR(D24-SUM(D27,D30),0)</f>
        <v>7445.6900000000169</v>
      </c>
      <c r="E33" s="39">
        <f t="shared" si="9"/>
        <v>5222.299999999992</v>
      </c>
      <c r="F33" s="39">
        <f t="shared" si="9"/>
        <v>-4684.8999999999796</v>
      </c>
      <c r="G33" s="39">
        <f t="shared" si="9"/>
        <v>-10681.690000000039</v>
      </c>
      <c r="H33" s="39">
        <f t="shared" si="9"/>
        <v>643.5500000000211</v>
      </c>
      <c r="I33" s="39">
        <f t="shared" si="9"/>
        <v>-9427.4600000000173</v>
      </c>
      <c r="J33" s="39">
        <f t="shared" si="9"/>
        <v>-3270.0400000000373</v>
      </c>
      <c r="K33" s="39">
        <f t="shared" si="9"/>
        <v>22991</v>
      </c>
      <c r="L33" s="39">
        <f t="shared" si="9"/>
        <v>26877</v>
      </c>
    </row>
    <row r="34" spans="2:12">
      <c r="B34" s="28" t="s">
        <v>105</v>
      </c>
      <c r="C34" s="29">
        <f t="shared" ref="C34:L34" si="10">C33/C12</f>
        <v>6.1511300676516931E-2</v>
      </c>
      <c r="D34" s="29">
        <f t="shared" si="10"/>
        <v>2.7608071132565071E-2</v>
      </c>
      <c r="E34" s="29">
        <f t="shared" si="10"/>
        <v>1.7912163958707913E-2</v>
      </c>
      <c r="F34" s="29">
        <f t="shared" si="10"/>
        <v>-1.5516078776333117E-2</v>
      </c>
      <c r="G34" s="29">
        <f t="shared" si="10"/>
        <v>-4.0915360088026265E-2</v>
      </c>
      <c r="H34" s="29">
        <f t="shared" si="10"/>
        <v>2.5763151547421276E-3</v>
      </c>
      <c r="I34" s="29">
        <f t="shared" si="10"/>
        <v>-3.3856482095653909E-2</v>
      </c>
      <c r="J34" s="29">
        <f t="shared" si="10"/>
        <v>-9.4518849588445895E-3</v>
      </c>
      <c r="K34" s="29">
        <f t="shared" si="10"/>
        <v>5.2972701467227018E-2</v>
      </c>
      <c r="L34" s="29">
        <f t="shared" si="10"/>
        <v>6.1126462661617711E-2</v>
      </c>
    </row>
    <row r="36" spans="2:12">
      <c r="B36" t="s">
        <v>13</v>
      </c>
      <c r="C36" s="32">
        <f>IFERROR('Data Sheet'!B29,0)</f>
        <v>3025.05</v>
      </c>
      <c r="D36" s="32">
        <f>IFERROR('Data Sheet'!C29,0)</f>
        <v>3251.23</v>
      </c>
      <c r="E36" s="32">
        <f>IFERROR('Data Sheet'!D29,0)</f>
        <v>4341.93</v>
      </c>
      <c r="F36" s="32">
        <f>IFERROR('Data Sheet'!E29,0)</f>
        <v>-2437.4499999999998</v>
      </c>
      <c r="G36" s="32">
        <f>IFERROR('Data Sheet'!F29,0)</f>
        <v>395.25</v>
      </c>
      <c r="H36" s="32">
        <f>IFERROR('Data Sheet'!G29,0)</f>
        <v>2541.86</v>
      </c>
      <c r="I36" s="32">
        <f>IFERROR('Data Sheet'!H29,0)</f>
        <v>4231.29</v>
      </c>
      <c r="J36" s="32">
        <f>IFERROR('Data Sheet'!I29,0)</f>
        <v>704.06</v>
      </c>
      <c r="K36" s="32">
        <f>IFERROR('Data Sheet'!J29,0)</f>
        <v>-4024</v>
      </c>
      <c r="L36" s="32">
        <f>IFERROR('Data Sheet'!K29,0)</f>
        <v>10502</v>
      </c>
    </row>
    <row r="37" spans="2:12">
      <c r="B37" s="28" t="s">
        <v>106</v>
      </c>
      <c r="C37" s="29">
        <f>C36/C33</f>
        <v>0.18011192356950362</v>
      </c>
      <c r="D37" s="29">
        <f t="shared" ref="D37:L37" si="11">D36/D33</f>
        <v>0.43665932908837096</v>
      </c>
      <c r="E37" s="29">
        <f t="shared" si="11"/>
        <v>0.8314210213890445</v>
      </c>
      <c r="F37" s="29">
        <f t="shared" si="11"/>
        <v>0.52027791414971725</v>
      </c>
      <c r="G37" s="29">
        <f t="shared" si="11"/>
        <v>-3.7002571690434617E-2</v>
      </c>
      <c r="H37" s="29">
        <f t="shared" si="11"/>
        <v>3.9497474943670525</v>
      </c>
      <c r="I37" s="29">
        <f t="shared" si="11"/>
        <v>-0.44882608889350811</v>
      </c>
      <c r="J37" s="29">
        <f t="shared" si="11"/>
        <v>-0.21530623478611635</v>
      </c>
      <c r="K37" s="29">
        <f t="shared" si="11"/>
        <v>-0.17502500978643817</v>
      </c>
      <c r="L37" s="29">
        <f t="shared" si="11"/>
        <v>0.39074301447334153</v>
      </c>
    </row>
    <row r="39" spans="2:12">
      <c r="B39" s="38" t="s">
        <v>107</v>
      </c>
      <c r="C39" s="39">
        <f>C33-C36</f>
        <v>13770.339999999971</v>
      </c>
      <c r="D39" s="39">
        <f t="shared" ref="D39:L39" si="12">D33-D36</f>
        <v>4194.4600000000173</v>
      </c>
      <c r="E39" s="39">
        <f t="shared" si="12"/>
        <v>880.36999999999171</v>
      </c>
      <c r="F39" s="39">
        <f t="shared" si="12"/>
        <v>-2247.4499999999798</v>
      </c>
      <c r="G39" s="39">
        <f t="shared" si="12"/>
        <v>-11076.940000000039</v>
      </c>
      <c r="H39" s="39">
        <f t="shared" si="12"/>
        <v>-1898.309999999979</v>
      </c>
      <c r="I39" s="39">
        <f t="shared" si="12"/>
        <v>-13658.750000000018</v>
      </c>
      <c r="J39" s="39">
        <f t="shared" si="12"/>
        <v>-3974.1000000000372</v>
      </c>
      <c r="K39" s="39">
        <f t="shared" si="12"/>
        <v>27015</v>
      </c>
      <c r="L39" s="39">
        <f t="shared" si="12"/>
        <v>16375</v>
      </c>
    </row>
    <row r="40" spans="2:12">
      <c r="B40" s="28" t="s">
        <v>108</v>
      </c>
      <c r="C40" s="29">
        <f t="shared" ref="C40:L40" si="13">C39/C12</f>
        <v>5.0432381990407359E-2</v>
      </c>
      <c r="D40" s="29">
        <f t="shared" si="13"/>
        <v>1.5552749314395186E-2</v>
      </c>
      <c r="E40" s="29">
        <f t="shared" si="13"/>
        <v>3.01961430487095E-3</v>
      </c>
      <c r="F40" s="29">
        <f t="shared" si="13"/>
        <v>-7.4434056747998256E-3</v>
      </c>
      <c r="G40" s="29">
        <f t="shared" si="13"/>
        <v>-4.2429333632923408E-2</v>
      </c>
      <c r="H40" s="29">
        <f t="shared" si="13"/>
        <v>-7.5994791724004569E-3</v>
      </c>
      <c r="I40" s="29">
        <f t="shared" si="13"/>
        <v>-4.9052154538339339E-2</v>
      </c>
      <c r="J40" s="29">
        <f t="shared" si="13"/>
        <v>-1.1486934720964945E-2</v>
      </c>
      <c r="K40" s="29">
        <f t="shared" si="13"/>
        <v>6.224424905994249E-2</v>
      </c>
      <c r="L40" s="29">
        <f t="shared" si="13"/>
        <v>3.724172437712505E-2</v>
      </c>
    </row>
    <row r="42" spans="2:12">
      <c r="B42" t="s">
        <v>109</v>
      </c>
      <c r="C42">
        <f>IFERROR('Data Sheet'!B94,0)</f>
        <v>288.72000000000003</v>
      </c>
      <c r="D42">
        <f>IFERROR('Data Sheet'!C94,0)</f>
        <v>288.73</v>
      </c>
      <c r="E42">
        <f>IFERROR('Data Sheet'!D94,0)</f>
        <v>288.73</v>
      </c>
      <c r="F42">
        <f>IFERROR('Data Sheet'!E94,0)</f>
        <v>288.73</v>
      </c>
      <c r="G42">
        <f>IFERROR('Data Sheet'!F94,0)</f>
        <v>308.89999999999998</v>
      </c>
      <c r="H42">
        <f>IFERROR('Data Sheet'!G94,0)</f>
        <v>332.03</v>
      </c>
      <c r="I42">
        <f>IFERROR('Data Sheet'!H94,0)</f>
        <v>332.07</v>
      </c>
      <c r="J42">
        <f>IFERROR('Data Sheet'!I94,0)</f>
        <v>332.13</v>
      </c>
      <c r="K42">
        <f>IFERROR('Data Sheet'!J94,0)</f>
        <v>332.37</v>
      </c>
      <c r="L42">
        <f>IFERROR('Data Sheet'!K94,0)</f>
        <v>368.13</v>
      </c>
    </row>
    <row r="44" spans="2:12">
      <c r="B44" t="s">
        <v>110</v>
      </c>
      <c r="C44" s="32">
        <f>IFERROR(C39/C42,0)</f>
        <v>47.694444444444336</v>
      </c>
      <c r="D44" s="32">
        <f t="shared" ref="D44:L44" si="14">IFERROR(D39/D42,0)</f>
        <v>14.527274616423707</v>
      </c>
      <c r="E44" s="32">
        <f t="shared" si="14"/>
        <v>3.049111626779315</v>
      </c>
      <c r="F44" s="32">
        <f t="shared" si="14"/>
        <v>-7.7839157690575265</v>
      </c>
      <c r="G44" s="32">
        <f t="shared" si="14"/>
        <v>-35.859307219164904</v>
      </c>
      <c r="H44" s="32">
        <f t="shared" si="14"/>
        <v>-5.7172845827183663</v>
      </c>
      <c r="I44" s="32">
        <f t="shared" si="14"/>
        <v>-41.132140813683918</v>
      </c>
      <c r="J44" s="32">
        <f t="shared" si="14"/>
        <v>-11.965495438533218</v>
      </c>
      <c r="K44" s="32">
        <f t="shared" si="14"/>
        <v>81.279898907843673</v>
      </c>
      <c r="L44" s="32">
        <f t="shared" si="14"/>
        <v>44.481569010947219</v>
      </c>
    </row>
    <row r="45" spans="2:12">
      <c r="B45" s="28" t="s">
        <v>111</v>
      </c>
      <c r="C45" s="31" t="s">
        <v>112</v>
      </c>
      <c r="D45" s="29">
        <f>D44/C44-1</f>
        <v>-0.69540950134463908</v>
      </c>
      <c r="E45" s="29">
        <f t="shared" ref="E45:L45" si="15">E44/D44-1</f>
        <v>-0.7901112419715558</v>
      </c>
      <c r="F45" s="29">
        <f t="shared" si="15"/>
        <v>-3.5528470983790919</v>
      </c>
      <c r="G45" s="29">
        <f t="shared" si="15"/>
        <v>3.6068467700681115</v>
      </c>
      <c r="H45" s="29">
        <f t="shared" si="15"/>
        <v>-0.84056344011959105</v>
      </c>
      <c r="I45" s="29">
        <f t="shared" si="15"/>
        <v>6.1943490338077662</v>
      </c>
      <c r="J45" s="29">
        <f t="shared" si="15"/>
        <v>-0.70909621522659694</v>
      </c>
      <c r="K45" s="29">
        <f t="shared" si="15"/>
        <v>-7.7928569548481077</v>
      </c>
      <c r="L45" s="29">
        <f t="shared" si="15"/>
        <v>-0.45273592107464278</v>
      </c>
    </row>
    <row r="47" spans="2:12">
      <c r="B47" t="s">
        <v>113</v>
      </c>
      <c r="C47" s="32">
        <f>IFERROR('Data Sheet'!B31/'Historical FS'!C42,0)</f>
        <v>0.23524522028262676</v>
      </c>
      <c r="D47" s="32">
        <f>IFERROR('Data Sheet'!C31/'Historical FS'!D42,0)</f>
        <v>0</v>
      </c>
      <c r="E47" s="32">
        <f>IFERROR('Data Sheet'!D31/'Historical FS'!E42,0)</f>
        <v>0</v>
      </c>
      <c r="F47" s="32">
        <f>IFERROR('Data Sheet'!E31/'Historical FS'!F42,0)</f>
        <v>0</v>
      </c>
      <c r="G47" s="32">
        <f>IFERROR('Data Sheet'!F31/'Historical FS'!G42,0)</f>
        <v>0</v>
      </c>
      <c r="H47" s="32">
        <f>IFERROR('Data Sheet'!G31/'Historical FS'!H42,0)</f>
        <v>0</v>
      </c>
      <c r="I47" s="32">
        <f>IFERROR('Data Sheet'!H31/'Historical FS'!I42,0)</f>
        <v>0</v>
      </c>
      <c r="J47" s="32">
        <f>IFERROR('Data Sheet'!I31/'Historical FS'!J42,0)</f>
        <v>2.3063860536536898</v>
      </c>
      <c r="K47" s="32">
        <f>IFERROR('Data Sheet'!J31/'Historical FS'!K42,0)</f>
        <v>6.9230074916508713</v>
      </c>
      <c r="L47" s="32">
        <f>IFERROR('Data Sheet'!K31/'Historical FS'!L42,0)</f>
        <v>5.9978811832776469</v>
      </c>
    </row>
    <row r="48" spans="2:12">
      <c r="B48" s="28" t="s">
        <v>114</v>
      </c>
      <c r="C48" s="29">
        <f t="shared" ref="C48:L48" si="16">C47/C44</f>
        <v>4.9323400874633563E-3</v>
      </c>
      <c r="D48" s="29">
        <f t="shared" si="16"/>
        <v>0</v>
      </c>
      <c r="E48" s="29">
        <f t="shared" si="16"/>
        <v>0</v>
      </c>
      <c r="F48" s="29">
        <f t="shared" si="16"/>
        <v>0</v>
      </c>
      <c r="G48" s="29">
        <f t="shared" si="16"/>
        <v>0</v>
      </c>
      <c r="H48" s="29">
        <f t="shared" si="16"/>
        <v>0</v>
      </c>
      <c r="I48" s="29">
        <f t="shared" si="16"/>
        <v>0</v>
      </c>
      <c r="J48" s="29">
        <f t="shared" si="16"/>
        <v>-0.19275307616818721</v>
      </c>
      <c r="K48" s="29">
        <f t="shared" si="16"/>
        <v>8.517490283176013E-2</v>
      </c>
      <c r="L48" s="29">
        <f t="shared" si="16"/>
        <v>0.13483969465648857</v>
      </c>
    </row>
    <row r="50" spans="1:12">
      <c r="B50" t="s">
        <v>115</v>
      </c>
      <c r="C50" s="5">
        <f t="shared" ref="C50:L50" si="17">IFERROR(IF(C44&gt;C47,1-C48,0),0)</f>
        <v>0.99506765991253665</v>
      </c>
      <c r="D50" s="5">
        <f t="shared" si="17"/>
        <v>1</v>
      </c>
      <c r="E50" s="5">
        <f t="shared" si="17"/>
        <v>1</v>
      </c>
      <c r="F50" s="5">
        <f t="shared" si="17"/>
        <v>0</v>
      </c>
      <c r="G50" s="5">
        <f t="shared" si="17"/>
        <v>0</v>
      </c>
      <c r="H50" s="5">
        <f t="shared" si="17"/>
        <v>0</v>
      </c>
      <c r="I50" s="5">
        <f t="shared" si="17"/>
        <v>0</v>
      </c>
      <c r="J50" s="5">
        <f t="shared" si="17"/>
        <v>0</v>
      </c>
      <c r="K50" s="5">
        <f t="shared" si="17"/>
        <v>0.9148250971682399</v>
      </c>
      <c r="L50" s="5">
        <f t="shared" si="17"/>
        <v>0.8651603053435114</v>
      </c>
    </row>
    <row r="52" spans="1:12" s="48" customFormat="1">
      <c r="A52" s="410" t="s">
        <v>94</v>
      </c>
      <c r="B52" s="36" t="s">
        <v>116</v>
      </c>
      <c r="C52" s="37"/>
      <c r="D52" s="35"/>
      <c r="E52" s="35"/>
      <c r="F52" s="35"/>
      <c r="G52" s="35"/>
      <c r="H52" s="35"/>
      <c r="I52" s="35"/>
      <c r="J52" s="35"/>
      <c r="K52" s="35"/>
      <c r="L52" s="35"/>
    </row>
    <row r="53" spans="1:12">
      <c r="B53" t="s">
        <v>24</v>
      </c>
      <c r="C53" s="32">
        <f>IFERROR('Data Sheet'!B58,0)</f>
        <v>679.18</v>
      </c>
      <c r="D53" s="32">
        <f>IFERROR('Data Sheet'!C58,0)</f>
        <v>679.22</v>
      </c>
      <c r="E53" s="32">
        <f>IFERROR('Data Sheet'!D58,0)</f>
        <v>679.22</v>
      </c>
      <c r="F53" s="32">
        <f>IFERROR('Data Sheet'!E58,0)</f>
        <v>679.22</v>
      </c>
      <c r="G53" s="32">
        <f>IFERROR('Data Sheet'!F58,0)</f>
        <v>719.54</v>
      </c>
      <c r="H53" s="32">
        <f>IFERROR('Data Sheet'!G58,0)</f>
        <v>765.81</v>
      </c>
      <c r="I53" s="32">
        <f>IFERROR('Data Sheet'!H58,0)</f>
        <v>765.88</v>
      </c>
      <c r="J53" s="32">
        <f>IFERROR('Data Sheet'!I58,0)</f>
        <v>766.02</v>
      </c>
      <c r="K53" s="32">
        <f>IFERROR('Data Sheet'!J58,0)</f>
        <v>767</v>
      </c>
      <c r="L53" s="32">
        <f>IFERROR('Data Sheet'!K58,0)</f>
        <v>736</v>
      </c>
    </row>
    <row r="54" spans="1:12">
      <c r="B54" t="s">
        <v>25</v>
      </c>
      <c r="C54" s="32">
        <f>IFERROR('Data Sheet'!B59,0)</f>
        <v>78273.23</v>
      </c>
      <c r="D54" s="32">
        <f>IFERROR('Data Sheet'!C59,0)</f>
        <v>57382.67</v>
      </c>
      <c r="E54" s="32">
        <f>IFERROR('Data Sheet'!D59,0)</f>
        <v>94748.69</v>
      </c>
      <c r="F54" s="32">
        <f>IFERROR('Data Sheet'!E59,0)</f>
        <v>59500.34</v>
      </c>
      <c r="G54" s="32">
        <f>IFERROR('Data Sheet'!F59,0)</f>
        <v>62358.99</v>
      </c>
      <c r="H54" s="32">
        <f>IFERROR('Data Sheet'!G59,0)</f>
        <v>54480.91</v>
      </c>
      <c r="I54" s="32">
        <f>IFERROR('Data Sheet'!H59,0)</f>
        <v>43795.360000000001</v>
      </c>
      <c r="J54" s="32">
        <f>IFERROR('Data Sheet'!I59,0)</f>
        <v>44555.77</v>
      </c>
      <c r="K54" s="32">
        <f>IFERROR('Data Sheet'!J59,0)</f>
        <v>84151</v>
      </c>
      <c r="L54" s="32">
        <f>IFERROR('Data Sheet'!K59,0)</f>
        <v>115408</v>
      </c>
    </row>
    <row r="55" spans="1:12">
      <c r="B55" t="s">
        <v>71</v>
      </c>
      <c r="C55" s="32">
        <f>IFERROR('Data Sheet'!B60,0)</f>
        <v>69359.960000000006</v>
      </c>
      <c r="D55" s="32">
        <f>IFERROR('Data Sheet'!C60,0)</f>
        <v>78603.98</v>
      </c>
      <c r="E55" s="32">
        <f>IFERROR('Data Sheet'!D60,0)</f>
        <v>88950.47</v>
      </c>
      <c r="F55" s="32">
        <f>IFERROR('Data Sheet'!E60,0)</f>
        <v>106175.34</v>
      </c>
      <c r="G55" s="32">
        <f>IFERROR('Data Sheet'!F60,0)</f>
        <v>124787.64</v>
      </c>
      <c r="H55" s="32">
        <f>IFERROR('Data Sheet'!G60,0)</f>
        <v>142130.57</v>
      </c>
      <c r="I55" s="32">
        <f>IFERROR('Data Sheet'!H60,0)</f>
        <v>146449.03</v>
      </c>
      <c r="J55" s="32">
        <f>IFERROR('Data Sheet'!I60,0)</f>
        <v>134113.44</v>
      </c>
      <c r="K55" s="32">
        <f>IFERROR('Data Sheet'!J60,0)</f>
        <v>107264</v>
      </c>
      <c r="L55" s="32">
        <f>IFERROR('Data Sheet'!K60,0)</f>
        <v>71540</v>
      </c>
    </row>
    <row r="56" spans="1:12">
      <c r="B56" t="s">
        <v>72</v>
      </c>
      <c r="C56" s="32">
        <f>IFERROR('Data Sheet'!B61,0)</f>
        <v>114871.75</v>
      </c>
      <c r="D56" s="32">
        <f>IFERROR('Data Sheet'!C61,0)</f>
        <v>135914.49</v>
      </c>
      <c r="E56" s="32">
        <f>IFERROR('Data Sheet'!D61,0)</f>
        <v>142813.43</v>
      </c>
      <c r="F56" s="32">
        <f>IFERROR('Data Sheet'!E61,0)</f>
        <v>139348.59</v>
      </c>
      <c r="G56" s="32">
        <f>IFERROR('Data Sheet'!F61,0)</f>
        <v>132313.22</v>
      </c>
      <c r="H56" s="32">
        <f>IFERROR('Data Sheet'!G61,0)</f>
        <v>144192.62</v>
      </c>
      <c r="I56" s="32">
        <f>IFERROR('Data Sheet'!H61,0)</f>
        <v>138051.22</v>
      </c>
      <c r="J56" s="32">
        <f>IFERROR('Data Sheet'!I61,0)</f>
        <v>155239.20000000001</v>
      </c>
      <c r="K56" s="32">
        <f>IFERROR('Data Sheet'!J61,0)</f>
        <v>177339</v>
      </c>
      <c r="L56" s="32">
        <f>IFERROR('Data Sheet'!K61,0)</f>
        <v>189289</v>
      </c>
    </row>
    <row r="57" spans="1:12">
      <c r="B57" s="40" t="s">
        <v>118</v>
      </c>
      <c r="C57" s="41">
        <f>IFERROR('Data Sheet'!B62,0)</f>
        <v>263184.12</v>
      </c>
      <c r="D57" s="41">
        <f>IFERROR('Data Sheet'!C62,0)</f>
        <v>272580.36</v>
      </c>
      <c r="E57" s="41">
        <f>IFERROR('Data Sheet'!D62,0)</f>
        <v>327191.81</v>
      </c>
      <c r="F57" s="41">
        <f>IFERROR('Data Sheet'!E62,0)</f>
        <v>305703.49</v>
      </c>
      <c r="G57" s="41">
        <f>IFERROR('Data Sheet'!F62,0)</f>
        <v>320179.39</v>
      </c>
      <c r="H57" s="41">
        <f>IFERROR('Data Sheet'!G62,0)</f>
        <v>341569.91</v>
      </c>
      <c r="I57" s="41">
        <f>IFERROR('Data Sheet'!H62,0)</f>
        <v>329061.49</v>
      </c>
      <c r="J57" s="41">
        <f>IFERROR('Data Sheet'!I62,0)</f>
        <v>334674.43</v>
      </c>
      <c r="K57" s="41">
        <f>IFERROR('Data Sheet'!J62,0)</f>
        <v>369521</v>
      </c>
      <c r="L57" s="41">
        <f>IFERROR('Data Sheet'!K62,0)</f>
        <v>376973</v>
      </c>
    </row>
    <row r="59" spans="1:12">
      <c r="B59" t="s">
        <v>27</v>
      </c>
      <c r="C59" s="32">
        <f>IFERROR('Data Sheet'!B63,0)</f>
        <v>107231.76</v>
      </c>
      <c r="D59" s="32">
        <f>IFERROR('Data Sheet'!C63,0)</f>
        <v>95944.08</v>
      </c>
      <c r="E59" s="32">
        <f>IFERROR('Data Sheet'!D63,0)</f>
        <v>121413.86</v>
      </c>
      <c r="F59" s="32">
        <f>IFERROR('Data Sheet'!E63,0)</f>
        <v>111234.47</v>
      </c>
      <c r="G59" s="32">
        <f>IFERROR('Data Sheet'!F63,0)</f>
        <v>127107.14</v>
      </c>
      <c r="H59" s="32">
        <f>IFERROR('Data Sheet'!G63,0)</f>
        <v>138707.60999999999</v>
      </c>
      <c r="I59" s="32">
        <f>IFERROR('Data Sheet'!H63,0)</f>
        <v>138855.45000000001</v>
      </c>
      <c r="J59" s="32">
        <f>IFERROR('Data Sheet'!I63,0)</f>
        <v>132079.76</v>
      </c>
      <c r="K59" s="32">
        <f>IFERROR('Data Sheet'!J63,0)</f>
        <v>121285</v>
      </c>
      <c r="L59" s="32">
        <f>IFERROR('Data Sheet'!K63,0)</f>
        <v>115697</v>
      </c>
    </row>
    <row r="60" spans="1:12">
      <c r="B60" t="s">
        <v>28</v>
      </c>
      <c r="C60" s="32">
        <f>IFERROR('Data Sheet'!B64,0)</f>
        <v>25918.94</v>
      </c>
      <c r="D60" s="32">
        <f>IFERROR('Data Sheet'!C64,0)</f>
        <v>33698.839999999997</v>
      </c>
      <c r="E60" s="32">
        <f>IFERROR('Data Sheet'!D64,0)</f>
        <v>40033.5</v>
      </c>
      <c r="F60" s="32">
        <f>IFERROR('Data Sheet'!E64,0)</f>
        <v>31883.84</v>
      </c>
      <c r="G60" s="32">
        <f>IFERROR('Data Sheet'!F64,0)</f>
        <v>35622.29</v>
      </c>
      <c r="H60" s="32">
        <f>IFERROR('Data Sheet'!G64,0)</f>
        <v>20963.93</v>
      </c>
      <c r="I60" s="32">
        <f>IFERROR('Data Sheet'!H64,0)</f>
        <v>10251.09</v>
      </c>
      <c r="J60" s="32">
        <f>IFERROR('Data Sheet'!I64,0)</f>
        <v>14274.5</v>
      </c>
      <c r="K60" s="32">
        <f>IFERROR('Data Sheet'!J64,0)</f>
        <v>35698</v>
      </c>
      <c r="L60" s="32">
        <f>IFERROR('Data Sheet'!K64,0)</f>
        <v>65806</v>
      </c>
    </row>
    <row r="61" spans="1:12">
      <c r="B61" t="s">
        <v>29</v>
      </c>
      <c r="C61" s="32">
        <f>IFERROR('Data Sheet'!B65,0)</f>
        <v>23767.02</v>
      </c>
      <c r="D61" s="32">
        <f>IFERROR('Data Sheet'!C65,0)</f>
        <v>20337.919999999998</v>
      </c>
      <c r="E61" s="32">
        <f>IFERROR('Data Sheet'!D65,0)</f>
        <v>20812.75</v>
      </c>
      <c r="F61" s="32">
        <f>IFERROR('Data Sheet'!E65,0)</f>
        <v>15770.72</v>
      </c>
      <c r="G61" s="32">
        <f>IFERROR('Data Sheet'!F65,0)</f>
        <v>16308.48</v>
      </c>
      <c r="H61" s="32">
        <f>IFERROR('Data Sheet'!G65,0)</f>
        <v>24620.28</v>
      </c>
      <c r="I61" s="32">
        <f>IFERROR('Data Sheet'!H65,0)</f>
        <v>29379.53</v>
      </c>
      <c r="J61" s="32">
        <f>IFERROR('Data Sheet'!I65,0)</f>
        <v>26379.16</v>
      </c>
      <c r="K61" s="32">
        <f>IFERROR('Data Sheet'!J65,0)</f>
        <v>22971</v>
      </c>
      <c r="L61" s="32">
        <f>IFERROR('Data Sheet'!K65,0)</f>
        <v>35656</v>
      </c>
    </row>
    <row r="62" spans="1:12">
      <c r="B62" t="s">
        <v>73</v>
      </c>
      <c r="C62" s="32">
        <f>IFERROR('Data Sheet'!B66-SUM('Data Sheet'!B68:B70),0)</f>
        <v>29579.359999999986</v>
      </c>
      <c r="D62" s="32">
        <f>IFERROR('Data Sheet'!C66-SUM('Data Sheet'!C68:C70),0)</f>
        <v>37360.780000000013</v>
      </c>
      <c r="E62" s="32">
        <f>IFERROR('Data Sheet'!D66-SUM('Data Sheet'!D68:D70),0)</f>
        <v>48286.860000000015</v>
      </c>
      <c r="F62" s="32">
        <f>IFERROR('Data Sheet'!E66-SUM('Data Sheet'!E68:E70),0)</f>
        <v>56155.739999999991</v>
      </c>
      <c r="G62" s="32">
        <f>IFERROR('Data Sheet'!F66-SUM('Data Sheet'!F68:F70),0)</f>
        <v>58784.94</v>
      </c>
      <c r="H62" s="32">
        <f>IFERROR('Data Sheet'!G66-SUM('Data Sheet'!G68:G70),0)</f>
        <v>61717.959999999992</v>
      </c>
      <c r="I62" s="32">
        <f>IFERROR('Data Sheet'!H66-SUM('Data Sheet'!H68:H70),0)</f>
        <v>62223.770000000019</v>
      </c>
      <c r="J62" s="32">
        <f>IFERROR('Data Sheet'!I66-SUM('Data Sheet'!I68:I70),0)</f>
        <v>68432.090000000011</v>
      </c>
      <c r="K62" s="32">
        <f>IFERROR('Data Sheet'!J66-SUM('Data Sheet'!J68:J70),0)</f>
        <v>79020</v>
      </c>
      <c r="L62" s="32">
        <f>IFERROR('Data Sheet'!K66-SUM('Data Sheet'!K68:K70),0)</f>
        <v>58463</v>
      </c>
    </row>
    <row r="63" spans="1:12">
      <c r="B63" s="40" t="s">
        <v>119</v>
      </c>
      <c r="C63" s="41">
        <f>IFERROR(SUM(C59:C62),0)</f>
        <v>186497.07999999996</v>
      </c>
      <c r="D63" s="41">
        <f t="shared" ref="D63:L63" si="18">IFERROR(SUM(D59:D62),0)</f>
        <v>187341.62</v>
      </c>
      <c r="E63" s="41">
        <f t="shared" si="18"/>
        <v>230546.97</v>
      </c>
      <c r="F63" s="41">
        <f t="shared" si="18"/>
        <v>215044.77</v>
      </c>
      <c r="G63" s="41">
        <f t="shared" si="18"/>
        <v>237822.85</v>
      </c>
      <c r="H63" s="41">
        <f t="shared" si="18"/>
        <v>246009.77999999997</v>
      </c>
      <c r="I63" s="41">
        <f t="shared" si="18"/>
        <v>240709.84000000003</v>
      </c>
      <c r="J63" s="41">
        <f t="shared" si="18"/>
        <v>241165.51</v>
      </c>
      <c r="K63" s="41">
        <f t="shared" si="18"/>
        <v>258974</v>
      </c>
      <c r="L63" s="41">
        <f t="shared" si="18"/>
        <v>275622</v>
      </c>
    </row>
    <row r="65" spans="1:12">
      <c r="B65" t="s">
        <v>78</v>
      </c>
      <c r="C65" s="32">
        <f>IFERROR('Data Sheet'!B68,0)</f>
        <v>13570.91</v>
      </c>
      <c r="D65" s="32">
        <f>IFERROR('Data Sheet'!C68,0)</f>
        <v>14075.55</v>
      </c>
      <c r="E65" s="32">
        <f>IFERROR('Data Sheet'!D68,0)</f>
        <v>19893.3</v>
      </c>
      <c r="F65" s="32">
        <f>IFERROR('Data Sheet'!E68,0)</f>
        <v>18996.169999999998</v>
      </c>
      <c r="G65" s="32">
        <f>IFERROR('Data Sheet'!F68,0)</f>
        <v>11172.69</v>
      </c>
      <c r="H65" s="32">
        <f>IFERROR('Data Sheet'!G68,0)</f>
        <v>12679.08</v>
      </c>
      <c r="I65" s="32">
        <f>IFERROR('Data Sheet'!H68,0)</f>
        <v>12442.12</v>
      </c>
      <c r="J65" s="32">
        <f>IFERROR('Data Sheet'!I68,0)</f>
        <v>15737.97</v>
      </c>
      <c r="K65" s="32">
        <f>IFERROR('Data Sheet'!J68,0)</f>
        <v>16952</v>
      </c>
      <c r="L65" s="32">
        <f>IFERROR('Data Sheet'!K68,0)</f>
        <v>13248</v>
      </c>
    </row>
    <row r="66" spans="1:12">
      <c r="B66" t="s">
        <v>45</v>
      </c>
      <c r="C66" s="32">
        <f>IFERROR('Data Sheet'!B69,0)</f>
        <v>32655.73</v>
      </c>
      <c r="D66" s="32">
        <f>IFERROR('Data Sheet'!C69,0)</f>
        <v>35085.31</v>
      </c>
      <c r="E66" s="32">
        <f>IFERROR('Data Sheet'!D69,0)</f>
        <v>42137.63</v>
      </c>
      <c r="F66" s="32">
        <f>IFERROR('Data Sheet'!E69,0)</f>
        <v>39013.730000000003</v>
      </c>
      <c r="G66" s="32">
        <f>IFERROR('Data Sheet'!F69,0)</f>
        <v>37456.879999999997</v>
      </c>
      <c r="H66" s="32">
        <f>IFERROR('Data Sheet'!G69,0)</f>
        <v>36088.589999999997</v>
      </c>
      <c r="I66" s="32">
        <f>IFERROR('Data Sheet'!H69,0)</f>
        <v>35240.339999999997</v>
      </c>
      <c r="J66" s="32">
        <f>IFERROR('Data Sheet'!I69,0)</f>
        <v>40755.39</v>
      </c>
      <c r="K66" s="32">
        <f>IFERROR('Data Sheet'!J69,0)</f>
        <v>47788</v>
      </c>
      <c r="L66" s="32">
        <f>IFERROR('Data Sheet'!K69,0)</f>
        <v>47269</v>
      </c>
    </row>
    <row r="67" spans="1:12">
      <c r="B67" t="s">
        <v>87</v>
      </c>
      <c r="C67" s="32">
        <f>IFERROR('Data Sheet'!B70,0)</f>
        <v>30460.400000000001</v>
      </c>
      <c r="D67" s="32">
        <f>IFERROR('Data Sheet'!C70,0)</f>
        <v>36077.879999999997</v>
      </c>
      <c r="E67" s="32">
        <f>IFERROR('Data Sheet'!D70,0)</f>
        <v>34613.910000000003</v>
      </c>
      <c r="F67" s="32">
        <f>IFERROR('Data Sheet'!E70,0)</f>
        <v>32648.82</v>
      </c>
      <c r="G67" s="32">
        <f>IFERROR('Data Sheet'!F70,0)</f>
        <v>33726.97</v>
      </c>
      <c r="H67" s="32">
        <f>IFERROR('Data Sheet'!G70,0)</f>
        <v>46792.46</v>
      </c>
      <c r="I67" s="32">
        <f>IFERROR('Data Sheet'!H70,0)</f>
        <v>40669.19</v>
      </c>
      <c r="J67" s="32">
        <f>IFERROR('Data Sheet'!I70,0)</f>
        <v>37015.56</v>
      </c>
      <c r="K67" s="32">
        <f>IFERROR('Data Sheet'!J70,0)</f>
        <v>45807</v>
      </c>
      <c r="L67" s="32">
        <f>IFERROR('Data Sheet'!K70,0)</f>
        <v>40834</v>
      </c>
    </row>
    <row r="68" spans="1:12">
      <c r="B68" s="40" t="s">
        <v>120</v>
      </c>
      <c r="C68" s="41">
        <f>IFERROR(SUM(C65:C67),0)</f>
        <v>76687.040000000008</v>
      </c>
      <c r="D68" s="41">
        <f t="shared" ref="D68:L68" si="19">IFERROR(SUM(D65:D67),0)</f>
        <v>85238.739999999991</v>
      </c>
      <c r="E68" s="41">
        <f t="shared" si="19"/>
        <v>96644.84</v>
      </c>
      <c r="F68" s="41">
        <f t="shared" si="19"/>
        <v>90658.72</v>
      </c>
      <c r="G68" s="41">
        <f t="shared" si="19"/>
        <v>82356.540000000008</v>
      </c>
      <c r="H68" s="41">
        <f t="shared" si="19"/>
        <v>95560.13</v>
      </c>
      <c r="I68" s="41">
        <f t="shared" si="19"/>
        <v>88351.65</v>
      </c>
      <c r="J68" s="41">
        <f t="shared" si="19"/>
        <v>93508.92</v>
      </c>
      <c r="K68" s="41">
        <f t="shared" si="19"/>
        <v>110547</v>
      </c>
      <c r="L68" s="41">
        <f t="shared" si="19"/>
        <v>101351</v>
      </c>
    </row>
    <row r="70" spans="1:12">
      <c r="B70" s="40" t="s">
        <v>121</v>
      </c>
      <c r="C70" s="41">
        <f>IFERROR(SUM(C63,C68),0)</f>
        <v>263184.12</v>
      </c>
      <c r="D70" s="41">
        <f t="shared" ref="D70:L70" si="20">IFERROR(SUM(D63,D68),0)</f>
        <v>272580.36</v>
      </c>
      <c r="E70" s="41">
        <f t="shared" si="20"/>
        <v>327191.81</v>
      </c>
      <c r="F70" s="41">
        <f t="shared" si="20"/>
        <v>305703.49</v>
      </c>
      <c r="G70" s="41">
        <f t="shared" si="20"/>
        <v>320179.39</v>
      </c>
      <c r="H70" s="41">
        <f t="shared" si="20"/>
        <v>341569.91</v>
      </c>
      <c r="I70" s="41">
        <f t="shared" si="20"/>
        <v>329061.49</v>
      </c>
      <c r="J70" s="41">
        <f t="shared" si="20"/>
        <v>334674.43</v>
      </c>
      <c r="K70" s="41">
        <f t="shared" si="20"/>
        <v>369521</v>
      </c>
      <c r="L70" s="41">
        <f t="shared" si="20"/>
        <v>376973</v>
      </c>
    </row>
    <row r="72" spans="1:12">
      <c r="B72" s="2" t="s">
        <v>122</v>
      </c>
      <c r="C72" t="b">
        <f>C70=C57</f>
        <v>1</v>
      </c>
      <c r="D72" t="b">
        <f t="shared" ref="D72:L72" si="21">D70=D57</f>
        <v>1</v>
      </c>
      <c r="E72" t="b">
        <f t="shared" si="21"/>
        <v>1</v>
      </c>
      <c r="F72" t="b">
        <f t="shared" si="21"/>
        <v>1</v>
      </c>
      <c r="G72" t="b">
        <f t="shared" si="21"/>
        <v>1</v>
      </c>
      <c r="H72" t="b">
        <f>H70=H57</f>
        <v>1</v>
      </c>
      <c r="I72" t="b">
        <f t="shared" si="21"/>
        <v>1</v>
      </c>
      <c r="J72" t="b">
        <f t="shared" si="21"/>
        <v>1</v>
      </c>
      <c r="K72" t="b">
        <f t="shared" si="21"/>
        <v>1</v>
      </c>
      <c r="L72" t="b">
        <f t="shared" si="21"/>
        <v>1</v>
      </c>
    </row>
    <row r="74" spans="1:12" s="48" customFormat="1">
      <c r="A74" s="48" t="s">
        <v>94</v>
      </c>
      <c r="B74" s="36" t="s">
        <v>151</v>
      </c>
      <c r="C74" s="35"/>
      <c r="D74" s="35"/>
      <c r="E74" s="35"/>
      <c r="F74" s="35"/>
      <c r="G74" s="35"/>
      <c r="H74" s="35"/>
      <c r="I74" s="35"/>
      <c r="J74" s="35"/>
      <c r="K74" s="35"/>
      <c r="L74" s="35"/>
    </row>
    <row r="75" spans="1:12">
      <c r="B75" s="2"/>
    </row>
    <row r="76" spans="1:12">
      <c r="B76" t="s">
        <v>32</v>
      </c>
      <c r="C76" s="32">
        <f>IFERROR('Data Sheet'!B83,0)</f>
        <v>37899.54</v>
      </c>
      <c r="D76" s="32">
        <f>IFERROR('Data Sheet'!C83,0)</f>
        <v>30199.25</v>
      </c>
      <c r="E76" s="32">
        <f>IFERROR('Data Sheet'!D83,0)</f>
        <v>23857.42</v>
      </c>
      <c r="F76" s="32">
        <f>IFERROR('Data Sheet'!E83,0)</f>
        <v>18890.75</v>
      </c>
      <c r="G76" s="32">
        <f>IFERROR('Data Sheet'!F83,0)</f>
        <v>26632.94</v>
      </c>
      <c r="H76" s="32">
        <f>IFERROR('Data Sheet'!G83,0)</f>
        <v>29000.51</v>
      </c>
      <c r="I76" s="32">
        <f>IFERROR('Data Sheet'!H83,0)</f>
        <v>14282.83</v>
      </c>
      <c r="J76" s="32">
        <f>IFERROR('Data Sheet'!I83,0)</f>
        <v>35388.01</v>
      </c>
      <c r="K76" s="32">
        <f>IFERROR('Data Sheet'!J83,0)</f>
        <v>67915</v>
      </c>
      <c r="L76" s="32">
        <f>IFERROR('Data Sheet'!K83,0)</f>
        <v>63102</v>
      </c>
    </row>
    <row r="78" spans="1:12">
      <c r="B78" t="s">
        <v>154</v>
      </c>
      <c r="C78" s="32">
        <f>IFERROR('Data Sheet'!B84,0)</f>
        <v>-36693.9</v>
      </c>
      <c r="D78" s="32">
        <f>IFERROR('Data Sheet'!C84,0)</f>
        <v>-39571.4</v>
      </c>
      <c r="E78" s="32">
        <f>IFERROR('Data Sheet'!D84,0)</f>
        <v>-25139.14</v>
      </c>
      <c r="F78" s="32">
        <f>IFERROR('Data Sheet'!E84,0)</f>
        <v>-20878.07</v>
      </c>
      <c r="G78" s="32">
        <f>IFERROR('Data Sheet'!F84,0)</f>
        <v>-33114.550000000003</v>
      </c>
      <c r="H78" s="32">
        <f>IFERROR('Data Sheet'!G84,0)</f>
        <v>-25672.5</v>
      </c>
      <c r="I78" s="32">
        <f>IFERROR('Data Sheet'!H84,0)</f>
        <v>-4443.66</v>
      </c>
      <c r="J78" s="32">
        <f>IFERROR('Data Sheet'!I84,0)</f>
        <v>-15417.17</v>
      </c>
      <c r="K78" s="32">
        <f>IFERROR('Data Sheet'!J84,0)</f>
        <v>-22781</v>
      </c>
      <c r="L78" s="32">
        <f>IFERROR('Data Sheet'!K84,0)</f>
        <v>-49982</v>
      </c>
    </row>
    <row r="80" spans="1:12">
      <c r="B80" t="s">
        <v>156</v>
      </c>
      <c r="C80" s="32">
        <f>IFERROR('Data Sheet'!B85,0)</f>
        <v>-3795.12</v>
      </c>
      <c r="D80" s="32">
        <f>IFERROR('Data Sheet'!C85,0)</f>
        <v>6205.3</v>
      </c>
      <c r="E80" s="32">
        <f>IFERROR('Data Sheet'!D85,0)</f>
        <v>2011.71</v>
      </c>
      <c r="F80" s="32">
        <f>IFERROR('Data Sheet'!E85,0)</f>
        <v>8830.3700000000008</v>
      </c>
      <c r="G80" s="32">
        <f>IFERROR('Data Sheet'!F85,0)</f>
        <v>3389.61</v>
      </c>
      <c r="H80" s="32">
        <f>IFERROR('Data Sheet'!G85,0)</f>
        <v>9904.2000000000007</v>
      </c>
      <c r="I80" s="32">
        <f>IFERROR('Data Sheet'!H85,0)</f>
        <v>-3380.17</v>
      </c>
      <c r="J80" s="32">
        <f>IFERROR('Data Sheet'!I85,0)</f>
        <v>-26242.9</v>
      </c>
      <c r="K80" s="32">
        <f>IFERROR('Data Sheet'!J85,0)</f>
        <v>-37006</v>
      </c>
      <c r="L80" s="32">
        <f>IFERROR('Data Sheet'!K85,0)</f>
        <v>-18786</v>
      </c>
    </row>
    <row r="81" spans="2:12">
      <c r="C81" s="32"/>
      <c r="D81" s="32"/>
      <c r="E81" s="32"/>
      <c r="F81" s="32"/>
      <c r="G81" s="32"/>
      <c r="H81" s="32"/>
      <c r="I81" s="32"/>
      <c r="J81" s="32"/>
      <c r="K81" s="32"/>
      <c r="L81" s="32"/>
    </row>
    <row r="82" spans="2:12" s="2" customFormat="1">
      <c r="B82" s="40" t="s">
        <v>35</v>
      </c>
      <c r="C82" s="41">
        <f t="shared" ref="C82:L82" si="22">IFERROR(SUM(C76,C78,C80),0)</f>
        <v>-2589.4800000000005</v>
      </c>
      <c r="D82" s="41">
        <f t="shared" si="22"/>
        <v>-3166.8500000000013</v>
      </c>
      <c r="E82" s="41">
        <f t="shared" si="22"/>
        <v>729.98999999999887</v>
      </c>
      <c r="F82" s="41">
        <f t="shared" si="22"/>
        <v>6843.0500000000011</v>
      </c>
      <c r="G82" s="41">
        <f t="shared" si="22"/>
        <v>-3092.0000000000041</v>
      </c>
      <c r="H82" s="41">
        <f t="shared" si="22"/>
        <v>13232.21</v>
      </c>
      <c r="I82" s="41">
        <f t="shared" si="22"/>
        <v>6459</v>
      </c>
      <c r="J82" s="41">
        <f t="shared" si="22"/>
        <v>-6272.0599999999977</v>
      </c>
      <c r="K82" s="41">
        <f t="shared" si="22"/>
        <v>8128</v>
      </c>
      <c r="L82" s="41">
        <f t="shared" si="22"/>
        <v>-5666</v>
      </c>
    </row>
  </sheetData>
  <mergeCells count="1">
    <mergeCell ref="B9:L9"/>
  </mergeCells>
  <pageMargins left="0.25" right="0.25" top="0.75" bottom="0.75" header="0.3" footer="0.3"/>
  <pageSetup scale="5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661F9-611E-4848-85E9-8AAF54B6074F}">
  <sheetPr codeName="Sheet11">
    <pageSetUpPr fitToPage="1"/>
  </sheetPr>
  <dimension ref="A1:M46"/>
  <sheetViews>
    <sheetView showGridLines="0" zoomScale="99" zoomScaleNormal="111" workbookViewId="0">
      <selection activeCell="N11" sqref="N11"/>
    </sheetView>
  </sheetViews>
  <sheetFormatPr defaultRowHeight="14.5"/>
  <cols>
    <col min="1" max="1" width="1.90625" customWidth="1"/>
    <col min="2" max="2" width="26" bestFit="1" customWidth="1"/>
    <col min="3" max="8" width="11.6328125" bestFit="1" customWidth="1"/>
    <col min="9" max="9" width="11.54296875" bestFit="1" customWidth="1"/>
    <col min="10" max="12" width="11.6328125" bestFit="1" customWidth="1"/>
    <col min="13" max="13" width="1.90625" customWidth="1"/>
  </cols>
  <sheetData>
    <row r="1" spans="1:13">
      <c r="A1" s="273"/>
      <c r="B1" s="361"/>
      <c r="C1" s="361"/>
      <c r="D1" s="361"/>
      <c r="E1" s="361"/>
      <c r="F1" s="361"/>
      <c r="G1" s="361"/>
      <c r="H1" s="361"/>
      <c r="I1" s="361"/>
      <c r="J1" s="93"/>
      <c r="K1" s="93"/>
      <c r="L1" s="93"/>
    </row>
    <row r="2" spans="1:13" ht="6" customHeight="1">
      <c r="A2" s="273"/>
      <c r="B2" s="273"/>
      <c r="C2" s="273"/>
      <c r="D2" s="273"/>
      <c r="E2" s="273"/>
      <c r="F2" s="273"/>
      <c r="G2" s="273"/>
      <c r="H2" s="273"/>
      <c r="I2" s="273"/>
      <c r="M2" s="48"/>
    </row>
    <row r="3" spans="1:13" ht="22.5" customHeight="1">
      <c r="A3" s="273"/>
      <c r="B3" s="362" t="str">
        <f>'Data Sheet'!B1</f>
        <v>TATA MOTORS LTD</v>
      </c>
      <c r="C3" s="273"/>
      <c r="D3" s="273"/>
      <c r="E3" s="273"/>
      <c r="F3" s="273"/>
      <c r="G3" s="273"/>
      <c r="H3" s="273"/>
      <c r="I3" s="273"/>
    </row>
    <row r="4" spans="1:13">
      <c r="A4" s="273"/>
      <c r="B4" s="274" t="s">
        <v>460</v>
      </c>
      <c r="C4" s="273"/>
      <c r="D4" s="273"/>
      <c r="E4" s="273"/>
      <c r="F4" s="273"/>
      <c r="G4" s="273"/>
      <c r="H4" s="273"/>
      <c r="I4" s="273"/>
    </row>
    <row r="5" spans="1:13" ht="18.5">
      <c r="A5" s="273"/>
      <c r="B5" s="363" t="s">
        <v>461</v>
      </c>
      <c r="C5" s="273"/>
      <c r="D5" s="273"/>
      <c r="E5" s="273"/>
      <c r="F5" s="273"/>
      <c r="G5" s="273"/>
      <c r="H5" s="273"/>
      <c r="I5" s="273"/>
    </row>
    <row r="6" spans="1:13">
      <c r="A6" s="273"/>
      <c r="B6" s="279" t="s">
        <v>463</v>
      </c>
      <c r="C6" s="273"/>
      <c r="D6" s="273"/>
      <c r="E6" s="273"/>
      <c r="F6" s="273"/>
      <c r="G6" s="273"/>
      <c r="H6" s="273"/>
      <c r="I6" s="273"/>
    </row>
    <row r="7" spans="1:13" ht="2.5" customHeight="1" thickBot="1">
      <c r="A7" s="273"/>
      <c r="B7" s="393"/>
      <c r="C7" s="393"/>
      <c r="D7" s="393"/>
      <c r="E7" s="393"/>
      <c r="F7" s="393"/>
      <c r="G7" s="393"/>
      <c r="H7" s="393"/>
      <c r="I7" s="393"/>
      <c r="J7" s="397"/>
      <c r="K7" s="397"/>
      <c r="L7" s="397"/>
    </row>
    <row r="8" spans="1:13" ht="7.5" customHeight="1"/>
    <row r="9" spans="1:13">
      <c r="A9" s="48"/>
      <c r="B9" s="83" t="s">
        <v>151</v>
      </c>
      <c r="C9" s="126">
        <f>'Historical FS'!C10</f>
        <v>42460</v>
      </c>
      <c r="D9" s="126">
        <f>'Historical FS'!D10</f>
        <v>42825</v>
      </c>
      <c r="E9" s="126">
        <f>'Historical FS'!E10</f>
        <v>43190</v>
      </c>
      <c r="F9" s="126">
        <f>'Historical FS'!F10</f>
        <v>43555</v>
      </c>
      <c r="G9" s="126">
        <f>'Historical FS'!G10</f>
        <v>43921</v>
      </c>
      <c r="H9" s="126">
        <f>'Historical FS'!H10</f>
        <v>44286</v>
      </c>
      <c r="I9" s="126">
        <f>'Historical FS'!I10</f>
        <v>44651</v>
      </c>
      <c r="J9" s="126">
        <f>'Historical FS'!J10</f>
        <v>45016</v>
      </c>
      <c r="K9" s="126">
        <f>'Historical FS'!K10</f>
        <v>45382</v>
      </c>
      <c r="L9" s="126">
        <f>'Historical FS'!L10</f>
        <v>45747</v>
      </c>
    </row>
    <row r="10" spans="1:13">
      <c r="B10" s="2" t="s">
        <v>152</v>
      </c>
    </row>
    <row r="11" spans="1:13">
      <c r="B11" t="s">
        <v>123</v>
      </c>
      <c r="C11" s="32">
        <f>IFERROR('Cash Flow Data'!C4,0)</f>
        <v>38626</v>
      </c>
      <c r="D11" s="32">
        <f>IFERROR('Cash Flow Data'!D4,0)</f>
        <v>28840</v>
      </c>
      <c r="E11" s="32">
        <f>IFERROR('Cash Flow Data'!E4,0)</f>
        <v>33312</v>
      </c>
      <c r="F11" s="32">
        <f>IFERROR('Cash Flow Data'!F4,0)</f>
        <v>28771</v>
      </c>
      <c r="G11" s="32">
        <f>IFERROR('Cash Flow Data'!G4,0)</f>
        <v>23352</v>
      </c>
      <c r="H11" s="32">
        <f>IFERROR('Cash Flow Data'!H4,0)</f>
        <v>31198</v>
      </c>
      <c r="I11" s="32">
        <f>IFERROR('Cash Flow Data'!I4,0)</f>
        <v>26943</v>
      </c>
      <c r="J11" s="32">
        <f>IFERROR('Cash Flow Data'!J4,0)</f>
        <v>41694</v>
      </c>
      <c r="K11" s="32">
        <f>IFERROR('Cash Flow Data'!K4,0)</f>
        <v>65106</v>
      </c>
      <c r="L11" s="32">
        <f>IFERROR('Cash Flow Data'!L4,0)</f>
        <v>58937</v>
      </c>
    </row>
    <row r="12" spans="1:13">
      <c r="B12" t="s">
        <v>78</v>
      </c>
      <c r="C12" s="32">
        <f>IFERROR('Cash Flow Data'!C5,0)</f>
        <v>-2223</v>
      </c>
      <c r="D12" s="32">
        <f>IFERROR('Cash Flow Data'!D5,0)</f>
        <v>-4152</v>
      </c>
      <c r="E12" s="32">
        <f>IFERROR('Cash Flow Data'!E5,0)</f>
        <v>-10688</v>
      </c>
      <c r="F12" s="32">
        <f>IFERROR('Cash Flow Data'!F5,0)</f>
        <v>-9109</v>
      </c>
      <c r="G12" s="32">
        <f>IFERROR('Cash Flow Data'!G5,0)</f>
        <v>9950</v>
      </c>
      <c r="H12" s="32">
        <f>IFERROR('Cash Flow Data'!H5,0)</f>
        <v>-5505</v>
      </c>
      <c r="I12" s="32">
        <f>IFERROR('Cash Flow Data'!I5,0)</f>
        <v>185</v>
      </c>
      <c r="J12" s="32">
        <f>IFERROR('Cash Flow Data'!J5,0)</f>
        <v>-2213</v>
      </c>
      <c r="K12" s="32">
        <f>IFERROR('Cash Flow Data'!K5,0)</f>
        <v>-1876</v>
      </c>
      <c r="L12" s="32">
        <f>IFERROR('Cash Flow Data'!L5,0)</f>
        <v>3573</v>
      </c>
    </row>
    <row r="13" spans="1:13">
      <c r="B13" t="s">
        <v>45</v>
      </c>
      <c r="C13" s="32">
        <f>IFERROR('Cash Flow Data'!C6,0)</f>
        <v>-5743</v>
      </c>
      <c r="D13" s="32">
        <f>IFERROR('Cash Flow Data'!D6,0)</f>
        <v>-6621</v>
      </c>
      <c r="E13" s="32">
        <f>IFERROR('Cash Flow Data'!E6,0)</f>
        <v>-3560</v>
      </c>
      <c r="F13" s="32">
        <f>IFERROR('Cash Flow Data'!F6,0)</f>
        <v>2069</v>
      </c>
      <c r="G13" s="32">
        <f>IFERROR('Cash Flow Data'!G6,0)</f>
        <v>2326</v>
      </c>
      <c r="H13" s="32">
        <f>IFERROR('Cash Flow Data'!H6,0)</f>
        <v>3814</v>
      </c>
      <c r="I13" s="32">
        <f>IFERROR('Cash Flow Data'!I6,0)</f>
        <v>472</v>
      </c>
      <c r="J13" s="32">
        <f>IFERROR('Cash Flow Data'!J6,0)</f>
        <v>-5665</v>
      </c>
      <c r="K13" s="32">
        <f>IFERROR('Cash Flow Data'!K6,0)</f>
        <v>-7265</v>
      </c>
      <c r="L13" s="32">
        <f>IFERROR('Cash Flow Data'!L6,0)</f>
        <v>2127</v>
      </c>
    </row>
    <row r="14" spans="1:13">
      <c r="B14" t="s">
        <v>124</v>
      </c>
      <c r="C14" s="32">
        <f>IFERROR('Cash Flow Data'!C7,0)</f>
        <v>3947</v>
      </c>
      <c r="D14" s="32">
        <f>IFERROR('Cash Flow Data'!D7,0)</f>
        <v>9301</v>
      </c>
      <c r="E14" s="32">
        <f>IFERROR('Cash Flow Data'!E7,0)</f>
        <v>7320</v>
      </c>
      <c r="F14" s="32">
        <f>IFERROR('Cash Flow Data'!F7,0)</f>
        <v>-4692</v>
      </c>
      <c r="G14" s="32">
        <f>IFERROR('Cash Flow Data'!G7,0)</f>
        <v>-8085</v>
      </c>
      <c r="H14" s="32">
        <f>IFERROR('Cash Flow Data'!H7,0)</f>
        <v>5748</v>
      </c>
      <c r="I14" s="32">
        <f>IFERROR('Cash Flow Data'!I7,0)</f>
        <v>-7012</v>
      </c>
      <c r="J14" s="32">
        <f>IFERROR('Cash Flow Data'!J7,0)</f>
        <v>6945</v>
      </c>
      <c r="K14" s="32">
        <f>IFERROR('Cash Flow Data'!K7,0)</f>
        <v>13706</v>
      </c>
      <c r="L14" s="32">
        <f>IFERROR('Cash Flow Data'!L7,0)</f>
        <v>1303</v>
      </c>
    </row>
    <row r="15" spans="1:13">
      <c r="B15" t="s">
        <v>125</v>
      </c>
      <c r="C15" s="32">
        <f>IFERROR('Cash Flow Data'!C8,0)</f>
        <v>-520</v>
      </c>
      <c r="D15" s="32">
        <f>IFERROR('Cash Flow Data'!D8,0)</f>
        <v>0</v>
      </c>
      <c r="E15" s="32">
        <f>IFERROR('Cash Flow Data'!E8,0)</f>
        <v>0</v>
      </c>
      <c r="F15" s="32">
        <f>IFERROR('Cash Flow Data'!F8,0)</f>
        <v>0</v>
      </c>
      <c r="G15" s="32">
        <f>IFERROR('Cash Flow Data'!G8,0)</f>
        <v>0</v>
      </c>
      <c r="H15" s="32">
        <f>IFERROR('Cash Flow Data'!H8,0)</f>
        <v>0</v>
      </c>
      <c r="I15" s="32">
        <f>IFERROR('Cash Flow Data'!I8,0)</f>
        <v>0</v>
      </c>
      <c r="J15" s="32">
        <f>IFERROR('Cash Flow Data'!J8,0)</f>
        <v>0</v>
      </c>
      <c r="K15" s="32">
        <f>IFERROR('Cash Flow Data'!K8,0)</f>
        <v>0</v>
      </c>
      <c r="L15" s="32">
        <f>IFERROR('Cash Flow Data'!L8,0)</f>
        <v>0</v>
      </c>
    </row>
    <row r="16" spans="1:13">
      <c r="B16" t="s">
        <v>126</v>
      </c>
      <c r="C16" s="32">
        <f>IFERROR('Cash Flow Data'!C9,0)</f>
        <v>5852</v>
      </c>
      <c r="D16" s="32">
        <f>IFERROR('Cash Flow Data'!D9,0)</f>
        <v>4727</v>
      </c>
      <c r="E16" s="32">
        <f>IFERROR('Cash Flow Data'!E9,0)</f>
        <v>494</v>
      </c>
      <c r="F16" s="32">
        <f>IFERROR('Cash Flow Data'!F9,0)</f>
        <v>4512</v>
      </c>
      <c r="G16" s="32">
        <f>IFERROR('Cash Flow Data'!G9,0)</f>
        <v>875</v>
      </c>
      <c r="H16" s="32">
        <f>IFERROR('Cash Flow Data'!H9,0)</f>
        <v>-4150</v>
      </c>
      <c r="I16" s="32">
        <f>IFERROR('Cash Flow Data'!I9,0)</f>
        <v>-4396</v>
      </c>
      <c r="J16" s="32">
        <f>IFERROR('Cash Flow Data'!J9,0)</f>
        <v>-2194</v>
      </c>
      <c r="K16" s="32">
        <f>IFERROR('Cash Flow Data'!K9,0)</f>
        <v>2760</v>
      </c>
      <c r="L16" s="32">
        <f>IFERROR('Cash Flow Data'!L9,0)</f>
        <v>1153</v>
      </c>
    </row>
    <row r="17" spans="2:12">
      <c r="B17" t="s">
        <v>127</v>
      </c>
      <c r="C17" s="32">
        <f>IFERROR('Cash Flow Data'!C10,0)</f>
        <v>1313</v>
      </c>
      <c r="D17" s="32">
        <f>IFERROR('Cash Flow Data'!D10,0)</f>
        <v>3254</v>
      </c>
      <c r="E17" s="32">
        <f>IFERROR('Cash Flow Data'!E10,0)</f>
        <v>-6434</v>
      </c>
      <c r="F17" s="32">
        <f>IFERROR('Cash Flow Data'!F10,0)</f>
        <v>-7221</v>
      </c>
      <c r="G17" s="32">
        <f>IFERROR('Cash Flow Data'!G10,0)</f>
        <v>5065</v>
      </c>
      <c r="H17" s="32">
        <f>IFERROR('Cash Flow Data'!H10,0)</f>
        <v>-93</v>
      </c>
      <c r="I17" s="32">
        <f>IFERROR('Cash Flow Data'!I10,0)</f>
        <v>-10750</v>
      </c>
      <c r="J17" s="32">
        <f>IFERROR('Cash Flow Data'!J10,0)</f>
        <v>-3127</v>
      </c>
      <c r="K17" s="32">
        <f>IFERROR('Cash Flow Data'!K10,0)</f>
        <v>7325</v>
      </c>
      <c r="L17" s="32">
        <f>IFERROR('Cash Flow Data'!L10,0)</f>
        <v>8156</v>
      </c>
    </row>
    <row r="18" spans="2:12">
      <c r="B18" t="s">
        <v>128</v>
      </c>
      <c r="C18" s="32">
        <f>IFERROR('Cash Flow Data'!C11,0)</f>
        <v>-2040</v>
      </c>
      <c r="D18" s="32">
        <f>IFERROR('Cash Flow Data'!D11,0)</f>
        <v>-1895</v>
      </c>
      <c r="E18" s="32">
        <f>IFERROR('Cash Flow Data'!E11,0)</f>
        <v>-3021</v>
      </c>
      <c r="F18" s="32">
        <f>IFERROR('Cash Flow Data'!F11,0)</f>
        <v>-2659</v>
      </c>
      <c r="G18" s="32">
        <f>IFERROR('Cash Flow Data'!G11,0)</f>
        <v>-1785</v>
      </c>
      <c r="H18" s="32">
        <f>IFERROR('Cash Flow Data'!H11,0)</f>
        <v>-2105</v>
      </c>
      <c r="I18" s="32">
        <f>IFERROR('Cash Flow Data'!I11,0)</f>
        <v>-1910</v>
      </c>
      <c r="J18" s="32">
        <f>IFERROR('Cash Flow Data'!J11,0)</f>
        <v>-3179</v>
      </c>
      <c r="K18" s="32">
        <f>IFERROR('Cash Flow Data'!K11,0)</f>
        <v>-4516</v>
      </c>
      <c r="L18" s="32">
        <f>IFERROR('Cash Flow Data'!L11,0)</f>
        <v>-3991</v>
      </c>
    </row>
    <row r="19" spans="2:12">
      <c r="B19" s="2" t="s">
        <v>32</v>
      </c>
      <c r="C19" s="33">
        <f>IFERROR(SUM(C11,C17,C18),0)</f>
        <v>37899</v>
      </c>
      <c r="D19" s="33">
        <f t="shared" ref="D19:L19" si="0">IFERROR(SUM(D11,D17,D18),0)</f>
        <v>30199</v>
      </c>
      <c r="E19" s="33">
        <f t="shared" si="0"/>
        <v>23857</v>
      </c>
      <c r="F19" s="33">
        <f t="shared" si="0"/>
        <v>18891</v>
      </c>
      <c r="G19" s="33">
        <f t="shared" si="0"/>
        <v>26632</v>
      </c>
      <c r="H19" s="33">
        <f t="shared" si="0"/>
        <v>29000</v>
      </c>
      <c r="I19" s="33">
        <f t="shared" si="0"/>
        <v>14283</v>
      </c>
      <c r="J19" s="33">
        <f t="shared" si="0"/>
        <v>35388</v>
      </c>
      <c r="K19" s="33">
        <f t="shared" si="0"/>
        <v>67915</v>
      </c>
      <c r="L19" s="33">
        <f t="shared" si="0"/>
        <v>63102</v>
      </c>
    </row>
    <row r="21" spans="2:12">
      <c r="B21" s="2" t="s">
        <v>153</v>
      </c>
    </row>
    <row r="22" spans="2:12">
      <c r="B22" t="s">
        <v>129</v>
      </c>
      <c r="C22" s="32">
        <f>IFERROR('Cash Flow Data'!C14,0)</f>
        <v>-31503</v>
      </c>
      <c r="D22" s="32">
        <f>IFERROR('Cash Flow Data'!D14,0)</f>
        <v>-16072</v>
      </c>
      <c r="E22" s="32">
        <f>IFERROR('Cash Flow Data'!E14,0)</f>
        <v>-35079</v>
      </c>
      <c r="F22" s="32">
        <f>IFERROR('Cash Flow Data'!F14,0)</f>
        <v>-35304</v>
      </c>
      <c r="G22" s="32">
        <f>IFERROR('Cash Flow Data'!G14,0)</f>
        <v>-29702</v>
      </c>
      <c r="H22" s="32">
        <f>IFERROR('Cash Flow Data'!H14,0)</f>
        <v>-20205</v>
      </c>
      <c r="I22" s="32">
        <f>IFERROR('Cash Flow Data'!I14,0)</f>
        <v>-15168</v>
      </c>
      <c r="J22" s="32">
        <f>IFERROR('Cash Flow Data'!J14,0)</f>
        <v>-19230</v>
      </c>
      <c r="K22" s="32">
        <f>IFERROR('Cash Flow Data'!K14,0)</f>
        <v>-31414</v>
      </c>
      <c r="L22" s="32">
        <f>IFERROR('Cash Flow Data'!L14,0)</f>
        <v>-38042</v>
      </c>
    </row>
    <row r="23" spans="2:12">
      <c r="B23" t="s">
        <v>130</v>
      </c>
      <c r="C23" s="32">
        <f>IFERROR('Cash Flow Data'!C15,0)</f>
        <v>59</v>
      </c>
      <c r="D23" s="32">
        <f>IFERROR('Cash Flow Data'!D15,0)</f>
        <v>53</v>
      </c>
      <c r="E23" s="32">
        <f>IFERROR('Cash Flow Data'!E15,0)</f>
        <v>30</v>
      </c>
      <c r="F23" s="32">
        <f>IFERROR('Cash Flow Data'!F15,0)</f>
        <v>67</v>
      </c>
      <c r="G23" s="32">
        <f>IFERROR('Cash Flow Data'!G15,0)</f>
        <v>171</v>
      </c>
      <c r="H23" s="32">
        <f>IFERROR('Cash Flow Data'!H15,0)</f>
        <v>351</v>
      </c>
      <c r="I23" s="32">
        <f>IFERROR('Cash Flow Data'!I15,0)</f>
        <v>230</v>
      </c>
      <c r="J23" s="32">
        <f>IFERROR('Cash Flow Data'!J15,0)</f>
        <v>285</v>
      </c>
      <c r="K23" s="32">
        <f>IFERROR('Cash Flow Data'!K15,0)</f>
        <v>231</v>
      </c>
      <c r="L23" s="32">
        <f>IFERROR('Cash Flow Data'!L15,0)</f>
        <v>974</v>
      </c>
    </row>
    <row r="24" spans="2:12">
      <c r="B24" t="s">
        <v>131</v>
      </c>
      <c r="C24" s="32">
        <f>IFERROR('Cash Flow Data'!C16,0)</f>
        <v>-4728</v>
      </c>
      <c r="D24" s="32">
        <f>IFERROR('Cash Flow Data'!D16,0)</f>
        <v>-6</v>
      </c>
      <c r="E24" s="32">
        <f>IFERROR('Cash Flow Data'!E16,0)</f>
        <v>-329</v>
      </c>
      <c r="F24" s="32">
        <f>IFERROR('Cash Flow Data'!F16,0)</f>
        <v>-130</v>
      </c>
      <c r="G24" s="32">
        <f>IFERROR('Cash Flow Data'!G16,0)</f>
        <v>-1439</v>
      </c>
      <c r="H24" s="32">
        <f>IFERROR('Cash Flow Data'!H16,0)</f>
        <v>-7530</v>
      </c>
      <c r="I24" s="32">
        <f>IFERROR('Cash Flow Data'!I16,0)</f>
        <v>-3008</v>
      </c>
      <c r="J24" s="32">
        <f>IFERROR('Cash Flow Data'!J16,0)</f>
        <v>-50</v>
      </c>
      <c r="K24" s="32">
        <f>IFERROR('Cash Flow Data'!K16,0)</f>
        <v>-74</v>
      </c>
      <c r="L24" s="32">
        <f>IFERROR('Cash Flow Data'!L16,0)</f>
        <v>-12677</v>
      </c>
    </row>
    <row r="25" spans="2:12">
      <c r="B25" t="s">
        <v>132</v>
      </c>
      <c r="C25" s="32">
        <f>IFERROR('Cash Flow Data'!C17,0)</f>
        <v>89</v>
      </c>
      <c r="D25" s="32">
        <f>IFERROR('Cash Flow Data'!D17,0)</f>
        <v>1965</v>
      </c>
      <c r="E25" s="32">
        <f>IFERROR('Cash Flow Data'!E17,0)</f>
        <v>2381</v>
      </c>
      <c r="F25" s="32">
        <f>IFERROR('Cash Flow Data'!F17,0)</f>
        <v>5644</v>
      </c>
      <c r="G25" s="32">
        <f>IFERROR('Cash Flow Data'!G17,0)</f>
        <v>21</v>
      </c>
      <c r="H25" s="32">
        <f>IFERROR('Cash Flow Data'!H17,0)</f>
        <v>226</v>
      </c>
      <c r="I25" s="32">
        <f>IFERROR('Cash Flow Data'!I17,0)</f>
        <v>104</v>
      </c>
      <c r="J25" s="32">
        <f>IFERROR('Cash Flow Data'!J17,0)</f>
        <v>6895</v>
      </c>
      <c r="K25" s="32">
        <f>IFERROR('Cash Flow Data'!K17,0)</f>
        <v>10821</v>
      </c>
      <c r="L25" s="32">
        <f>IFERROR('Cash Flow Data'!L17,0)</f>
        <v>111</v>
      </c>
    </row>
    <row r="26" spans="2:12">
      <c r="B26" t="s">
        <v>133</v>
      </c>
      <c r="C26" s="32">
        <f>IFERROR('Cash Flow Data'!C18,0)</f>
        <v>731</v>
      </c>
      <c r="D26" s="32">
        <f>IFERROR('Cash Flow Data'!D18,0)</f>
        <v>638</v>
      </c>
      <c r="E26" s="32">
        <f>IFERROR('Cash Flow Data'!E18,0)</f>
        <v>690</v>
      </c>
      <c r="F26" s="32">
        <f>IFERROR('Cash Flow Data'!F18,0)</f>
        <v>761</v>
      </c>
      <c r="G26" s="32">
        <f>IFERROR('Cash Flow Data'!G18,0)</f>
        <v>1104</v>
      </c>
      <c r="H26" s="32">
        <f>IFERROR('Cash Flow Data'!H18,0)</f>
        <v>428</v>
      </c>
      <c r="I26" s="32">
        <f>IFERROR('Cash Flow Data'!I18,0)</f>
        <v>653</v>
      </c>
      <c r="J26" s="32">
        <f>IFERROR('Cash Flow Data'!J18,0)</f>
        <v>973</v>
      </c>
      <c r="K26" s="32">
        <f>IFERROR('Cash Flow Data'!K18,0)</f>
        <v>2493</v>
      </c>
      <c r="L26" s="32">
        <f>IFERROR('Cash Flow Data'!L18,0)</f>
        <v>2420</v>
      </c>
    </row>
    <row r="27" spans="2:12">
      <c r="B27" t="s">
        <v>134</v>
      </c>
      <c r="C27" s="32">
        <f>IFERROR('Cash Flow Data'!C19,0)</f>
        <v>58</v>
      </c>
      <c r="D27" s="32">
        <f>IFERROR('Cash Flow Data'!D19,0)</f>
        <v>620</v>
      </c>
      <c r="E27" s="32">
        <f>IFERROR('Cash Flow Data'!E19,0)</f>
        <v>1797</v>
      </c>
      <c r="F27" s="32">
        <f>IFERROR('Cash Flow Data'!F19,0)</f>
        <v>232</v>
      </c>
      <c r="G27" s="32">
        <f>IFERROR('Cash Flow Data'!G19,0)</f>
        <v>21</v>
      </c>
      <c r="H27" s="32">
        <f>IFERROR('Cash Flow Data'!H19,0)</f>
        <v>18</v>
      </c>
      <c r="I27" s="32">
        <f>IFERROR('Cash Flow Data'!I19,0)</f>
        <v>32</v>
      </c>
      <c r="J27" s="32">
        <f>IFERROR('Cash Flow Data'!J19,0)</f>
        <v>46</v>
      </c>
      <c r="K27" s="32">
        <f>IFERROR('Cash Flow Data'!K19,0)</f>
        <v>47</v>
      </c>
      <c r="L27" s="32">
        <f>IFERROR('Cash Flow Data'!L19,0)</f>
        <v>64</v>
      </c>
    </row>
    <row r="28" spans="2:12">
      <c r="B28" t="s">
        <v>135</v>
      </c>
      <c r="C28" s="32">
        <f>IFERROR('Cash Flow Data'!C20,0)</f>
        <v>0</v>
      </c>
      <c r="D28" s="32">
        <f>IFERROR('Cash Flow Data'!D20,0)</f>
        <v>-107</v>
      </c>
      <c r="E28" s="32">
        <f>IFERROR('Cash Flow Data'!E20,0)</f>
        <v>-4</v>
      </c>
      <c r="F28" s="32">
        <f>IFERROR('Cash Flow Data'!F20,0)</f>
        <v>-9</v>
      </c>
      <c r="G28" s="32">
        <f>IFERROR('Cash Flow Data'!G20,0)</f>
        <v>-606</v>
      </c>
      <c r="H28" s="32">
        <f>IFERROR('Cash Flow Data'!H20,0)</f>
        <v>-10</v>
      </c>
      <c r="I28" s="32">
        <f>IFERROR('Cash Flow Data'!I20,0)</f>
        <v>0</v>
      </c>
      <c r="J28" s="32">
        <f>IFERROR('Cash Flow Data'!J20,0)</f>
        <v>0</v>
      </c>
      <c r="K28" s="32">
        <f>IFERROR('Cash Flow Data'!K20,0)</f>
        <v>-150</v>
      </c>
      <c r="L28" s="32">
        <f>IFERROR('Cash Flow Data'!L20,0)</f>
        <v>0</v>
      </c>
    </row>
    <row r="29" spans="2:12">
      <c r="B29" t="s">
        <v>136</v>
      </c>
      <c r="C29" s="32">
        <f>IFERROR('Cash Flow Data'!C21,0)</f>
        <v>0</v>
      </c>
      <c r="D29" s="32">
        <f>IFERROR('Cash Flow Data'!D21,0)</f>
        <v>0</v>
      </c>
      <c r="E29" s="32">
        <f>IFERROR('Cash Flow Data'!E21,0)</f>
        <v>14</v>
      </c>
      <c r="F29" s="32">
        <f>IFERROR('Cash Flow Data'!F21,0)</f>
        <v>533</v>
      </c>
      <c r="G29" s="32">
        <f>IFERROR('Cash Flow Data'!G21,0)</f>
        <v>0</v>
      </c>
      <c r="H29" s="32">
        <f>IFERROR('Cash Flow Data'!H21,0)</f>
        <v>0</v>
      </c>
      <c r="I29" s="32">
        <f>IFERROR('Cash Flow Data'!I21,0)</f>
        <v>0</v>
      </c>
      <c r="J29" s="32">
        <f>IFERROR('Cash Flow Data'!J21,0)</f>
        <v>19</v>
      </c>
      <c r="K29" s="32">
        <f>IFERROR('Cash Flow Data'!K21,0)</f>
        <v>107</v>
      </c>
      <c r="L29" s="32">
        <f>IFERROR('Cash Flow Data'!L21,0)</f>
        <v>765</v>
      </c>
    </row>
    <row r="30" spans="2:12">
      <c r="B30" t="s">
        <v>137</v>
      </c>
      <c r="C30" s="32">
        <f>IFERROR('Cash Flow Data'!C22,0)</f>
        <v>-111</v>
      </c>
      <c r="D30" s="32">
        <f>IFERROR('Cash Flow Data'!D22,0)</f>
        <v>0</v>
      </c>
      <c r="E30" s="32">
        <f>IFERROR('Cash Flow Data'!E22,0)</f>
        <v>0</v>
      </c>
      <c r="F30" s="32">
        <f>IFERROR('Cash Flow Data'!F22,0)</f>
        <v>-8</v>
      </c>
      <c r="G30" s="32">
        <f>IFERROR('Cash Flow Data'!G22,0)</f>
        <v>-27</v>
      </c>
      <c r="H30" s="32">
        <f>IFERROR('Cash Flow Data'!H22,0)</f>
        <v>0</v>
      </c>
      <c r="I30" s="32">
        <f>IFERROR('Cash Flow Data'!I22,0)</f>
        <v>-98</v>
      </c>
      <c r="J30" s="32">
        <f>IFERROR('Cash Flow Data'!J22,0)</f>
        <v>0</v>
      </c>
      <c r="K30" s="32">
        <f>IFERROR('Cash Flow Data'!K22,0)</f>
        <v>0</v>
      </c>
      <c r="L30" s="32">
        <f>IFERROR('Cash Flow Data'!L22,0)</f>
        <v>-688</v>
      </c>
    </row>
    <row r="31" spans="2:12">
      <c r="B31" t="s">
        <v>138</v>
      </c>
      <c r="C31" s="32">
        <f>IFERROR('Cash Flow Data'!C23,0)</f>
        <v>0</v>
      </c>
      <c r="D31" s="32">
        <f>IFERROR('Cash Flow Data'!D23,0)</f>
        <v>0</v>
      </c>
      <c r="E31" s="32">
        <f>IFERROR('Cash Flow Data'!E23,0)</f>
        <v>0</v>
      </c>
      <c r="F31" s="32">
        <f>IFERROR('Cash Flow Data'!F23,0)</f>
        <v>0</v>
      </c>
      <c r="G31" s="32">
        <f>IFERROR('Cash Flow Data'!G23,0)</f>
        <v>0</v>
      </c>
      <c r="H31" s="32">
        <f>IFERROR('Cash Flow Data'!H23,0)</f>
        <v>0</v>
      </c>
      <c r="I31" s="32">
        <f>IFERROR('Cash Flow Data'!I23,0)</f>
        <v>0</v>
      </c>
      <c r="J31" s="32">
        <f>IFERROR('Cash Flow Data'!J23,0)</f>
        <v>0</v>
      </c>
      <c r="K31" s="32">
        <f>IFERROR('Cash Flow Data'!K23,0)</f>
        <v>-25</v>
      </c>
      <c r="L31" s="32">
        <f>IFERROR('Cash Flow Data'!L23,0)</f>
        <v>-20</v>
      </c>
    </row>
    <row r="32" spans="2:12">
      <c r="B32" t="s">
        <v>139</v>
      </c>
      <c r="C32" s="32">
        <f>IFERROR('Cash Flow Data'!C24,0)</f>
        <v>-1289</v>
      </c>
      <c r="D32" s="32">
        <f>IFERROR('Cash Flow Data'!D24,0)</f>
        <v>-26663</v>
      </c>
      <c r="E32" s="32">
        <f>IFERROR('Cash Flow Data'!E24,0)</f>
        <v>5360</v>
      </c>
      <c r="F32" s="32">
        <f>IFERROR('Cash Flow Data'!F24,0)</f>
        <v>7335</v>
      </c>
      <c r="G32" s="32">
        <f>IFERROR('Cash Flow Data'!G24,0)</f>
        <v>-2659</v>
      </c>
      <c r="H32" s="32">
        <f>IFERROR('Cash Flow Data'!H24,0)</f>
        <v>1051</v>
      </c>
      <c r="I32" s="32">
        <f>IFERROR('Cash Flow Data'!I24,0)</f>
        <v>12813</v>
      </c>
      <c r="J32" s="32">
        <f>IFERROR('Cash Flow Data'!J24,0)</f>
        <v>-4357</v>
      </c>
      <c r="K32" s="32">
        <f>IFERROR('Cash Flow Data'!K24,0)</f>
        <v>-4817</v>
      </c>
      <c r="L32" s="32">
        <f>IFERROR('Cash Flow Data'!L24,0)</f>
        <v>-2889</v>
      </c>
    </row>
    <row r="33" spans="1:12">
      <c r="B33" s="2" t="s">
        <v>154</v>
      </c>
      <c r="C33" s="33">
        <f>IFERROR(SUM(C22:C32),0)</f>
        <v>-36694</v>
      </c>
      <c r="D33" s="33">
        <f t="shared" ref="D33:L33" si="1">IFERROR(SUM(D22:D32),0)</f>
        <v>-39572</v>
      </c>
      <c r="E33" s="33">
        <f t="shared" si="1"/>
        <v>-25140</v>
      </c>
      <c r="F33" s="33">
        <f t="shared" si="1"/>
        <v>-20879</v>
      </c>
      <c r="G33" s="33">
        <f t="shared" si="1"/>
        <v>-33116</v>
      </c>
      <c r="H33" s="33">
        <f t="shared" si="1"/>
        <v>-25671</v>
      </c>
      <c r="I33" s="33">
        <f t="shared" si="1"/>
        <v>-4442</v>
      </c>
      <c r="J33" s="33">
        <f t="shared" si="1"/>
        <v>-15419</v>
      </c>
      <c r="K33" s="33">
        <f t="shared" si="1"/>
        <v>-22781</v>
      </c>
      <c r="L33" s="33">
        <f t="shared" si="1"/>
        <v>-49982</v>
      </c>
    </row>
    <row r="35" spans="1:12">
      <c r="B35" s="2" t="s">
        <v>155</v>
      </c>
      <c r="C35" s="32"/>
      <c r="D35" s="32"/>
      <c r="E35" s="32"/>
      <c r="F35" s="32"/>
      <c r="G35" s="32"/>
      <c r="H35" s="32"/>
      <c r="I35" s="32"/>
      <c r="J35" s="32"/>
      <c r="K35" s="32"/>
      <c r="L35" s="32"/>
    </row>
    <row r="36" spans="1:12">
      <c r="B36" t="s">
        <v>140</v>
      </c>
      <c r="C36" s="32">
        <f>IFERROR('Cash Flow Data'!C27,0)</f>
        <v>7433</v>
      </c>
      <c r="D36" s="32">
        <f>IFERROR('Cash Flow Data'!D27,0)</f>
        <v>5</v>
      </c>
      <c r="E36" s="32">
        <f>IFERROR('Cash Flow Data'!E27,0)</f>
        <v>0</v>
      </c>
      <c r="F36" s="32">
        <f>IFERROR('Cash Flow Data'!F27,0)</f>
        <v>0</v>
      </c>
      <c r="G36" s="32">
        <f>IFERROR('Cash Flow Data'!G27,0)</f>
        <v>3889</v>
      </c>
      <c r="H36" s="32">
        <f>IFERROR('Cash Flow Data'!H27,0)</f>
        <v>2603</v>
      </c>
      <c r="I36" s="32">
        <f>IFERROR('Cash Flow Data'!I27,0)</f>
        <v>19</v>
      </c>
      <c r="J36" s="32">
        <f>IFERROR('Cash Flow Data'!J27,0)</f>
        <v>20</v>
      </c>
      <c r="K36" s="32">
        <f>IFERROR('Cash Flow Data'!K27,0)</f>
        <v>82</v>
      </c>
      <c r="L36" s="32">
        <f>IFERROR('Cash Flow Data'!L27,0)</f>
        <v>1108</v>
      </c>
    </row>
    <row r="37" spans="1:12" s="48" customFormat="1">
      <c r="A37"/>
      <c r="B37" t="s">
        <v>141</v>
      </c>
      <c r="C37" s="32">
        <f>IFERROR('Cash Flow Data'!C28,0)</f>
        <v>0</v>
      </c>
      <c r="D37" s="32">
        <f>IFERROR('Cash Flow Data'!D28,0)</f>
        <v>0</v>
      </c>
      <c r="E37" s="32">
        <f>IFERROR('Cash Flow Data'!E28,0)</f>
        <v>0</v>
      </c>
      <c r="F37" s="32">
        <f>IFERROR('Cash Flow Data'!F28,0)</f>
        <v>0</v>
      </c>
      <c r="G37" s="32">
        <f>IFERROR('Cash Flow Data'!G28,0)</f>
        <v>0</v>
      </c>
      <c r="H37" s="32">
        <f>IFERROR('Cash Flow Data'!H28,0)</f>
        <v>0</v>
      </c>
      <c r="I37" s="32">
        <f>IFERROR('Cash Flow Data'!I28,0)</f>
        <v>0</v>
      </c>
      <c r="J37" s="32">
        <f>IFERROR('Cash Flow Data'!J28,0)</f>
        <v>0</v>
      </c>
      <c r="K37" s="32">
        <f>IFERROR('Cash Flow Data'!K28,0)</f>
        <v>0</v>
      </c>
      <c r="L37" s="32">
        <f>IFERROR('Cash Flow Data'!L28,0)</f>
        <v>0</v>
      </c>
    </row>
    <row r="38" spans="1:12">
      <c r="B38" t="s">
        <v>142</v>
      </c>
      <c r="C38" s="32">
        <f>IFERROR('Cash Flow Data'!C29,0)</f>
        <v>19519</v>
      </c>
      <c r="D38" s="32">
        <f>IFERROR('Cash Flow Data'!D29,0)</f>
        <v>33390</v>
      </c>
      <c r="E38" s="32">
        <f>IFERROR('Cash Flow Data'!E29,0)</f>
        <v>37482</v>
      </c>
      <c r="F38" s="32">
        <f>IFERROR('Cash Flow Data'!F29,0)</f>
        <v>51128</v>
      </c>
      <c r="G38" s="32">
        <f>IFERROR('Cash Flow Data'!G29,0)</f>
        <v>38297</v>
      </c>
      <c r="H38" s="32">
        <f>IFERROR('Cash Flow Data'!H29,0)</f>
        <v>46641</v>
      </c>
      <c r="I38" s="32">
        <f>IFERROR('Cash Flow Data'!I29,0)</f>
        <v>46578</v>
      </c>
      <c r="J38" s="32">
        <f>IFERROR('Cash Flow Data'!J29,0)</f>
        <v>43934</v>
      </c>
      <c r="K38" s="32">
        <f>IFERROR('Cash Flow Data'!K29,0)</f>
        <v>18829</v>
      </c>
      <c r="L38" s="32">
        <f>IFERROR('Cash Flow Data'!L29,0)</f>
        <v>13384</v>
      </c>
    </row>
    <row r="39" spans="1:12">
      <c r="B39" t="s">
        <v>143</v>
      </c>
      <c r="C39" s="32">
        <f>IFERROR('Cash Flow Data'!C30,0)</f>
        <v>-24924</v>
      </c>
      <c r="D39" s="32">
        <f>IFERROR('Cash Flow Data'!D30,0)</f>
        <v>-21732</v>
      </c>
      <c r="E39" s="32">
        <f>IFERROR('Cash Flow Data'!E30,0)</f>
        <v>-29964</v>
      </c>
      <c r="F39" s="32">
        <f>IFERROR('Cash Flow Data'!F30,0)</f>
        <v>-35198</v>
      </c>
      <c r="G39" s="32">
        <f>IFERROR('Cash Flow Data'!G30,0)</f>
        <v>-29847</v>
      </c>
      <c r="H39" s="32">
        <f>IFERROR('Cash Flow Data'!H30,0)</f>
        <v>-29709</v>
      </c>
      <c r="I39" s="32">
        <f>IFERROR('Cash Flow Data'!I30,0)</f>
        <v>-42816</v>
      </c>
      <c r="J39" s="32">
        <f>IFERROR('Cash Flow Data'!J30,0)</f>
        <v>-62557</v>
      </c>
      <c r="K39" s="32">
        <f>IFERROR('Cash Flow Data'!K30,0)</f>
        <v>-47414</v>
      </c>
      <c r="L39" s="32">
        <f>IFERROR('Cash Flow Data'!L30,0)</f>
        <v>-21443</v>
      </c>
    </row>
    <row r="40" spans="1:12">
      <c r="B40" t="s">
        <v>144</v>
      </c>
      <c r="C40" s="32">
        <f>IFERROR('Cash Flow Data'!C31,0)</f>
        <v>-5716</v>
      </c>
      <c r="D40" s="32">
        <f>IFERROR('Cash Flow Data'!D31,0)</f>
        <v>-5336</v>
      </c>
      <c r="E40" s="32">
        <f>IFERROR('Cash Flow Data'!E31,0)</f>
        <v>-5411</v>
      </c>
      <c r="F40" s="32">
        <f>IFERROR('Cash Flow Data'!F31,0)</f>
        <v>-7005</v>
      </c>
      <c r="G40" s="32">
        <f>IFERROR('Cash Flow Data'!G31,0)</f>
        <v>-7518</v>
      </c>
      <c r="H40" s="32">
        <f>IFERROR('Cash Flow Data'!H31,0)</f>
        <v>-8123</v>
      </c>
      <c r="I40" s="32">
        <f>IFERROR('Cash Flow Data'!I31,0)</f>
        <v>-9251</v>
      </c>
      <c r="J40" s="32">
        <f>IFERROR('Cash Flow Data'!J31,0)</f>
        <v>-9336</v>
      </c>
      <c r="K40" s="32">
        <f>IFERROR('Cash Flow Data'!K31,0)</f>
        <v>-9332</v>
      </c>
      <c r="L40" s="32">
        <f>IFERROR('Cash Flow Data'!L31,0)</f>
        <v>-5814</v>
      </c>
    </row>
    <row r="41" spans="1:12">
      <c r="B41" t="s">
        <v>145</v>
      </c>
      <c r="C41" s="32">
        <f>IFERROR('Cash Flow Data'!C32,0)</f>
        <v>-108</v>
      </c>
      <c r="D41" s="32">
        <f>IFERROR('Cash Flow Data'!D32,0)</f>
        <v>-121</v>
      </c>
      <c r="E41" s="32">
        <f>IFERROR('Cash Flow Data'!E32,0)</f>
        <v>-96</v>
      </c>
      <c r="F41" s="32">
        <f>IFERROR('Cash Flow Data'!F32,0)</f>
        <v>-95</v>
      </c>
      <c r="G41" s="32">
        <f>IFERROR('Cash Flow Data'!G32,0)</f>
        <v>-57</v>
      </c>
      <c r="H41" s="32">
        <f>IFERROR('Cash Flow Data'!H32,0)</f>
        <v>-30</v>
      </c>
      <c r="I41" s="32">
        <f>IFERROR('Cash Flow Data'!I32,0)</f>
        <v>-100</v>
      </c>
      <c r="J41" s="32">
        <f>IFERROR('Cash Flow Data'!J32,0)</f>
        <v>-141</v>
      </c>
      <c r="K41" s="32">
        <f>IFERROR('Cash Flow Data'!K32,0)</f>
        <v>-1059</v>
      </c>
      <c r="L41" s="32">
        <f>IFERROR('Cash Flow Data'!L32,0)</f>
        <v>-2492</v>
      </c>
    </row>
    <row r="42" spans="1:12">
      <c r="B42" t="s">
        <v>146</v>
      </c>
      <c r="C42" s="32">
        <f>IFERROR('Cash Flow Data'!C33,0)</f>
        <v>0</v>
      </c>
      <c r="D42" s="32">
        <f>IFERROR('Cash Flow Data'!D33,0)</f>
        <v>0</v>
      </c>
      <c r="E42" s="32">
        <f>IFERROR('Cash Flow Data'!E33,0)</f>
        <v>0</v>
      </c>
      <c r="F42" s="32">
        <f>IFERROR('Cash Flow Data'!F33,0)</f>
        <v>0</v>
      </c>
      <c r="G42" s="32">
        <f>IFERROR('Cash Flow Data'!G33,0)</f>
        <v>-1346</v>
      </c>
      <c r="H42" s="32">
        <f>IFERROR('Cash Flow Data'!H33,0)</f>
        <v>-1477</v>
      </c>
      <c r="I42" s="32">
        <f>IFERROR('Cash Flow Data'!I33,0)</f>
        <v>-1559</v>
      </c>
      <c r="J42" s="32">
        <f>IFERROR('Cash Flow Data'!J33,0)</f>
        <v>-1517</v>
      </c>
      <c r="K42" s="32">
        <f>IFERROR('Cash Flow Data'!K33,0)</f>
        <v>-1924</v>
      </c>
      <c r="L42" s="32">
        <f>IFERROR('Cash Flow Data'!L33,0)</f>
        <v>-2393</v>
      </c>
    </row>
    <row r="43" spans="1:12">
      <c r="B43" t="s">
        <v>147</v>
      </c>
      <c r="C43" s="32">
        <f>IFERROR('Cash Flow Data'!C34,0)</f>
        <v>0</v>
      </c>
      <c r="D43" s="32">
        <f>IFERROR('Cash Flow Data'!D34,0)</f>
        <v>0</v>
      </c>
      <c r="E43" s="32">
        <f>IFERROR('Cash Flow Data'!E34,0)</f>
        <v>0</v>
      </c>
      <c r="F43" s="32">
        <f>IFERROR('Cash Flow Data'!F34,0)</f>
        <v>0</v>
      </c>
      <c r="G43" s="32">
        <f>IFERROR('Cash Flow Data'!G34,0)</f>
        <v>-29</v>
      </c>
      <c r="H43" s="32">
        <f>IFERROR('Cash Flow Data'!H34,0)</f>
        <v>0</v>
      </c>
      <c r="I43" s="32">
        <f>IFERROR('Cash Flow Data'!I34,0)</f>
        <v>3750</v>
      </c>
      <c r="J43" s="32">
        <f>IFERROR('Cash Flow Data'!J34,0)</f>
        <v>3355</v>
      </c>
      <c r="K43" s="32">
        <f>IFERROR('Cash Flow Data'!K34,0)</f>
        <v>3812</v>
      </c>
      <c r="L43" s="32">
        <f>IFERROR('Cash Flow Data'!L34,0)</f>
        <v>-1136</v>
      </c>
    </row>
    <row r="44" spans="1:12">
      <c r="B44" s="2" t="s">
        <v>156</v>
      </c>
      <c r="C44" s="33">
        <f>IFERROR(SUM(C36:C43),0)</f>
        <v>-3796</v>
      </c>
      <c r="D44" s="33">
        <f t="shared" ref="D44:L44" si="2">IFERROR(SUM(D36:D43),0)</f>
        <v>6206</v>
      </c>
      <c r="E44" s="33">
        <f t="shared" si="2"/>
        <v>2011</v>
      </c>
      <c r="F44" s="33">
        <f t="shared" si="2"/>
        <v>8830</v>
      </c>
      <c r="G44" s="33">
        <f t="shared" si="2"/>
        <v>3389</v>
      </c>
      <c r="H44" s="33">
        <f t="shared" si="2"/>
        <v>9905</v>
      </c>
      <c r="I44" s="33">
        <f t="shared" si="2"/>
        <v>-3379</v>
      </c>
      <c r="J44" s="33">
        <f t="shared" si="2"/>
        <v>-26242</v>
      </c>
      <c r="K44" s="33">
        <f t="shared" si="2"/>
        <v>-37006</v>
      </c>
      <c r="L44" s="33">
        <f t="shared" si="2"/>
        <v>-18786</v>
      </c>
    </row>
    <row r="45" spans="1:12">
      <c r="A45" s="48"/>
      <c r="B45" s="48"/>
      <c r="C45" s="344"/>
      <c r="D45" s="344"/>
      <c r="E45" s="344"/>
      <c r="F45" s="344"/>
      <c r="G45" s="344"/>
      <c r="H45" s="344"/>
      <c r="I45" s="344"/>
      <c r="J45" s="344"/>
      <c r="K45" s="344"/>
      <c r="L45" s="344"/>
    </row>
    <row r="46" spans="1:12">
      <c r="A46" s="2"/>
      <c r="B46" s="2" t="s">
        <v>35</v>
      </c>
      <c r="C46" s="33">
        <f>IFERROR(SUM(C19,C33,C44),0)</f>
        <v>-2591</v>
      </c>
      <c r="D46" s="33">
        <f t="shared" ref="D46:L46" si="3">IFERROR(SUM(D19,D33,D44),0)</f>
        <v>-3167</v>
      </c>
      <c r="E46" s="33">
        <f t="shared" si="3"/>
        <v>728</v>
      </c>
      <c r="F46" s="33">
        <f t="shared" si="3"/>
        <v>6842</v>
      </c>
      <c r="G46" s="33">
        <f t="shared" si="3"/>
        <v>-3095</v>
      </c>
      <c r="H46" s="33">
        <f t="shared" si="3"/>
        <v>13234</v>
      </c>
      <c r="I46" s="33">
        <f t="shared" si="3"/>
        <v>6462</v>
      </c>
      <c r="J46" s="33">
        <f t="shared" si="3"/>
        <v>-6273</v>
      </c>
      <c r="K46" s="33">
        <f t="shared" si="3"/>
        <v>8128</v>
      </c>
      <c r="L46" s="33">
        <f t="shared" si="3"/>
        <v>-5666</v>
      </c>
    </row>
  </sheetData>
  <pageMargins left="0.25" right="0.25" top="0.75" bottom="0.75" header="0.3" footer="0.3"/>
  <pageSetup scale="5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EA465-11DD-4DF9-8C4B-4E1A5377F4EB}">
  <sheetPr codeName="Sheet12"/>
  <dimension ref="A1:L47"/>
  <sheetViews>
    <sheetView showGridLines="0" topLeftCell="A40" zoomScale="98" workbookViewId="0">
      <selection activeCell="M15" sqref="M15"/>
    </sheetView>
  </sheetViews>
  <sheetFormatPr defaultRowHeight="14.5"/>
  <cols>
    <col min="1" max="1" width="1.90625" customWidth="1"/>
    <col min="2" max="2" width="22.26953125" bestFit="1" customWidth="1"/>
  </cols>
  <sheetData>
    <row r="1" spans="1:12">
      <c r="A1" s="273"/>
      <c r="B1" s="361"/>
      <c r="C1" s="361"/>
      <c r="D1" s="361"/>
      <c r="E1" s="361"/>
      <c r="F1" s="361"/>
      <c r="G1" s="361"/>
      <c r="H1" s="361"/>
      <c r="I1" s="361"/>
      <c r="J1" s="93"/>
      <c r="K1" s="93"/>
      <c r="L1" s="93"/>
    </row>
    <row r="2" spans="1:12" ht="5" customHeight="1">
      <c r="A2" s="273"/>
      <c r="B2" s="273"/>
      <c r="C2" s="273"/>
      <c r="D2" s="273"/>
      <c r="E2" s="273"/>
      <c r="F2" s="273"/>
      <c r="G2" s="273"/>
      <c r="H2" s="273"/>
      <c r="I2" s="273"/>
    </row>
    <row r="3" spans="1:12" ht="23.5" customHeight="1">
      <c r="A3" s="273"/>
      <c r="B3" s="362" t="str">
        <f>'Data Sheet'!B1</f>
        <v>TATA MOTORS LTD</v>
      </c>
      <c r="C3" s="273"/>
      <c r="D3" s="273"/>
      <c r="E3" s="273"/>
      <c r="F3" s="273"/>
      <c r="G3" s="273"/>
      <c r="H3" s="273"/>
      <c r="I3" s="273"/>
    </row>
    <row r="4" spans="1:12">
      <c r="A4" s="273"/>
      <c r="B4" s="274" t="s">
        <v>460</v>
      </c>
      <c r="C4" s="273"/>
      <c r="D4" s="273"/>
      <c r="E4" s="273"/>
      <c r="F4" s="273"/>
      <c r="G4" s="273"/>
      <c r="H4" s="273"/>
      <c r="I4" s="273"/>
    </row>
    <row r="5" spans="1:12" ht="18.5">
      <c r="A5" s="273"/>
      <c r="B5" s="363" t="s">
        <v>461</v>
      </c>
      <c r="C5" s="273"/>
      <c r="D5" s="273"/>
      <c r="E5" s="273"/>
      <c r="F5" s="273"/>
      <c r="G5" s="273"/>
      <c r="H5" s="273"/>
      <c r="I5" s="273"/>
    </row>
    <row r="6" spans="1:12">
      <c r="A6" s="273"/>
      <c r="B6" s="279" t="s">
        <v>463</v>
      </c>
      <c r="C6" s="273"/>
      <c r="D6" s="273"/>
      <c r="E6" s="273"/>
      <c r="F6" s="273"/>
      <c r="G6" s="273"/>
      <c r="H6" s="273"/>
      <c r="I6" s="273"/>
    </row>
    <row r="7" spans="1:12" ht="3" customHeight="1" thickBot="1">
      <c r="A7" s="273"/>
      <c r="B7" s="393"/>
      <c r="C7" s="393"/>
      <c r="D7" s="393"/>
      <c r="E7" s="393"/>
      <c r="F7" s="393"/>
      <c r="G7" s="393"/>
      <c r="H7" s="393"/>
      <c r="I7" s="393"/>
      <c r="J7" s="397"/>
      <c r="K7" s="397"/>
      <c r="L7" s="397"/>
    </row>
    <row r="8" spans="1:12" ht="5" customHeight="1"/>
    <row r="9" spans="1:12">
      <c r="B9" s="436" t="str">
        <f>"Common Size Income Statement"&amp;" "&amp;"- "&amp;'Data Sheet'!B1</f>
        <v>Common Size Income Statement - TATA MOTORS LTD</v>
      </c>
      <c r="C9" s="436"/>
      <c r="D9" s="436"/>
      <c r="E9" s="436"/>
      <c r="F9" s="436"/>
      <c r="G9" s="436"/>
      <c r="H9" s="436"/>
      <c r="I9" s="436"/>
      <c r="J9" s="436"/>
      <c r="K9" s="436"/>
      <c r="L9" s="436"/>
    </row>
    <row r="11" spans="1:12">
      <c r="B11" s="72" t="s">
        <v>226</v>
      </c>
      <c r="C11" s="73">
        <f>'Data Sheet'!B16</f>
        <v>42460</v>
      </c>
      <c r="D11" s="73">
        <f>'Data Sheet'!C16</f>
        <v>42825</v>
      </c>
      <c r="E11" s="73">
        <f>'Data Sheet'!D16</f>
        <v>43190</v>
      </c>
      <c r="F11" s="73">
        <f>'Data Sheet'!E16</f>
        <v>43555</v>
      </c>
      <c r="G11" s="73">
        <f>'Data Sheet'!F16</f>
        <v>43921</v>
      </c>
      <c r="H11" s="73">
        <f>'Data Sheet'!G16</f>
        <v>44286</v>
      </c>
      <c r="I11" s="73">
        <f>'Data Sheet'!H16</f>
        <v>44651</v>
      </c>
      <c r="J11" s="73">
        <f>'Data Sheet'!I16</f>
        <v>45016</v>
      </c>
      <c r="K11" s="73">
        <f>'Data Sheet'!J16</f>
        <v>45382</v>
      </c>
      <c r="L11" s="73">
        <f>'Data Sheet'!K16</f>
        <v>45747</v>
      </c>
    </row>
    <row r="13" spans="1:12">
      <c r="B13" s="74" t="str">
        <f>'Data Sheet'!A17</f>
        <v>Sales</v>
      </c>
      <c r="C13" s="82">
        <f>'Data Sheet'!B17/'Data Sheet'!B$17</f>
        <v>1</v>
      </c>
      <c r="D13" s="82">
        <f>'Data Sheet'!C17/'Data Sheet'!C$17</f>
        <v>1</v>
      </c>
      <c r="E13" s="82">
        <f>'Data Sheet'!D17/'Data Sheet'!D$17</f>
        <v>1</v>
      </c>
      <c r="F13" s="82">
        <f>'Data Sheet'!E17/'Data Sheet'!E$17</f>
        <v>1</v>
      </c>
      <c r="G13" s="82">
        <f>'Data Sheet'!F17/'Data Sheet'!F$17</f>
        <v>1</v>
      </c>
      <c r="H13" s="82">
        <f>'Data Sheet'!G17/'Data Sheet'!G$17</f>
        <v>1</v>
      </c>
      <c r="I13" s="82">
        <f>'Data Sheet'!H17/'Data Sheet'!H$17</f>
        <v>1</v>
      </c>
      <c r="J13" s="82">
        <f>'Data Sheet'!I17/'Data Sheet'!I$17</f>
        <v>1</v>
      </c>
      <c r="K13" s="82">
        <f>'Data Sheet'!J17/'Data Sheet'!J$17</f>
        <v>1</v>
      </c>
      <c r="L13" s="82">
        <f>'Data Sheet'!K17/'Data Sheet'!K$17</f>
        <v>1</v>
      </c>
    </row>
    <row r="14" spans="1:12">
      <c r="B14" s="81" t="str">
        <f>'Data Sheet'!A18</f>
        <v>Raw Material Cost</v>
      </c>
      <c r="C14" s="82">
        <f>'Data Sheet'!B18/'Data Sheet'!B$17</f>
        <v>0.60844785632875986</v>
      </c>
      <c r="D14" s="82">
        <f>'Data Sheet'!C18/'Data Sheet'!C$17</f>
        <v>0.64256170851760019</v>
      </c>
      <c r="E14" s="82">
        <f>'Data Sheet'!D18/'Data Sheet'!D$17</f>
        <v>0.6444735745247272</v>
      </c>
      <c r="F14" s="82">
        <f>'Data Sheet'!E18/'Data Sheet'!E$17</f>
        <v>0.64340246222408271</v>
      </c>
      <c r="G14" s="82">
        <f>'Data Sheet'!F18/'Data Sheet'!F$17</f>
        <v>0.63163558516963991</v>
      </c>
      <c r="H14" s="82">
        <f>'Data Sheet'!G18/'Data Sheet'!G$17</f>
        <v>0.6149343010611712</v>
      </c>
      <c r="I14" s="82">
        <f>'Data Sheet'!H18/'Data Sheet'!H$17</f>
        <v>0.64389656704768283</v>
      </c>
      <c r="J14" s="82">
        <f>'Data Sheet'!I18/'Data Sheet'!I$17</f>
        <v>0.66842005177546293</v>
      </c>
      <c r="K14" s="82">
        <f>'Data Sheet'!J18/'Data Sheet'!J$17</f>
        <v>0.63205273538302731</v>
      </c>
      <c r="L14" s="82">
        <f>'Data Sheet'!K18/'Data Sheet'!K$17</f>
        <v>0.61167400129635319</v>
      </c>
    </row>
    <row r="15" spans="1:12">
      <c r="B15" s="81" t="str">
        <f>'Data Sheet'!A19</f>
        <v>Change in Inventory</v>
      </c>
      <c r="C15" s="82">
        <f>'Data Sheet'!B19/'Data Sheet'!B$17</f>
        <v>1.0075203555743071E-2</v>
      </c>
      <c r="D15" s="82">
        <f>'Data Sheet'!C19/'Data Sheet'!C$17</f>
        <v>2.7438359337454348E-2</v>
      </c>
      <c r="E15" s="82">
        <f>'Data Sheet'!D19/'Data Sheet'!D$17</f>
        <v>7.0196420187680708E-3</v>
      </c>
      <c r="F15" s="82">
        <f>'Data Sheet'!E19/'Data Sheet'!E$17</f>
        <v>-6.8003274840166073E-3</v>
      </c>
      <c r="G15" s="82">
        <f>'Data Sheet'!F19/'Data Sheet'!F$17</f>
        <v>-8.5463950250197294E-3</v>
      </c>
      <c r="H15" s="82">
        <f>'Data Sheet'!G19/'Data Sheet'!G$17</f>
        <v>-1.8752035421080705E-2</v>
      </c>
      <c r="I15" s="82">
        <f>'Data Sheet'!H19/'Data Sheet'!H$17</f>
        <v>-5.7118668451859233E-3</v>
      </c>
      <c r="J15" s="82">
        <f>'Data Sheet'!I19/'Data Sheet'!I$17</f>
        <v>1.3821030371772196E-2</v>
      </c>
      <c r="K15" s="82">
        <f>'Data Sheet'!J19/'Data Sheet'!J$17</f>
        <v>3.6081619110816189E-3</v>
      </c>
      <c r="L15" s="82">
        <f>'Data Sheet'!K19/'Data Sheet'!K$17</f>
        <v>-6.4499255165512458E-3</v>
      </c>
    </row>
    <row r="16" spans="1:12">
      <c r="B16" s="81" t="str">
        <f>'Data Sheet'!A20</f>
        <v>Power and Fuel</v>
      </c>
      <c r="C16" s="82">
        <f>'Data Sheet'!B20/'Data Sheet'!B$17</f>
        <v>4.1884212746881849E-3</v>
      </c>
      <c r="D16" s="82">
        <f>'Data Sheet'!C20/'Data Sheet'!C$17</f>
        <v>4.3005272931013168E-3</v>
      </c>
      <c r="E16" s="82">
        <f>'Data Sheet'!D20/'Data Sheet'!D$17</f>
        <v>4.4866329837632236E-3</v>
      </c>
      <c r="F16" s="82">
        <f>'Data Sheet'!E20/'Data Sheet'!E$17</f>
        <v>5.252495210943689E-3</v>
      </c>
      <c r="G16" s="82">
        <f>'Data Sheet'!F20/'Data Sheet'!F$17</f>
        <v>4.8452899066859867E-3</v>
      </c>
      <c r="H16" s="82">
        <f>'Data Sheet'!G20/'Data Sheet'!G$17</f>
        <v>4.4551376680254488E-3</v>
      </c>
      <c r="I16" s="82">
        <f>'Data Sheet'!H20/'Data Sheet'!H$17</f>
        <v>7.8228108508698862E-3</v>
      </c>
      <c r="J16" s="82">
        <f>'Data Sheet'!I20/'Data Sheet'!I$17</f>
        <v>7.2646530389880865E-3</v>
      </c>
      <c r="K16" s="82">
        <f>'Data Sheet'!J20/'Data Sheet'!J$17</f>
        <v>5.0435928629359288E-3</v>
      </c>
      <c r="L16" s="82">
        <f>'Data Sheet'!K20/'Data Sheet'!K$17</f>
        <v>5.5561241315002447E-3</v>
      </c>
    </row>
    <row r="17" spans="2:12">
      <c r="B17" s="81" t="str">
        <f>'Data Sheet'!A21</f>
        <v>Other Mfr. Exp</v>
      </c>
      <c r="C17" s="82">
        <f>'Data Sheet'!B21/'Data Sheet'!B$17</f>
        <v>4.4320545725695638E-2</v>
      </c>
      <c r="D17" s="82">
        <f>'Data Sheet'!C21/'Data Sheet'!C$17</f>
        <v>3.7329067833585743E-2</v>
      </c>
      <c r="E17" s="82">
        <f>'Data Sheet'!D21/'Data Sheet'!D$17</f>
        <v>3.7632110912662539E-2</v>
      </c>
      <c r="F17" s="82">
        <f>'Data Sheet'!E21/'Data Sheet'!E$17</f>
        <v>3.8731542592793759E-2</v>
      </c>
      <c r="G17" s="82">
        <f>'Data Sheet'!F21/'Data Sheet'!F$17</f>
        <v>4.4208831899217663E-2</v>
      </c>
      <c r="H17" s="82">
        <f>'Data Sheet'!G21/'Data Sheet'!G$17</f>
        <v>3.3119871414431248E-2</v>
      </c>
      <c r="I17" s="82">
        <f>'Data Sheet'!H21/'Data Sheet'!H$17</f>
        <v>3.3856194794666339E-2</v>
      </c>
      <c r="J17" s="82">
        <f>'Data Sheet'!I21/'Data Sheet'!I$17</f>
        <v>3.4008940217616732E-2</v>
      </c>
      <c r="K17" s="82">
        <f>'Data Sheet'!J21/'Data Sheet'!J$17</f>
        <v>4.019667477696675E-2</v>
      </c>
      <c r="L17" s="82">
        <f>'Data Sheet'!K21/'Data Sheet'!K$17</f>
        <v>4.2786476989731516E-2</v>
      </c>
    </row>
    <row r="18" spans="2:12">
      <c r="B18" s="81" t="str">
        <f>'Data Sheet'!A22</f>
        <v>Employee Cost</v>
      </c>
      <c r="C18" s="82">
        <f>'Data Sheet'!B22/'Data Sheet'!B$17</f>
        <v>0.10577313825968997</v>
      </c>
      <c r="D18" s="82">
        <f>'Data Sheet'!C22/'Data Sheet'!C$17</f>
        <v>0.10505627316086753</v>
      </c>
      <c r="E18" s="82">
        <f>'Data Sheet'!D22/'Data Sheet'!D$17</f>
        <v>0.10392742279141506</v>
      </c>
      <c r="F18" s="82">
        <f>'Data Sheet'!E22/'Data Sheet'!E$17</f>
        <v>0.11010149752399827</v>
      </c>
      <c r="G18" s="82">
        <f>'Data Sheet'!F22/'Data Sheet'!F$17</f>
        <v>0.11659262528451882</v>
      </c>
      <c r="H18" s="82">
        <f>'Data Sheet'!G22/'Data Sheet'!G$17</f>
        <v>0.11068479221440802</v>
      </c>
      <c r="I18" s="82">
        <f>'Data Sheet'!H22/'Data Sheet'!H$17</f>
        <v>0.11064147774412127</v>
      </c>
      <c r="J18" s="82">
        <f>'Data Sheet'!I22/'Data Sheet'!I$17</f>
        <v>9.7277205393335675E-2</v>
      </c>
      <c r="K18" s="82">
        <f>'Data Sheet'!J22/'Data Sheet'!J$17</f>
        <v>9.674758534247585E-2</v>
      </c>
      <c r="L18" s="82">
        <f>'Data Sheet'!K22/'Data Sheet'!K$17</f>
        <v>0.10863666859982488</v>
      </c>
    </row>
    <row r="19" spans="2:12">
      <c r="B19" s="81" t="str">
        <f>'Data Sheet'!A23</f>
        <v>Selling and admin</v>
      </c>
      <c r="C19" s="82">
        <f>'Data Sheet'!B23/'Data Sheet'!B$17</f>
        <v>8.0542956927341092E-2</v>
      </c>
      <c r="D19" s="82">
        <f>'Data Sheet'!C23/'Data Sheet'!C$17</f>
        <v>0.1113838126242364</v>
      </c>
      <c r="E19" s="82">
        <f>'Data Sheet'!D23/'Data Sheet'!D$17</f>
        <v>0.10634377964323709</v>
      </c>
      <c r="F19" s="82">
        <f>'Data Sheet'!E23/'Data Sheet'!E$17</f>
        <v>0.1083658123643763</v>
      </c>
      <c r="G19" s="82">
        <f>'Data Sheet'!F23/'Data Sheet'!F$17</f>
        <v>0.11203335284677013</v>
      </c>
      <c r="H19" s="82">
        <f>'Data Sheet'!G23/'Data Sheet'!G$17</f>
        <v>9.2138805959692913E-2</v>
      </c>
      <c r="I19" s="82">
        <f>'Data Sheet'!H23/'Data Sheet'!H$17</f>
        <v>0.10488425325553319</v>
      </c>
      <c r="J19" s="82">
        <f>'Data Sheet'!I23/'Data Sheet'!I$17</f>
        <v>0.10070091373173573</v>
      </c>
      <c r="K19" s="82">
        <f>'Data Sheet'!J23/'Data Sheet'!J$17</f>
        <v>9.853323379783234E-2</v>
      </c>
      <c r="L19" s="82">
        <f>'Data Sheet'!K23/'Data Sheet'!K$17</f>
        <v>0.10711743367561605</v>
      </c>
    </row>
    <row r="20" spans="2:12">
      <c r="B20" s="81" t="str">
        <f>'Data Sheet'!A24</f>
        <v>Other Expenses</v>
      </c>
      <c r="C20" s="82">
        <f>'Data Sheet'!B24/'Data Sheet'!B$17</f>
        <v>2.6183831565130516E-2</v>
      </c>
      <c r="D20" s="82">
        <f>'Data Sheet'!C24/'Data Sheet'!C$17</f>
        <v>1.7094282670289951E-2</v>
      </c>
      <c r="E20" s="82">
        <f>'Data Sheet'!D24/'Data Sheet'!D$17</f>
        <v>2.2582367211331639E-3</v>
      </c>
      <c r="F20" s="82">
        <f>'Data Sheet'!E24/'Data Sheet'!E$17</f>
        <v>5.6592338039812094E-3</v>
      </c>
      <c r="G20" s="82">
        <f>'Data Sheet'!F24/'Data Sheet'!F$17</f>
        <v>1.3239885383105405E-2</v>
      </c>
      <c r="H20" s="82">
        <f>'Data Sheet'!G24/'Data Sheet'!G$17</f>
        <v>-3.3407827826645677E-3</v>
      </c>
      <c r="I20" s="82">
        <f>'Data Sheet'!H24/'Data Sheet'!H$17</f>
        <v>4.4105011096641517E-3</v>
      </c>
      <c r="J20" s="82">
        <f>'Data Sheet'!I24/'Data Sheet'!I$17</f>
        <v>1.4187308112100993E-2</v>
      </c>
      <c r="K20" s="82">
        <f>'Data Sheet'!J24/'Data Sheet'!J$17</f>
        <v>-2.1957715844577157E-3</v>
      </c>
      <c r="L20" s="82">
        <f>'Data Sheet'!K24/'Data Sheet'!K$17</f>
        <v>-7.7985876573533923E-3</v>
      </c>
    </row>
    <row r="21" spans="2:12">
      <c r="B21" s="81" t="str">
        <f>'Data Sheet'!A25</f>
        <v>Other Income</v>
      </c>
      <c r="C21" s="82">
        <f>'Data Sheet'!B25/'Data Sheet'!B$17</f>
        <v>-9.7771947249836663E-3</v>
      </c>
      <c r="D21" s="82">
        <f>'Data Sheet'!C25/'Data Sheet'!C$17</f>
        <v>6.9304853887117582E-3</v>
      </c>
      <c r="E21" s="82">
        <f>'Data Sheet'!D25/'Data Sheet'!D$17</f>
        <v>2.034889464081829E-2</v>
      </c>
      <c r="F21" s="82">
        <f>'Data Sheet'!E25/'Data Sheet'!E$17</f>
        <v>-8.8383094035074702E-2</v>
      </c>
      <c r="G21" s="82">
        <f>'Data Sheet'!F25/'Data Sheet'!F$17</f>
        <v>3.8959202846676288E-4</v>
      </c>
      <c r="H21" s="82">
        <f>'Data Sheet'!G25/'Data Sheet'!G$17</f>
        <v>-4.4507860953843105E-2</v>
      </c>
      <c r="I21" s="82">
        <f>'Data Sheet'!H25/'Data Sheet'!H$17</f>
        <v>8.7053994844814731E-3</v>
      </c>
      <c r="J21" s="82">
        <f>'Data Sheet'!I25/'Data Sheet'!I$17</f>
        <v>1.9261867686386363E-2</v>
      </c>
      <c r="K21" s="82">
        <f>'Data Sheet'!J25/'Data Sheet'!J$17</f>
        <v>1.1041067610410677E-2</v>
      </c>
      <c r="L21" s="82">
        <f>'Data Sheet'!K25/'Data Sheet'!K$17</f>
        <v>2.6777652691069947E-2</v>
      </c>
    </row>
    <row r="22" spans="2:12">
      <c r="B22" s="81" t="str">
        <f>'Data Sheet'!A26</f>
        <v>Depreciation</v>
      </c>
      <c r="C22" s="82">
        <f>'Data Sheet'!B26/'Data Sheet'!B$17</f>
        <v>6.1201425695927715E-2</v>
      </c>
      <c r="D22" s="82">
        <f>'Data Sheet'!C26/'Data Sheet'!C$17</f>
        <v>6.63903865924938E-2</v>
      </c>
      <c r="E22" s="82">
        <f>'Data Sheet'!D26/'Data Sheet'!D$17</f>
        <v>7.3927472182518786E-2</v>
      </c>
      <c r="F22" s="82">
        <f>'Data Sheet'!E26/'Data Sheet'!E$17</f>
        <v>7.8130605447998658E-2</v>
      </c>
      <c r="G22" s="82">
        <f>'Data Sheet'!F26/'Data Sheet'!F$17</f>
        <v>8.206839774331566E-2</v>
      </c>
      <c r="H22" s="82">
        <f>'Data Sheet'!G26/'Data Sheet'!G$17</f>
        <v>9.4264230933596482E-2</v>
      </c>
      <c r="I22" s="82">
        <f>'Data Sheet'!H26/'Data Sheet'!H$17</f>
        <v>8.9191478279219347E-2</v>
      </c>
      <c r="J22" s="82">
        <f>'Data Sheet'!I26/'Data Sheet'!I$17</f>
        <v>7.1857611147098821E-2</v>
      </c>
      <c r="K22" s="82">
        <f>'Data Sheet'!J26/'Data Sheet'!J$17</f>
        <v>6.2760359065103591E-2</v>
      </c>
      <c r="L22" s="82">
        <f>'Data Sheet'!K26/'Data Sheet'!K$17</f>
        <v>5.2891208678743216E-2</v>
      </c>
    </row>
    <row r="23" spans="2:12">
      <c r="B23" s="81" t="str">
        <f>'Data Sheet'!A27</f>
        <v>Interest</v>
      </c>
      <c r="C23" s="82">
        <f>'Data Sheet'!B27/'Data Sheet'!B$17</f>
        <v>1.7905727101993223E-2</v>
      </c>
      <c r="D23" s="82">
        <f>'Data Sheet'!C27/'Data Sheet'!C$17</f>
        <v>1.5714229512714312E-2</v>
      </c>
      <c r="E23" s="82">
        <f>'Data Sheet'!D27/'Data Sheet'!D$17</f>
        <v>1.605824830060304E-2</v>
      </c>
      <c r="F23" s="82">
        <f>'Data Sheet'!E27/'Data Sheet'!E$17</f>
        <v>1.9072102124141878E-2</v>
      </c>
      <c r="G23" s="82">
        <f>'Data Sheet'!F27/'Data Sheet'!F$17</f>
        <v>2.7744996829752802E-2</v>
      </c>
      <c r="H23" s="82">
        <f>'Data Sheet'!G27/'Data Sheet'!G$17</f>
        <v>3.2415292955516477E-2</v>
      </c>
      <c r="I23" s="82">
        <f>'Data Sheet'!H27/'Data Sheet'!H$17</f>
        <v>3.3441332168710897E-2</v>
      </c>
      <c r="J23" s="82">
        <f>'Data Sheet'!I27/'Data Sheet'!I$17</f>
        <v>2.9556231914277829E-2</v>
      </c>
      <c r="K23" s="82">
        <f>'Data Sheet'!J27/'Data Sheet'!J$17</f>
        <v>1.7497050799970507E-2</v>
      </c>
      <c r="L23" s="82">
        <f>'Data Sheet'!K27/'Data Sheet'!K$17</f>
        <v>1.1560286107415368E-2</v>
      </c>
    </row>
    <row r="24" spans="2:12">
      <c r="B24" s="81" t="str">
        <f>'Data Sheet'!A28</f>
        <v>Profit before tax</v>
      </c>
      <c r="C24" s="82">
        <f>'Data Sheet'!B28/'Data Sheet'!B$17</f>
        <v>5.1734105951533375E-2</v>
      </c>
      <c r="D24" s="82">
        <f>'Data Sheet'!C28/'Data Sheet'!C$17</f>
        <v>3.453855652127677E-2</v>
      </c>
      <c r="E24" s="82">
        <f>'Data Sheet'!D28/'Data Sheet'!D$17</f>
        <v>3.8261058599526235E-2</v>
      </c>
      <c r="F24" s="82">
        <f>'Data Sheet'!E28/'Data Sheet'!E$17</f>
        <v>-0.10389917281140788</v>
      </c>
      <c r="G24" s="82">
        <f>'Data Sheet'!F28/'Data Sheet'!F$17</f>
        <v>-4.0525768059559354E-2</v>
      </c>
      <c r="H24" s="82">
        <f>'Data Sheet'!G28/'Data Sheet'!G$17</f>
        <v>-4.1931545799101064E-2</v>
      </c>
      <c r="I24" s="82">
        <f>'Data Sheet'!H28/'Data Sheet'!H$17</f>
        <v>-2.5151082611172375E-2</v>
      </c>
      <c r="J24" s="82">
        <f>'Data Sheet'!I28/'Data Sheet'!I$17</f>
        <v>9.809982727541881E-3</v>
      </c>
      <c r="K24" s="82">
        <f>'Data Sheet'!J28/'Data Sheet'!J$17</f>
        <v>6.4013769077637686E-2</v>
      </c>
      <c r="L24" s="82">
        <f>'Data Sheet'!K28/'Data Sheet'!K$17</f>
        <v>8.7904115352687662E-2</v>
      </c>
    </row>
    <row r="25" spans="2:12">
      <c r="B25" s="81" t="str">
        <f>'Data Sheet'!A29</f>
        <v>Tax</v>
      </c>
      <c r="C25" s="82">
        <f>'Data Sheet'!B29/'Data Sheet'!B$17</f>
        <v>1.1078918686109574E-2</v>
      </c>
      <c r="D25" s="82">
        <f>'Data Sheet'!C29/'Data Sheet'!C$17</f>
        <v>1.2055321818169885E-2</v>
      </c>
      <c r="E25" s="82">
        <f>'Data Sheet'!D29/'Data Sheet'!D$17</f>
        <v>1.4892549653836963E-2</v>
      </c>
      <c r="F25" s="82">
        <f>'Data Sheet'!E29/'Data Sheet'!E$17</f>
        <v>-8.0726731015332912E-3</v>
      </c>
      <c r="G25" s="82">
        <f>'Data Sheet'!F29/'Data Sheet'!F$17</f>
        <v>1.5139735448971392E-3</v>
      </c>
      <c r="H25" s="82">
        <f>'Data Sheet'!G29/'Data Sheet'!G$17</f>
        <v>1.0175794327142584E-2</v>
      </c>
      <c r="I25" s="82">
        <f>'Data Sheet'!H29/'Data Sheet'!H$17</f>
        <v>1.5195672442685429E-2</v>
      </c>
      <c r="J25" s="82">
        <f>'Data Sheet'!I29/'Data Sheet'!I$17</f>
        <v>2.0350497621203548E-3</v>
      </c>
      <c r="K25" s="82">
        <f>'Data Sheet'!J29/'Data Sheet'!J$17</f>
        <v>-9.2715475927154754E-3</v>
      </c>
      <c r="L25" s="82">
        <f>'Data Sheet'!K29/'Data Sheet'!K$17</f>
        <v>2.3884738284492661E-2</v>
      </c>
    </row>
    <row r="26" spans="2:12">
      <c r="B26" s="81" t="str">
        <f>'Data Sheet'!A30</f>
        <v>Net profit</v>
      </c>
      <c r="C26" s="82">
        <f>'Data Sheet'!B30/'Data Sheet'!B$17</f>
        <v>4.2407971415763523E-2</v>
      </c>
      <c r="D26" s="82">
        <f>'Data Sheet'!C30/'Data Sheet'!C$17</f>
        <v>2.764021885516954E-2</v>
      </c>
      <c r="E26" s="82">
        <f>'Data Sheet'!D30/'Data Sheet'!D$17</f>
        <v>3.0831401821049997E-2</v>
      </c>
      <c r="F26" s="82">
        <f>'Data Sheet'!E30/'Data Sheet'!E$17</f>
        <v>-9.5470566181711222E-2</v>
      </c>
      <c r="G26" s="82">
        <f>'Data Sheet'!F30/'Data Sheet'!F$17</f>
        <v>-4.6236426475450051E-2</v>
      </c>
      <c r="H26" s="82">
        <f>'Data Sheet'!G30/'Data Sheet'!G$17</f>
        <v>-5.3849770661713266E-2</v>
      </c>
      <c r="I26" s="82">
        <f>'Data Sheet'!H30/'Data Sheet'!H$17</f>
        <v>-4.1089320368684734E-2</v>
      </c>
      <c r="J26" s="82">
        <f>'Data Sheet'!I30/'Data Sheet'!I$17</f>
        <v>6.9783829363826268E-3</v>
      </c>
      <c r="K26" s="82">
        <f>'Data Sheet'!J30/'Data Sheet'!J$17</f>
        <v>7.2345259160952594E-2</v>
      </c>
      <c r="L26" s="82">
        <f>'Data Sheet'!K30/'Data Sheet'!K$17</f>
        <v>6.3293874162771921E-2</v>
      </c>
    </row>
    <row r="27" spans="2:12">
      <c r="B27" s="81" t="str">
        <f>'Data Sheet'!A31</f>
        <v>Dividend Amount</v>
      </c>
      <c r="C27" s="82">
        <f>'Data Sheet'!B31/'Data Sheet'!B$17</f>
        <v>2.487496593975512E-4</v>
      </c>
      <c r="D27" s="82">
        <f>'Data Sheet'!C31/'Data Sheet'!C$17</f>
        <v>0</v>
      </c>
      <c r="E27" s="82">
        <f>'Data Sheet'!D31/'Data Sheet'!D$17</f>
        <v>0</v>
      </c>
      <c r="F27" s="82">
        <f>'Data Sheet'!E31/'Data Sheet'!E$17</f>
        <v>0</v>
      </c>
      <c r="G27" s="82">
        <f>'Data Sheet'!F31/'Data Sheet'!F$17</f>
        <v>0</v>
      </c>
      <c r="H27" s="82">
        <f>'Data Sheet'!G31/'Data Sheet'!G$17</f>
        <v>0</v>
      </c>
      <c r="I27" s="82">
        <f>'Data Sheet'!H31/'Data Sheet'!H$17</f>
        <v>0</v>
      </c>
      <c r="J27" s="82">
        <f>'Data Sheet'!I31/'Data Sheet'!I$17</f>
        <v>2.2141420032091505E-3</v>
      </c>
      <c r="K27" s="82">
        <f>'Data Sheet'!J31/'Data Sheet'!J$17</f>
        <v>5.3016478655164784E-3</v>
      </c>
      <c r="L27" s="82">
        <f>'Data Sheet'!K31/'Data Sheet'!K$17</f>
        <v>5.0216627434926482E-3</v>
      </c>
    </row>
    <row r="28" spans="2:12">
      <c r="B28" s="81" t="str">
        <f>'Data Sheet'!A32</f>
        <v>EBITDA</v>
      </c>
      <c r="C28" s="82">
        <f>'Data Sheet'!B32/'Data Sheet'!B$17</f>
        <v>0.13259404289979404</v>
      </c>
      <c r="D28" s="82">
        <f>'Data Sheet'!C32/'Data Sheet'!C$17</f>
        <v>0.12180015677854755</v>
      </c>
      <c r="E28" s="82">
        <f>'Data Sheet'!D32/'Data Sheet'!D$17</f>
        <v>0.13570967195800879</v>
      </c>
      <c r="F28" s="82">
        <f>'Data Sheet'!E32/'Data Sheet'!E$17</f>
        <v>-6.340531711103989E-3</v>
      </c>
      <c r="G28" s="82">
        <f>'Data Sheet'!F32/'Data Sheet'!F$17</f>
        <v>6.5090941642515554E-2</v>
      </c>
      <c r="H28" s="82">
        <f>'Data Sheet'!G32/'Data Sheet'!G$17</f>
        <v>8.3005547554542272E-2</v>
      </c>
      <c r="I28" s="82">
        <f>'Data Sheet'!H32/'Data Sheet'!H$17</f>
        <v>9.6739162521930933E-2</v>
      </c>
      <c r="J28" s="82">
        <f>'Data Sheet'!I32/'Data Sheet'!I$17</f>
        <v>0.11042727575987964</v>
      </c>
      <c r="K28" s="82">
        <f>'Data Sheet'!J32/'Data Sheet'!J$17</f>
        <v>0.14333112143331123</v>
      </c>
      <c r="L28" s="82">
        <f>'Data Sheet'!K32/'Data Sheet'!K$17</f>
        <v>0.15163010723342316</v>
      </c>
    </row>
    <row r="29" spans="2:12">
      <c r="B29" s="74">
        <f>'Data Sheet'!A33</f>
        <v>0</v>
      </c>
    </row>
    <row r="30" spans="2:12">
      <c r="B30" s="436" t="str">
        <f>"Common Size Balance Sheet"&amp;" "&amp;"- "&amp;'Data Sheet'!B1</f>
        <v>Common Size Balance Sheet - TATA MOTORS LTD</v>
      </c>
      <c r="C30" s="436"/>
      <c r="D30" s="436"/>
      <c r="E30" s="436"/>
      <c r="F30" s="436"/>
      <c r="G30" s="436"/>
      <c r="H30" s="436"/>
      <c r="I30" s="436"/>
      <c r="J30" s="436"/>
      <c r="K30" s="436"/>
      <c r="L30" s="436"/>
    </row>
    <row r="32" spans="2:12">
      <c r="B32" s="72" t="s">
        <v>226</v>
      </c>
      <c r="C32" s="73">
        <f>'Data Sheet'!B57</f>
        <v>42460</v>
      </c>
      <c r="D32" s="73">
        <f>'Data Sheet'!C57</f>
        <v>42825</v>
      </c>
      <c r="E32" s="73">
        <f>'Data Sheet'!D57</f>
        <v>43190</v>
      </c>
      <c r="F32" s="73">
        <f>'Data Sheet'!E57</f>
        <v>43555</v>
      </c>
      <c r="G32" s="73">
        <f>'Data Sheet'!F57</f>
        <v>43921</v>
      </c>
      <c r="H32" s="73">
        <f>'Data Sheet'!G57</f>
        <v>44286</v>
      </c>
      <c r="I32" s="73">
        <f>'Data Sheet'!H57</f>
        <v>44651</v>
      </c>
      <c r="J32" s="73">
        <f>'Data Sheet'!I57</f>
        <v>45016</v>
      </c>
      <c r="K32" s="73">
        <f>'Data Sheet'!J57</f>
        <v>45382</v>
      </c>
      <c r="L32" s="73">
        <f>'Data Sheet'!K57</f>
        <v>45747</v>
      </c>
    </row>
    <row r="33" spans="2:12">
      <c r="B33" s="78"/>
      <c r="C33" s="79"/>
      <c r="D33" s="79"/>
      <c r="E33" s="79"/>
      <c r="F33" s="79"/>
      <c r="G33" s="79"/>
      <c r="H33" s="79"/>
      <c r="I33" s="79"/>
      <c r="J33" s="79"/>
      <c r="K33" s="79"/>
      <c r="L33" s="79"/>
    </row>
    <row r="34" spans="2:12">
      <c r="B34" s="74" t="s">
        <v>118</v>
      </c>
      <c r="C34" s="80">
        <f>'Data Sheet'!B62/'Data Sheet'!B$62</f>
        <v>1</v>
      </c>
      <c r="D34" s="80">
        <f>'Data Sheet'!C62/'Data Sheet'!C$62</f>
        <v>1</v>
      </c>
      <c r="E34" s="80">
        <f>'Data Sheet'!D62/'Data Sheet'!D$62</f>
        <v>1</v>
      </c>
      <c r="F34" s="80">
        <f>'Data Sheet'!E62/'Data Sheet'!E$62</f>
        <v>1</v>
      </c>
      <c r="G34" s="80">
        <f>'Data Sheet'!F62/'Data Sheet'!F$62</f>
        <v>1</v>
      </c>
      <c r="H34" s="80">
        <f>'Data Sheet'!G62/'Data Sheet'!G$62</f>
        <v>1</v>
      </c>
      <c r="I34" s="80">
        <f>'Data Sheet'!H62/'Data Sheet'!H$62</f>
        <v>1</v>
      </c>
      <c r="J34" s="80">
        <f>'Data Sheet'!I62/'Data Sheet'!I$62</f>
        <v>1</v>
      </c>
      <c r="K34" s="80">
        <f>'Data Sheet'!J62/'Data Sheet'!J$62</f>
        <v>1</v>
      </c>
      <c r="L34" s="80">
        <f>'Data Sheet'!K62/'Data Sheet'!K$62</f>
        <v>1</v>
      </c>
    </row>
    <row r="35" spans="2:12">
      <c r="B35" s="76" t="str">
        <f>'Data Sheet'!A58</f>
        <v>Equity Share Capital</v>
      </c>
      <c r="C35" s="77">
        <f>'Data Sheet'!B58/'Data Sheet'!B$62</f>
        <v>2.5806268250531225E-3</v>
      </c>
      <c r="D35" s="77">
        <f>'Data Sheet'!C58/'Data Sheet'!C$62</f>
        <v>2.491815624573979E-3</v>
      </c>
      <c r="E35" s="77">
        <f>'Data Sheet'!D58/'Data Sheet'!D$62</f>
        <v>2.0759077068585549E-3</v>
      </c>
      <c r="F35" s="77">
        <f>'Data Sheet'!E58/'Data Sheet'!E$62</f>
        <v>2.2218261230841693E-3</v>
      </c>
      <c r="G35" s="77">
        <f>'Data Sheet'!F58/'Data Sheet'!F$62</f>
        <v>2.2473026761653833E-3</v>
      </c>
      <c r="H35" s="77">
        <f>'Data Sheet'!G58/'Data Sheet'!G$62</f>
        <v>2.2420300429859294E-3</v>
      </c>
      <c r="I35" s="77">
        <f>'Data Sheet'!H58/'Data Sheet'!H$62</f>
        <v>2.3274677325505334E-3</v>
      </c>
      <c r="J35" s="77">
        <f>'Data Sheet'!I58/'Data Sheet'!I$62</f>
        <v>2.2888512875034999E-3</v>
      </c>
      <c r="K35" s="77">
        <f>'Data Sheet'!J58/'Data Sheet'!J$62</f>
        <v>2.0756601113333206E-3</v>
      </c>
      <c r="L35" s="77">
        <f>'Data Sheet'!K58/'Data Sheet'!K$62</f>
        <v>1.952394468569367E-3</v>
      </c>
    </row>
    <row r="36" spans="2:12">
      <c r="B36" s="76" t="str">
        <f>'Data Sheet'!A59</f>
        <v>Reserves</v>
      </c>
      <c r="C36" s="77">
        <f>'Data Sheet'!B59/'Data Sheet'!B$62</f>
        <v>0.2974086354450261</v>
      </c>
      <c r="D36" s="77">
        <f>'Data Sheet'!C59/'Data Sheet'!C$62</f>
        <v>0.21051652437468349</v>
      </c>
      <c r="E36" s="77">
        <f>'Data Sheet'!D59/'Data Sheet'!D$62</f>
        <v>0.28958148432871839</v>
      </c>
      <c r="F36" s="77">
        <f>'Data Sheet'!E59/'Data Sheet'!E$62</f>
        <v>0.19463415350606564</v>
      </c>
      <c r="G36" s="77">
        <f>'Data Sheet'!F59/'Data Sheet'!F$62</f>
        <v>0.19476266101949907</v>
      </c>
      <c r="H36" s="77">
        <f>'Data Sheet'!G59/'Data Sheet'!G$62</f>
        <v>0.15950149121742019</v>
      </c>
      <c r="I36" s="77">
        <f>'Data Sheet'!H59/'Data Sheet'!H$62</f>
        <v>0.13309172094249011</v>
      </c>
      <c r="J36" s="77">
        <f>'Data Sheet'!I59/'Data Sheet'!I$62</f>
        <v>0.13313168263258116</v>
      </c>
      <c r="K36" s="77">
        <f>'Data Sheet'!J59/'Data Sheet'!J$62</f>
        <v>0.22772995310144756</v>
      </c>
      <c r="L36" s="77">
        <f>'Data Sheet'!K59/'Data Sheet'!K$62</f>
        <v>0.30614394134327921</v>
      </c>
    </row>
    <row r="37" spans="2:12">
      <c r="B37" s="76" t="str">
        <f>'Data Sheet'!A60</f>
        <v>Borrowings</v>
      </c>
      <c r="C37" s="77">
        <f>'Data Sheet'!B60/'Data Sheet'!B$62</f>
        <v>0.2635415844998551</v>
      </c>
      <c r="D37" s="77">
        <f>'Data Sheet'!C60/'Data Sheet'!C$62</f>
        <v>0.2883699324485447</v>
      </c>
      <c r="E37" s="77">
        <f>'Data Sheet'!D60/'Data Sheet'!D$62</f>
        <v>0.27186031948660327</v>
      </c>
      <c r="F37" s="77">
        <f>'Data Sheet'!E60/'Data Sheet'!E$62</f>
        <v>0.34731477877468786</v>
      </c>
      <c r="G37" s="77">
        <f>'Data Sheet'!F60/'Data Sheet'!F$62</f>
        <v>0.38974288757311953</v>
      </c>
      <c r="H37" s="77">
        <f>'Data Sheet'!G60/'Data Sheet'!G$62</f>
        <v>0.41610975041683274</v>
      </c>
      <c r="I37" s="77">
        <f>'Data Sheet'!H60/'Data Sheet'!H$62</f>
        <v>0.445050649956031</v>
      </c>
      <c r="J37" s="77">
        <f>'Data Sheet'!I60/'Data Sheet'!I$62</f>
        <v>0.40072807474416255</v>
      </c>
      <c r="K37" s="77">
        <f>'Data Sheet'!J60/'Data Sheet'!J$62</f>
        <v>0.2902784956741295</v>
      </c>
      <c r="L37" s="77">
        <f>'Data Sheet'!K60/'Data Sheet'!K$62</f>
        <v>0.18977486451284309</v>
      </c>
    </row>
    <row r="38" spans="2:12">
      <c r="B38" s="76" t="str">
        <f>'Data Sheet'!A61</f>
        <v>Other Liabilities</v>
      </c>
      <c r="C38" s="77">
        <f>'Data Sheet'!B61/'Data Sheet'!B$62</f>
        <v>0.43646915323006569</v>
      </c>
      <c r="D38" s="77">
        <f>'Data Sheet'!C61/'Data Sheet'!C$62</f>
        <v>0.4986217275521978</v>
      </c>
      <c r="E38" s="77">
        <f>'Data Sheet'!D61/'Data Sheet'!D$62</f>
        <v>0.43648228847781978</v>
      </c>
      <c r="F38" s="77">
        <f>'Data Sheet'!E61/'Data Sheet'!E$62</f>
        <v>0.45582924159616234</v>
      </c>
      <c r="G38" s="77">
        <f>'Data Sheet'!F61/'Data Sheet'!F$62</f>
        <v>0.41324714873121593</v>
      </c>
      <c r="H38" s="77">
        <f>'Data Sheet'!G61/'Data Sheet'!G$62</f>
        <v>0.42214672832276123</v>
      </c>
      <c r="I38" s="77">
        <f>'Data Sheet'!H61/'Data Sheet'!H$62</f>
        <v>0.41953016136892834</v>
      </c>
      <c r="J38" s="77">
        <f>'Data Sheet'!I61/'Data Sheet'!I$62</f>
        <v>0.46385139133575282</v>
      </c>
      <c r="K38" s="77">
        <f>'Data Sheet'!J61/'Data Sheet'!J$62</f>
        <v>0.47991589111308963</v>
      </c>
      <c r="L38" s="77">
        <f>'Data Sheet'!K61/'Data Sheet'!K$62</f>
        <v>0.50212879967530832</v>
      </c>
    </row>
    <row r="39" spans="2:12">
      <c r="B39" s="76"/>
    </row>
    <row r="40" spans="2:12">
      <c r="B40" s="74" t="s">
        <v>121</v>
      </c>
      <c r="C40" s="75">
        <f>'Data Sheet'!B67/'Data Sheet'!B$67</f>
        <v>1</v>
      </c>
      <c r="D40" s="75">
        <f>'Data Sheet'!C67/'Data Sheet'!C$67</f>
        <v>1</v>
      </c>
      <c r="E40" s="75">
        <f>'Data Sheet'!D67/'Data Sheet'!D$67</f>
        <v>1</v>
      </c>
      <c r="F40" s="75">
        <f>'Data Sheet'!E67/'Data Sheet'!E$67</f>
        <v>1</v>
      </c>
      <c r="G40" s="75">
        <f>'Data Sheet'!F67/'Data Sheet'!F$67</f>
        <v>1</v>
      </c>
      <c r="H40" s="75">
        <f>'Data Sheet'!G67/'Data Sheet'!G$67</f>
        <v>1</v>
      </c>
      <c r="I40" s="75">
        <f>'Data Sheet'!H67/'Data Sheet'!H$67</f>
        <v>1</v>
      </c>
      <c r="J40" s="75">
        <f>'Data Sheet'!I67/'Data Sheet'!I$67</f>
        <v>1</v>
      </c>
      <c r="K40" s="75">
        <f>'Data Sheet'!J67/'Data Sheet'!J$67</f>
        <v>1</v>
      </c>
      <c r="L40" s="75">
        <f>'Data Sheet'!K67/'Data Sheet'!K$67</f>
        <v>1</v>
      </c>
    </row>
    <row r="41" spans="2:12">
      <c r="B41" s="76" t="str">
        <f>'Data Sheet'!A63</f>
        <v>Net Block</v>
      </c>
      <c r="C41" s="77">
        <f>'Data Sheet'!B63/'Data Sheet'!B$67</f>
        <v>0.40744008415097382</v>
      </c>
      <c r="D41" s="77">
        <f>'Data Sheet'!C63/'Data Sheet'!C$67</f>
        <v>0.35198456704657666</v>
      </c>
      <c r="E41" s="77">
        <f>'Data Sheet'!D63/'Data Sheet'!D$67</f>
        <v>0.37107854258332446</v>
      </c>
      <c r="F41" s="77">
        <f>'Data Sheet'!E63/'Data Sheet'!E$67</f>
        <v>0.36386391925064382</v>
      </c>
      <c r="G41" s="77">
        <f>'Data Sheet'!F63/'Data Sheet'!F$67</f>
        <v>0.39698726392101624</v>
      </c>
      <c r="H41" s="77">
        <f>'Data Sheet'!G63/'Data Sheet'!G$67</f>
        <v>0.40608849298230043</v>
      </c>
      <c r="I41" s="77">
        <f>'Data Sheet'!H63/'Data Sheet'!H$67</f>
        <v>0.42197417266906562</v>
      </c>
      <c r="J41" s="77">
        <f>'Data Sheet'!I63/'Data Sheet'!I$67</f>
        <v>0.39465148263642374</v>
      </c>
      <c r="K41" s="77">
        <f>'Data Sheet'!J63/'Data Sheet'!J$67</f>
        <v>0.32822221199877677</v>
      </c>
      <c r="L41" s="77">
        <f>'Data Sheet'!K63/'Data Sheet'!K$67</f>
        <v>0.3069105744973778</v>
      </c>
    </row>
    <row r="42" spans="2:12">
      <c r="B42" s="76" t="str">
        <f>'Data Sheet'!A64</f>
        <v>Capital Work in Progress</v>
      </c>
      <c r="C42" s="77">
        <f>'Data Sheet'!B64/'Data Sheet'!B$67</f>
        <v>9.8482157662096018E-2</v>
      </c>
      <c r="D42" s="77">
        <f>'Data Sheet'!C64/'Data Sheet'!C$67</f>
        <v>0.12362900980833688</v>
      </c>
      <c r="E42" s="77">
        <f>'Data Sheet'!D64/'Data Sheet'!D$67</f>
        <v>0.12235483522646853</v>
      </c>
      <c r="F42" s="77">
        <f>'Data Sheet'!E64/'Data Sheet'!E$67</f>
        <v>0.1042966176146697</v>
      </c>
      <c r="G42" s="77">
        <f>'Data Sheet'!F64/'Data Sheet'!F$67</f>
        <v>0.11125728611076434</v>
      </c>
      <c r="H42" s="77">
        <f>'Data Sheet'!G64/'Data Sheet'!G$67</f>
        <v>6.137522476731045E-2</v>
      </c>
      <c r="I42" s="77">
        <f>'Data Sheet'!H64/'Data Sheet'!H$67</f>
        <v>3.1152505873598278E-2</v>
      </c>
      <c r="J42" s="77">
        <f>'Data Sheet'!I64/'Data Sheet'!I$67</f>
        <v>4.2651899041106903E-2</v>
      </c>
      <c r="K42" s="77">
        <f>'Data Sheet'!J64/'Data Sheet'!J$67</f>
        <v>9.6606146876632187E-2</v>
      </c>
      <c r="L42" s="77">
        <f>'Data Sheet'!K64/'Data Sheet'!K$67</f>
        <v>0.17456422608515729</v>
      </c>
    </row>
    <row r="43" spans="2:12">
      <c r="B43" s="76" t="str">
        <f>'Data Sheet'!A65</f>
        <v>Investments</v>
      </c>
      <c r="C43" s="77">
        <f>'Data Sheet'!B65/'Data Sheet'!B$67</f>
        <v>9.0305676497502971E-2</v>
      </c>
      <c r="D43" s="77">
        <f>'Data Sheet'!C65/'Data Sheet'!C$67</f>
        <v>7.4612565630187005E-2</v>
      </c>
      <c r="E43" s="77">
        <f>'Data Sheet'!D65/'Data Sheet'!D$67</f>
        <v>6.3610241344366172E-2</v>
      </c>
      <c r="F43" s="77">
        <f>'Data Sheet'!E65/'Data Sheet'!E$67</f>
        <v>5.1588289031309388E-2</v>
      </c>
      <c r="G43" s="77">
        <f>'Data Sheet'!F65/'Data Sheet'!F$67</f>
        <v>5.0935445907370862E-2</v>
      </c>
      <c r="H43" s="77">
        <f>'Data Sheet'!G65/'Data Sheet'!G$67</f>
        <v>7.207976838475029E-2</v>
      </c>
      <c r="I43" s="77">
        <f>'Data Sheet'!H65/'Data Sheet'!H$67</f>
        <v>8.928279635517361E-2</v>
      </c>
      <c r="J43" s="77">
        <f>'Data Sheet'!I65/'Data Sheet'!I$67</f>
        <v>7.8820362822460022E-2</v>
      </c>
      <c r="K43" s="77">
        <f>'Data Sheet'!J65/'Data Sheet'!J$67</f>
        <v>6.2164261300440303E-2</v>
      </c>
      <c r="L43" s="77">
        <f>'Data Sheet'!K65/'Data Sheet'!K$67</f>
        <v>9.4585023330583357E-2</v>
      </c>
    </row>
    <row r="44" spans="2:12">
      <c r="B44" s="76" t="str">
        <f>'Data Sheet'!A66</f>
        <v>Other Assets</v>
      </c>
      <c r="C44" s="77">
        <f>'Data Sheet'!B75/'Data Sheet'!B$67</f>
        <v>0.11239036762552386</v>
      </c>
      <c r="D44" s="77">
        <f>'Data Sheet'!C75/'Data Sheet'!C$67</f>
        <v>0.13706335995740859</v>
      </c>
      <c r="E44" s="77">
        <f>'Data Sheet'!D75/'Data Sheet'!D$67</f>
        <v>0.14757967199729119</v>
      </c>
      <c r="F44" s="77">
        <f>'Data Sheet'!E75/'Data Sheet'!E$67</f>
        <v>0.1836934867835496</v>
      </c>
      <c r="G44" s="77">
        <f>'Data Sheet'!F75/'Data Sheet'!F$67</f>
        <v>0.1836000124805035</v>
      </c>
      <c r="H44" s="77">
        <f>'Data Sheet'!G75/'Data Sheet'!G$67</f>
        <v>0.18068910109792749</v>
      </c>
      <c r="I44" s="77">
        <f>'Data Sheet'!H75/'Data Sheet'!H$67</f>
        <v>0.18909465826584576</v>
      </c>
      <c r="J44" s="77">
        <f>'Data Sheet'!I75/'Data Sheet'!I$67</f>
        <v>0.20447361335612049</v>
      </c>
      <c r="K44" s="77">
        <f>'Data Sheet'!J75/'Data Sheet'!J$67</f>
        <v>0.21384440938404042</v>
      </c>
      <c r="L44" s="77">
        <f>'Data Sheet'!K75/'Data Sheet'!K$67</f>
        <v>0.15508537746735176</v>
      </c>
    </row>
    <row r="45" spans="2:12">
      <c r="B45" s="76" t="str">
        <f>'Data Sheet'!A68</f>
        <v>Receivables</v>
      </c>
      <c r="C45" s="77">
        <f>'Data Sheet'!B68/'Data Sheet'!B$67</f>
        <v>5.1564319306195219E-2</v>
      </c>
      <c r="D45" s="77">
        <f>'Data Sheet'!C68/'Data Sheet'!C$67</f>
        <v>5.1638166447501938E-2</v>
      </c>
      <c r="E45" s="77">
        <f>'Data Sheet'!D68/'Data Sheet'!D$67</f>
        <v>6.0800115993123419E-2</v>
      </c>
      <c r="F45" s="77">
        <f>'Data Sheet'!E68/'Data Sheet'!E$67</f>
        <v>6.2139198999658127E-2</v>
      </c>
      <c r="G45" s="77">
        <f>'Data Sheet'!F68/'Data Sheet'!F$67</f>
        <v>3.4895094278241959E-2</v>
      </c>
      <c r="H45" s="77">
        <f>'Data Sheet'!G68/'Data Sheet'!G$67</f>
        <v>3.7120014464974392E-2</v>
      </c>
      <c r="I45" s="77">
        <f>'Data Sheet'!H68/'Data Sheet'!H$67</f>
        <v>3.7810927070195913E-2</v>
      </c>
      <c r="J45" s="77">
        <f>'Data Sheet'!I68/'Data Sheet'!I$67</f>
        <v>4.7024715930643397E-2</v>
      </c>
      <c r="K45" s="77">
        <f>'Data Sheet'!J68/'Data Sheet'!J$67</f>
        <v>4.5875606528451698E-2</v>
      </c>
      <c r="L45" s="77">
        <f>'Data Sheet'!K68/'Data Sheet'!K$67</f>
        <v>3.5143100434248606E-2</v>
      </c>
    </row>
    <row r="46" spans="2:12">
      <c r="B46" s="76" t="str">
        <f>'Data Sheet'!A69</f>
        <v>Inventory</v>
      </c>
      <c r="C46" s="77">
        <f>'Data Sheet'!B69/'Data Sheet'!B$67</f>
        <v>0.12407940874244236</v>
      </c>
      <c r="D46" s="77">
        <f>'Data Sheet'!C69/'Data Sheet'!C$67</f>
        <v>0.12871547311772571</v>
      </c>
      <c r="E46" s="77">
        <f>'Data Sheet'!D69/'Data Sheet'!D$67</f>
        <v>0.12878571135383859</v>
      </c>
      <c r="F46" s="77">
        <f>'Data Sheet'!E69/'Data Sheet'!E$67</f>
        <v>0.12761951131143451</v>
      </c>
      <c r="G46" s="77">
        <f>'Data Sheet'!F69/'Data Sheet'!F$67</f>
        <v>0.11698716772494318</v>
      </c>
      <c r="H46" s="77">
        <f>'Data Sheet'!G69/'Data Sheet'!G$67</f>
        <v>0.1056550619461767</v>
      </c>
      <c r="I46" s="77">
        <f>'Data Sheet'!H69/'Data Sheet'!H$67</f>
        <v>0.1070934797019244</v>
      </c>
      <c r="J46" s="77">
        <f>'Data Sheet'!I69/'Data Sheet'!I$67</f>
        <v>0.12177622891596469</v>
      </c>
      <c r="K46" s="77">
        <f>'Data Sheet'!J69/'Data Sheet'!J$67</f>
        <v>0.12932417914002181</v>
      </c>
      <c r="L46" s="77">
        <f>'Data Sheet'!K69/'Data Sheet'!K$67</f>
        <v>0.12539094311794213</v>
      </c>
    </row>
    <row r="47" spans="2:12">
      <c r="B47" s="76" t="str">
        <f>'Data Sheet'!A70</f>
        <v>Cash &amp; Bank</v>
      </c>
      <c r="C47" s="77">
        <f>'Data Sheet'!B70/'Data Sheet'!B$67</f>
        <v>0.11573798601526566</v>
      </c>
      <c r="D47" s="77">
        <f>'Data Sheet'!C70/'Data Sheet'!C$67</f>
        <v>0.13235685799226327</v>
      </c>
      <c r="E47" s="77">
        <f>'Data Sheet'!D70/'Data Sheet'!D$67</f>
        <v>0.10579088150158772</v>
      </c>
      <c r="F47" s="77">
        <f>'Data Sheet'!E70/'Data Sheet'!E$67</f>
        <v>0.10679897700873484</v>
      </c>
      <c r="G47" s="77">
        <f>'Data Sheet'!F70/'Data Sheet'!F$67</f>
        <v>0.10533772957715985</v>
      </c>
      <c r="H47" s="77">
        <f>'Data Sheet'!G70/'Data Sheet'!G$67</f>
        <v>0.13699233635656022</v>
      </c>
      <c r="I47" s="77">
        <f>'Data Sheet'!H70/'Data Sheet'!H$67</f>
        <v>0.12359146006419652</v>
      </c>
      <c r="J47" s="77">
        <f>'Data Sheet'!I70/'Data Sheet'!I$67</f>
        <v>0.11060169729728082</v>
      </c>
      <c r="K47" s="77">
        <f>'Data Sheet'!J70/'Data Sheet'!J$67</f>
        <v>0.1239631847716368</v>
      </c>
      <c r="L47" s="77">
        <f>'Data Sheet'!K70/'Data Sheet'!K$67</f>
        <v>0.10832075506733904</v>
      </c>
    </row>
  </sheetData>
  <mergeCells count="2">
    <mergeCell ref="B9:L9"/>
    <mergeCell ref="B30:L30"/>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FA33-7999-41A0-826E-E8372AB7914B}">
  <sheetPr codeName="Sheet13">
    <pageSetUpPr fitToPage="1"/>
  </sheetPr>
  <dimension ref="A1:P47"/>
  <sheetViews>
    <sheetView showGridLines="0" zoomScale="98" workbookViewId="0">
      <selection activeCell="P8" sqref="P8"/>
    </sheetView>
  </sheetViews>
  <sheetFormatPr defaultRowHeight="14.5"/>
  <cols>
    <col min="1" max="1" width="1.90625" customWidth="1"/>
    <col min="2" max="2" width="27.26953125" bestFit="1" customWidth="1"/>
    <col min="3" max="3" width="11.81640625" bestFit="1" customWidth="1"/>
    <col min="4" max="12" width="9.81640625" customWidth="1"/>
    <col min="13" max="13" width="16.08984375" customWidth="1"/>
    <col min="14" max="14" width="11.08984375" bestFit="1" customWidth="1"/>
    <col min="15" max="15" width="10.81640625" customWidth="1"/>
  </cols>
  <sheetData>
    <row r="1" spans="1:15">
      <c r="A1" s="273"/>
      <c r="B1" s="361"/>
      <c r="C1" s="361"/>
      <c r="D1" s="361"/>
      <c r="E1" s="361"/>
      <c r="F1" s="361"/>
      <c r="G1" s="361"/>
      <c r="H1" s="361"/>
      <c r="I1" s="361"/>
      <c r="J1" s="93"/>
      <c r="K1" s="93"/>
      <c r="L1" s="93"/>
      <c r="M1" s="93"/>
      <c r="N1" s="93"/>
      <c r="O1" s="93"/>
    </row>
    <row r="2" spans="1:15" ht="6" customHeight="1">
      <c r="A2" s="273"/>
      <c r="B2" s="273"/>
      <c r="C2" s="273"/>
      <c r="D2" s="273"/>
      <c r="E2" s="273"/>
      <c r="F2" s="273"/>
      <c r="G2" s="273"/>
      <c r="H2" s="273"/>
      <c r="I2" s="273"/>
    </row>
    <row r="3" spans="1:15" ht="25" customHeight="1">
      <c r="A3" s="273"/>
      <c r="B3" s="362" t="str">
        <f>'Data Sheet'!B1</f>
        <v>TATA MOTORS LTD</v>
      </c>
      <c r="C3" s="273"/>
      <c r="D3" s="273"/>
      <c r="E3" s="273"/>
      <c r="F3" s="273"/>
      <c r="G3" s="273"/>
      <c r="H3" s="273"/>
      <c r="I3" s="273"/>
    </row>
    <row r="4" spans="1:15">
      <c r="A4" s="273"/>
      <c r="B4" s="274" t="s">
        <v>460</v>
      </c>
      <c r="C4" s="273"/>
      <c r="D4" s="273"/>
      <c r="E4" s="273"/>
      <c r="F4" s="273"/>
      <c r="G4" s="273"/>
      <c r="H4" s="273"/>
      <c r="I4" s="273"/>
    </row>
    <row r="5" spans="1:15" ht="18.5">
      <c r="A5" s="273"/>
      <c r="B5" s="363" t="s">
        <v>461</v>
      </c>
      <c r="C5" s="273"/>
      <c r="D5" s="273"/>
      <c r="E5" s="273"/>
      <c r="F5" s="273"/>
      <c r="G5" s="273"/>
      <c r="H5" s="273"/>
      <c r="I5" s="273"/>
    </row>
    <row r="6" spans="1:15">
      <c r="A6" s="273"/>
      <c r="B6" s="279" t="s">
        <v>463</v>
      </c>
      <c r="C6" s="273"/>
      <c r="D6" s="273"/>
      <c r="E6" s="273"/>
      <c r="F6" s="273"/>
      <c r="G6" s="273"/>
      <c r="H6" s="273"/>
      <c r="I6" s="273"/>
    </row>
    <row r="7" spans="1:15" ht="4.5" customHeight="1" thickBot="1">
      <c r="A7" s="273"/>
      <c r="B7" s="393"/>
      <c r="C7" s="393"/>
      <c r="D7" s="393"/>
      <c r="E7" s="393"/>
      <c r="F7" s="393"/>
      <c r="G7" s="393"/>
      <c r="H7" s="393"/>
      <c r="I7" s="393"/>
      <c r="J7" s="397"/>
      <c r="K7" s="397"/>
      <c r="L7" s="397"/>
      <c r="M7" s="397"/>
      <c r="N7" s="397"/>
      <c r="O7" s="397"/>
    </row>
    <row r="8" spans="1:15" ht="9" customHeight="1"/>
    <row r="9" spans="1:15">
      <c r="B9" s="428" t="str">
        <f>"Ratio Analysis -"&amp;'Data Sheet'!B1</f>
        <v>Ratio Analysis -TATA MOTORS LTD</v>
      </c>
      <c r="C9" s="428"/>
      <c r="D9" s="428"/>
      <c r="E9" s="428"/>
      <c r="F9" s="428"/>
      <c r="G9" s="428"/>
      <c r="H9" s="428"/>
      <c r="I9" s="428"/>
      <c r="J9" s="428"/>
      <c r="K9" s="428"/>
      <c r="L9" s="428"/>
      <c r="M9" s="428"/>
      <c r="N9" s="428"/>
      <c r="O9" s="428"/>
    </row>
    <row r="10" spans="1:15">
      <c r="B10" s="223" t="s">
        <v>93</v>
      </c>
      <c r="C10" s="126">
        <f>'Data Sheet'!B16</f>
        <v>42460</v>
      </c>
      <c r="D10" s="126">
        <f>'Data Sheet'!C16</f>
        <v>42825</v>
      </c>
      <c r="E10" s="126">
        <f>'Data Sheet'!D16</f>
        <v>43190</v>
      </c>
      <c r="F10" s="126">
        <f>'Data Sheet'!E16</f>
        <v>43555</v>
      </c>
      <c r="G10" s="126">
        <f>'Data Sheet'!F16</f>
        <v>43921</v>
      </c>
      <c r="H10" s="126">
        <f>'Data Sheet'!G16</f>
        <v>44286</v>
      </c>
      <c r="I10" s="126">
        <f>'Data Sheet'!H16</f>
        <v>44651</v>
      </c>
      <c r="J10" s="126">
        <f>'Data Sheet'!I16</f>
        <v>45016</v>
      </c>
      <c r="K10" s="126">
        <f>'Data Sheet'!J16</f>
        <v>45382</v>
      </c>
      <c r="L10" s="126">
        <f>'Data Sheet'!K16</f>
        <v>45747</v>
      </c>
      <c r="M10" s="348" t="s">
        <v>189</v>
      </c>
      <c r="N10" s="349" t="s">
        <v>190</v>
      </c>
      <c r="O10" s="349" t="s">
        <v>191</v>
      </c>
    </row>
    <row r="11" spans="1:15" s="48" customFormat="1">
      <c r="B11" s="46"/>
      <c r="C11" s="47"/>
      <c r="D11" s="47"/>
      <c r="E11" s="47"/>
      <c r="F11" s="47"/>
      <c r="G11" s="47"/>
      <c r="H11" s="47"/>
      <c r="I11" s="47"/>
      <c r="J11" s="47"/>
      <c r="K11" s="47"/>
      <c r="L11" s="47"/>
    </row>
    <row r="12" spans="1:15">
      <c r="B12" s="49" t="s">
        <v>157</v>
      </c>
      <c r="C12" s="44"/>
      <c r="D12" s="44">
        <f>IFERROR('Historical FS'!D13,0)</f>
        <v>-1.2280329732469508E-2</v>
      </c>
      <c r="E12" s="44">
        <f>IFERROR('Historical FS'!E13,0)</f>
        <v>8.104774581985974E-2</v>
      </c>
      <c r="F12" s="44">
        <f>IFERROR('Historical FS'!F13,0)</f>
        <v>3.5629919045237157E-2</v>
      </c>
      <c r="G12" s="44">
        <f>IFERROR('Historical FS'!G13,0)</f>
        <v>-0.135360159555724</v>
      </c>
      <c r="H12" s="44">
        <f>IFERROR('Historical FS'!H13,0)</f>
        <v>-4.3181168490336042E-2</v>
      </c>
      <c r="I12" s="44">
        <f>IFERROR('Historical FS'!I13,0)</f>
        <v>0.11472967306158344</v>
      </c>
      <c r="J12" s="44">
        <f>IFERROR('Historical FS'!J13,0)</f>
        <v>0.24245815155859707</v>
      </c>
      <c r="K12" s="44">
        <f>IFERROR('Historical FS'!K13,0)</f>
        <v>0.25450126062612277</v>
      </c>
      <c r="L12" s="44">
        <f>IFERROR('Historical FS'!L13,0)</f>
        <v>1.3084771068347711E-2</v>
      </c>
      <c r="M12" s="56"/>
      <c r="N12" s="44">
        <f>IFERROR(AVERAGE(D12:L12),0)</f>
        <v>6.1181095933468703E-2</v>
      </c>
      <c r="O12" s="44">
        <f>IFERROR(MEDIAN(C12:L12),0)</f>
        <v>3.5629919045237157E-2</v>
      </c>
    </row>
    <row r="13" spans="1:15">
      <c r="B13" s="43" t="s">
        <v>158</v>
      </c>
      <c r="C13" s="5"/>
      <c r="D13" s="5">
        <f>IFERROR('Historical FS'!D24/'Historical FS'!C24-1,0)</f>
        <v>-0.22936587208052972</v>
      </c>
      <c r="E13" s="5">
        <f>IFERROR('Historical FS'!E24/'Historical FS'!D24-1,0)</f>
        <v>6.3165689322507212E-2</v>
      </c>
      <c r="F13" s="5">
        <f>IFERROR('Historical FS'!F24/'Historical FS'!E24-1,0)</f>
        <v>-0.21595203460649259</v>
      </c>
      <c r="G13" s="5">
        <f>IFERROR('Historical FS'!G24/'Historical FS'!F24-1,0)</f>
        <v>-0.27072537547138131</v>
      </c>
      <c r="H13" s="5">
        <f>IFERROR('Historical FS'!H24/'Historical FS'!G24-1,0)</f>
        <v>0.79503554497759144</v>
      </c>
      <c r="I13" s="5">
        <f>IFERROR('Historical FS'!I24/'Historical FS'!H24-1,0)</f>
        <v>-0.23437418215076355</v>
      </c>
      <c r="J13" s="5">
        <f>IFERROR('Historical FS'!J24/'Historical FS'!I24-1,0)</f>
        <v>0.28704223973294507</v>
      </c>
      <c r="K13" s="5">
        <f>IFERROR('Historical FS'!K24/'Historical FS'!J24-1,0)</f>
        <v>0.81746176428064277</v>
      </c>
      <c r="L13" s="5">
        <f>IFERROR('Historical FS'!L24/'Historical FS'!K24-1,0)</f>
        <v>-4.510237963475372E-2</v>
      </c>
      <c r="N13" s="5">
        <f t="shared" ref="N13:N16" si="0">IFERROR(AVERAGE(D13:L13),0)</f>
        <v>0.10746504381886285</v>
      </c>
      <c r="O13" s="5">
        <f t="shared" ref="O13:O15" si="1">IFERROR(MEDIAN(C13:L13),0)</f>
        <v>-4.510237963475372E-2</v>
      </c>
    </row>
    <row r="14" spans="1:15">
      <c r="B14" s="43" t="s">
        <v>159</v>
      </c>
      <c r="C14" s="5"/>
      <c r="D14" s="5">
        <f>IFERROR('Historical FS'!D33/'Historical FS'!C33-1,0)</f>
        <v>-0.55668251823863391</v>
      </c>
      <c r="E14" s="5">
        <f>IFERROR('Historical FS'!E33/'Historical FS'!D33-1,0)</f>
        <v>-0.29861436616351467</v>
      </c>
      <c r="F14" s="5">
        <f>IFERROR('Historical FS'!F33/'Historical FS'!E33-1,0)</f>
        <v>-1.897095149646705</v>
      </c>
      <c r="G14" s="5">
        <f>IFERROR('Historical FS'!G33/'Historical FS'!F33-1,0)</f>
        <v>1.2800251873039095</v>
      </c>
      <c r="H14" s="5">
        <f>IFERROR('Historical FS'!H33/'Historical FS'!G33-1,0)</f>
        <v>-1.0602479570180392</v>
      </c>
      <c r="I14" s="5">
        <f>IFERROR('Historical FS'!I33/'Historical FS'!H33-1,0)</f>
        <v>-15.649149250252052</v>
      </c>
      <c r="J14" s="5">
        <f>IFERROR('Historical FS'!J33/'Historical FS'!I33-1,0)</f>
        <v>-0.65313668793078605</v>
      </c>
      <c r="K14" s="5">
        <f>IFERROR('Historical FS'!K33/'Historical FS'!J33-1,0)</f>
        <v>-8.0308008464727472</v>
      </c>
      <c r="L14" s="5">
        <f>IFERROR('Historical FS'!L33/'Historical FS'!K33-1,0)</f>
        <v>0.16902266104127706</v>
      </c>
      <c r="N14" s="5">
        <f t="shared" si="0"/>
        <v>-2.9662976585974765</v>
      </c>
      <c r="O14" s="5">
        <f t="shared" si="1"/>
        <v>-0.65313668793078605</v>
      </c>
    </row>
    <row r="15" spans="1:15">
      <c r="B15" s="43" t="s">
        <v>160</v>
      </c>
      <c r="C15" s="5"/>
      <c r="D15" s="5">
        <f>IFERROR('Historical FS'!D39/'Historical FS'!C39-1,0)</f>
        <v>-0.69539895165986998</v>
      </c>
      <c r="E15" s="5">
        <f>IFERROR('Historical FS'!E39/'Historical FS'!D39-1,0)</f>
        <v>-0.7901112419715558</v>
      </c>
      <c r="F15" s="5">
        <f>IFERROR('Historical FS'!F39/'Historical FS'!E39-1,0)</f>
        <v>-3.5528470983790919</v>
      </c>
      <c r="G15" s="5">
        <f>IFERROR('Historical FS'!G39/'Historical FS'!F39-1,0)</f>
        <v>3.9286702707513577</v>
      </c>
      <c r="H15" s="5">
        <f>IFERROR('Historical FS'!H39/'Historical FS'!G39-1,0)</f>
        <v>-0.8286250534895041</v>
      </c>
      <c r="I15" s="5">
        <f>IFERROR('Historical FS'!I39/'Historical FS'!H39-1,0)</f>
        <v>6.195215744530751</v>
      </c>
      <c r="J15" s="5">
        <f>IFERROR('Historical FS'!J39/'Historical FS'!I39-1,0)</f>
        <v>-0.70904365333577146</v>
      </c>
      <c r="K15" s="5">
        <f>IFERROR('Historical FS'!K39/'Historical FS'!J39-1,0)</f>
        <v>-7.7977655318184613</v>
      </c>
      <c r="L15" s="5">
        <f>IFERROR('Historical FS'!L39/'Historical FS'!K39-1,0)</f>
        <v>-0.39385526559318895</v>
      </c>
      <c r="N15" s="5">
        <f t="shared" si="0"/>
        <v>-0.51597342010725944</v>
      </c>
      <c r="O15" s="5">
        <f t="shared" si="1"/>
        <v>-0.70904365333577146</v>
      </c>
    </row>
    <row r="16" spans="1:15">
      <c r="B16" s="50" t="s">
        <v>161</v>
      </c>
      <c r="C16" s="45"/>
      <c r="D16" s="45">
        <f>IFERROR('Historical FS'!D47/'Historical FS'!C47-1,0)</f>
        <v>-1</v>
      </c>
      <c r="E16" s="45">
        <f>IFERROR('Historical FS'!E47/'Historical FS'!D47-1,0)</f>
        <v>0</v>
      </c>
      <c r="F16" s="45">
        <f>IFERROR('Historical FS'!F47/'Historical FS'!E47-1,0)</f>
        <v>0</v>
      </c>
      <c r="G16" s="45">
        <f>IFERROR('Historical FS'!G47/'Historical FS'!F47-1,0)</f>
        <v>0</v>
      </c>
      <c r="H16" s="45">
        <f>IFERROR('Historical FS'!H47/'Historical FS'!G47-1,0)</f>
        <v>0</v>
      </c>
      <c r="I16" s="45">
        <f>IFERROR('Historical FS'!I47/'Historical FS'!H47-1,0)</f>
        <v>0</v>
      </c>
      <c r="J16" s="45">
        <f>IFERROR('Historical FS'!J47/'Historical FS'!I47-1,0)</f>
        <v>0</v>
      </c>
      <c r="K16" s="45">
        <f>IFERROR('Historical FS'!K47/'Historical FS'!J47-1,0)</f>
        <v>2.0016689880185949</v>
      </c>
      <c r="L16" s="45">
        <f>IFERROR('Historical FS'!L47/'Historical FS'!K47-1,0)</f>
        <v>-0.1336306958339889</v>
      </c>
      <c r="M16" s="57"/>
      <c r="N16" s="45">
        <f t="shared" si="0"/>
        <v>9.6448699131622892E-2</v>
      </c>
      <c r="O16" s="45">
        <f>IFERROR(MEDIAN(C16:L16),0)</f>
        <v>0</v>
      </c>
    </row>
    <row r="18" spans="2:16">
      <c r="B18" s="49" t="s">
        <v>162</v>
      </c>
      <c r="C18" s="44">
        <f>IFERROR('Historical FS'!C19,0)</f>
        <v>0.24734524196690946</v>
      </c>
      <c r="D18" s="44">
        <f>IFERROR('Historical FS'!D19,0)</f>
        <v>0.23819078253229953</v>
      </c>
      <c r="E18" s="44">
        <f>IFERROR('Historical FS'!E19,0)</f>
        <v>0.21649990080619999</v>
      </c>
      <c r="F18" s="44">
        <f>IFERROR('Historical FS'!F19,0)</f>
        <v>0.19571167496416494</v>
      </c>
      <c r="G18" s="44">
        <f>IFERROR('Historical FS'!G19,0)</f>
        <v>0.19417127271491774</v>
      </c>
      <c r="H18" s="44">
        <f>IFERROR('Historical FS'!H19,0)</f>
        <v>0.21805386222088344</v>
      </c>
      <c r="I18" s="44">
        <f>IFERROR('Historical FS'!I19,0)</f>
        <v>0.1980710827174737</v>
      </c>
      <c r="J18" s="44">
        <f>IFERROR('Historical FS'!J19,0)</f>
        <v>0.20685017994636876</v>
      </c>
      <c r="K18" s="44">
        <f>IFERROR('Historical FS'!K19,0)</f>
        <v>0.22956757354567572</v>
      </c>
      <c r="L18" s="44">
        <f>IFERROR('Historical FS'!L19,0)</f>
        <v>0.22489680346603896</v>
      </c>
      <c r="M18" s="56"/>
      <c r="N18" s="44">
        <f>IFERROR(AVERAGE(C18:L18),0)</f>
        <v>0.2169358374880932</v>
      </c>
      <c r="O18" s="44">
        <f>IFERROR(MEDIAN(C18:L18),0)</f>
        <v>0.21727688151354171</v>
      </c>
      <c r="P18" t="s">
        <v>1607</v>
      </c>
    </row>
    <row r="19" spans="2:16">
      <c r="B19" s="43" t="s">
        <v>163</v>
      </c>
      <c r="C19" s="5">
        <f>IFERROR('Historical FS'!C25,0)</f>
        <v>0.14061845347443788</v>
      </c>
      <c r="D19" s="5">
        <f>IFERROR('Historical FS'!D25,0)</f>
        <v>0.10971268723777318</v>
      </c>
      <c r="E19" s="5">
        <f>IFERROR('Historical FS'!E25,0)</f>
        <v>0.10789788444182975</v>
      </c>
      <c r="F19" s="5">
        <f>IFERROR('Historical FS'!F25,0)</f>
        <v>8.1686628795807431E-2</v>
      </c>
      <c r="G19" s="5">
        <f>IFERROR('Historical FS'!G25,0)</f>
        <v>6.8898034485042198E-2</v>
      </c>
      <c r="H19" s="5">
        <f>IFERROR('Historical FS'!H25,0)</f>
        <v>0.12925583904385507</v>
      </c>
      <c r="I19" s="5">
        <f>IFERROR('Historical FS'!I25,0)</f>
        <v>8.8776328352276349E-2</v>
      </c>
      <c r="J19" s="5">
        <f>IFERROR('Historical FS'!J25,0)</f>
        <v>9.1961958102532049E-2</v>
      </c>
      <c r="K19" s="5">
        <f>IFERROR('Historical FS'!K25,0)</f>
        <v>0.13323011133230112</v>
      </c>
      <c r="L19" s="5">
        <f>IFERROR('Historical FS'!L25,0)</f>
        <v>0.12557795744777631</v>
      </c>
      <c r="N19" s="5">
        <f t="shared" ref="N19:N47" si="2">IFERROR(AVERAGE(C19:L19),0)</f>
        <v>0.10776158827136313</v>
      </c>
      <c r="O19" s="5">
        <f t="shared" ref="O19:O47" si="3">IFERROR(MEDIAN(C19:L19),0)</f>
        <v>0.10880528583980147</v>
      </c>
    </row>
    <row r="20" spans="2:16">
      <c r="B20" s="43" t="s">
        <v>164</v>
      </c>
      <c r="C20" s="5">
        <f>IFERROR(('Historical FS'!C24-'Historical FS'!C30)/'Historical FS'!C12,0)</f>
        <v>7.941702777851016E-2</v>
      </c>
      <c r="D20" s="5">
        <f>IFERROR(('Historical FS'!D24-'Historical FS'!D30)/'Historical FS'!D12,0)</f>
        <v>4.332230064527938E-2</v>
      </c>
      <c r="E20" s="5">
        <f>IFERROR(('Historical FS'!E24-'Historical FS'!E30)/'Historical FS'!E12,0)</f>
        <v>3.3970412259310953E-2</v>
      </c>
      <c r="F20" s="5">
        <f>IFERROR(('Historical FS'!F24-'Historical FS'!F30)/'Historical FS'!F12,0)</f>
        <v>3.5560233478087663E-3</v>
      </c>
      <c r="G20" s="5">
        <f>IFERROR(('Historical FS'!G24-'Historical FS'!G30)/'Historical FS'!G12,0)</f>
        <v>-1.3170363258273456E-2</v>
      </c>
      <c r="H20" s="5">
        <f>IFERROR(('Historical FS'!H24-'Historical FS'!H30)/'Historical FS'!H12,0)</f>
        <v>3.4991608110258601E-2</v>
      </c>
      <c r="I20" s="5">
        <f>IFERROR(('Historical FS'!I24-'Historical FS'!I30)/'Historical FS'!I12,0)</f>
        <v>-4.151499269429972E-4</v>
      </c>
      <c r="J20" s="5">
        <f>IFERROR(('Historical FS'!J24-'Historical FS'!J30)/'Historical FS'!J12,0)</f>
        <v>2.0104346955433228E-2</v>
      </c>
      <c r="K20" s="5">
        <f>IFERROR(('Historical FS'!K24-'Historical FS'!K30)/'Historical FS'!K12,0)</f>
        <v>7.0469752267197525E-2</v>
      </c>
      <c r="L20" s="5">
        <f>IFERROR(('Historical FS'!L24-'Historical FS'!L30)/'Historical FS'!L12,0)</f>
        <v>7.2686748769033083E-2</v>
      </c>
      <c r="N20" s="5">
        <f t="shared" si="2"/>
        <v>3.4493270694761526E-2</v>
      </c>
      <c r="O20" s="5">
        <f t="shared" si="3"/>
        <v>3.4481010184784777E-2</v>
      </c>
    </row>
    <row r="21" spans="2:16">
      <c r="B21" s="43" t="s">
        <v>165</v>
      </c>
      <c r="C21" s="5">
        <f>IFERROR('Historical FS'!C34,0)</f>
        <v>6.1511300676516931E-2</v>
      </c>
      <c r="D21" s="5">
        <f>IFERROR('Historical FS'!D34,0)</f>
        <v>2.7608071132565071E-2</v>
      </c>
      <c r="E21" s="5">
        <f>IFERROR('Historical FS'!E34,0)</f>
        <v>1.7912163958707913E-2</v>
      </c>
      <c r="F21" s="5">
        <f>IFERROR('Historical FS'!F34,0)</f>
        <v>-1.5516078776333117E-2</v>
      </c>
      <c r="G21" s="5">
        <f>IFERROR('Historical FS'!G34,0)</f>
        <v>-4.0915360088026265E-2</v>
      </c>
      <c r="H21" s="5">
        <f>IFERROR('Historical FS'!H34,0)</f>
        <v>2.5763151547421276E-3</v>
      </c>
      <c r="I21" s="5">
        <f>IFERROR('Historical FS'!I34,0)</f>
        <v>-3.3856482095653909E-2</v>
      </c>
      <c r="J21" s="5">
        <f>IFERROR('Historical FS'!J34,0)</f>
        <v>-9.4518849588445895E-3</v>
      </c>
      <c r="K21" s="5">
        <f>IFERROR('Historical FS'!K34,0)</f>
        <v>5.2972701467227018E-2</v>
      </c>
      <c r="L21" s="5">
        <f>IFERROR('Historical FS'!L34,0)</f>
        <v>6.1126462661617711E-2</v>
      </c>
      <c r="N21" s="5">
        <f t="shared" si="2"/>
        <v>1.2396720913251889E-2</v>
      </c>
      <c r="O21" s="5">
        <f t="shared" si="3"/>
        <v>1.0244239556725021E-2</v>
      </c>
    </row>
    <row r="22" spans="2:16">
      <c r="B22" s="50" t="s">
        <v>166</v>
      </c>
      <c r="C22" s="45">
        <f>IFERROR('Historical FS'!C40,0)</f>
        <v>5.0432381990407359E-2</v>
      </c>
      <c r="D22" s="45">
        <f>IFERROR('Historical FS'!D40,0)</f>
        <v>1.5552749314395186E-2</v>
      </c>
      <c r="E22" s="45">
        <f>IFERROR('Historical FS'!E40,0)</f>
        <v>3.01961430487095E-3</v>
      </c>
      <c r="F22" s="45">
        <f>IFERROR('Historical FS'!F40,0)</f>
        <v>-7.4434056747998256E-3</v>
      </c>
      <c r="G22" s="45">
        <f>IFERROR('Historical FS'!G40,0)</f>
        <v>-4.2429333632923408E-2</v>
      </c>
      <c r="H22" s="45">
        <f>IFERROR('Historical FS'!H40,0)</f>
        <v>-7.5994791724004569E-3</v>
      </c>
      <c r="I22" s="45">
        <f>IFERROR('Historical FS'!I40,0)</f>
        <v>-4.9052154538339339E-2</v>
      </c>
      <c r="J22" s="45">
        <f>IFERROR('Historical FS'!J40,0)</f>
        <v>-1.1486934720964945E-2</v>
      </c>
      <c r="K22" s="45">
        <f>IFERROR('Historical FS'!K40,0)</f>
        <v>6.224424905994249E-2</v>
      </c>
      <c r="L22" s="45">
        <f>IFERROR('Historical FS'!L40,0)</f>
        <v>3.724172437712505E-2</v>
      </c>
      <c r="M22" s="57"/>
      <c r="N22" s="45">
        <f t="shared" si="2"/>
        <v>5.0479411307313062E-3</v>
      </c>
      <c r="O22" s="45">
        <f t="shared" si="3"/>
        <v>-2.2118956849644378E-3</v>
      </c>
    </row>
    <row r="23" spans="2:16">
      <c r="N23" s="5"/>
      <c r="O23" s="56"/>
    </row>
    <row r="24" spans="2:16">
      <c r="B24" s="49" t="s">
        <v>167</v>
      </c>
      <c r="C24" s="44">
        <f>IFERROR('Historical FS'!C22,0)</f>
        <v>0.10672678849247161</v>
      </c>
      <c r="D24" s="44">
        <f>IFERROR('Historical FS'!D22,0)</f>
        <v>0.12847809529452636</v>
      </c>
      <c r="E24" s="44">
        <f>IFERROR('Historical FS'!E22,0)</f>
        <v>0.10860201636437025</v>
      </c>
      <c r="F24" s="44">
        <f>IFERROR('Historical FS'!F22,0)</f>
        <v>0.11402504616835751</v>
      </c>
      <c r="G24" s="44">
        <f>IFERROR('Historical FS'!G22,0)</f>
        <v>0.12527323822987554</v>
      </c>
      <c r="H24" s="44">
        <f>IFERROR('Historical FS'!H22,0)</f>
        <v>8.8798023177028354E-2</v>
      </c>
      <c r="I24" s="44">
        <f>IFERROR('Historical FS'!I22,0)</f>
        <v>0.10929475436519734</v>
      </c>
      <c r="J24" s="44">
        <f>IFERROR('Historical FS'!J22,0)</f>
        <v>0.11488822184383672</v>
      </c>
      <c r="K24" s="44">
        <f>IFERROR('Historical FS'!K22,0)</f>
        <v>9.6337462213374622E-2</v>
      </c>
      <c r="L24" s="44">
        <f>IFERROR('Historical FS'!L22,0)</f>
        <v>9.9318846018262658E-2</v>
      </c>
      <c r="M24" s="56"/>
      <c r="N24" s="44">
        <f t="shared" si="2"/>
        <v>0.10917424921673009</v>
      </c>
      <c r="O24" s="44">
        <f t="shared" si="3"/>
        <v>0.1089483853647838</v>
      </c>
    </row>
    <row r="25" spans="2:16">
      <c r="B25" s="43" t="s">
        <v>168</v>
      </c>
      <c r="C25" s="5">
        <f>IFERROR('Historical FS'!C31,0)</f>
        <v>6.1201425695927715E-2</v>
      </c>
      <c r="D25" s="5">
        <f>IFERROR('Historical FS'!D31,0)</f>
        <v>6.63903865924938E-2</v>
      </c>
      <c r="E25" s="5">
        <f>IFERROR('Historical FS'!E31,0)</f>
        <v>7.3927472182518786E-2</v>
      </c>
      <c r="F25" s="5">
        <f>IFERROR('Historical FS'!F31,0)</f>
        <v>7.8130605447998658E-2</v>
      </c>
      <c r="G25" s="5">
        <f>IFERROR('Historical FS'!G31,0)</f>
        <v>8.206839774331566E-2</v>
      </c>
      <c r="H25" s="5">
        <f>IFERROR('Historical FS'!H31,0)</f>
        <v>9.4264230933596482E-2</v>
      </c>
      <c r="I25" s="5">
        <f>IFERROR('Historical FS'!I31,0)</f>
        <v>8.9191478279219347E-2</v>
      </c>
      <c r="J25" s="5">
        <f>IFERROR('Historical FS'!J31,0)</f>
        <v>7.1857611147098821E-2</v>
      </c>
      <c r="K25" s="5">
        <f>IFERROR('Historical FS'!K31,0)</f>
        <v>6.2760359065103591E-2</v>
      </c>
      <c r="L25" s="5">
        <f>IFERROR('Historical FS'!L31,0)</f>
        <v>5.2891208678743216E-2</v>
      </c>
      <c r="N25" s="5">
        <f t="shared" si="2"/>
        <v>7.3268317576601599E-2</v>
      </c>
      <c r="O25" s="5">
        <f t="shared" si="3"/>
        <v>7.2892541664808796E-2</v>
      </c>
    </row>
    <row r="26" spans="2:16">
      <c r="B26" s="50" t="s">
        <v>169</v>
      </c>
      <c r="C26" s="45">
        <f>C20</f>
        <v>7.941702777851016E-2</v>
      </c>
      <c r="D26" s="45">
        <f t="shared" ref="D26:L26" si="4">D20</f>
        <v>4.332230064527938E-2</v>
      </c>
      <c r="E26" s="45">
        <f t="shared" si="4"/>
        <v>3.3970412259310953E-2</v>
      </c>
      <c r="F26" s="45">
        <f t="shared" si="4"/>
        <v>3.5560233478087663E-3</v>
      </c>
      <c r="G26" s="45">
        <f t="shared" si="4"/>
        <v>-1.3170363258273456E-2</v>
      </c>
      <c r="H26" s="45">
        <f t="shared" si="4"/>
        <v>3.4991608110258601E-2</v>
      </c>
      <c r="I26" s="45">
        <f t="shared" si="4"/>
        <v>-4.151499269429972E-4</v>
      </c>
      <c r="J26" s="45">
        <f t="shared" si="4"/>
        <v>2.0104346955433228E-2</v>
      </c>
      <c r="K26" s="45">
        <f t="shared" si="4"/>
        <v>7.0469752267197525E-2</v>
      </c>
      <c r="L26" s="45">
        <f t="shared" si="4"/>
        <v>7.2686748769033083E-2</v>
      </c>
      <c r="M26" s="57"/>
      <c r="N26" s="45">
        <f t="shared" si="2"/>
        <v>3.4493270694761526E-2</v>
      </c>
      <c r="O26" s="45">
        <f t="shared" si="3"/>
        <v>3.4481010184784777E-2</v>
      </c>
    </row>
    <row r="27" spans="2:16">
      <c r="N27" s="5"/>
      <c r="O27" s="56"/>
    </row>
    <row r="28" spans="2:16">
      <c r="B28" s="49" t="s">
        <v>170</v>
      </c>
      <c r="C28" s="44">
        <f>IFERROR(('Historical FS'!C24-'Historical FS'!C30)/SUM('Historical FS'!C53:C55),0)</f>
        <v>0.1462081011853561</v>
      </c>
      <c r="D28" s="44">
        <f>IFERROR(('Historical FS'!D24-'Historical FS'!D30)/SUM('Historical FS'!D53:D55),0)</f>
        <v>8.549098615477306E-2</v>
      </c>
      <c r="E28" s="44">
        <f>IFERROR(('Historical FS'!E24-'Historical FS'!E30)/SUM('Historical FS'!E53:E55),0)</f>
        <v>5.3716113570365424E-2</v>
      </c>
      <c r="F28" s="44">
        <f>IFERROR(('Historical FS'!F24-'Historical FS'!F30)/SUM('Historical FS'!F53:F55),0)</f>
        <v>6.4542733637543747E-3</v>
      </c>
      <c r="G28" s="44">
        <f>IFERROR(('Historical FS'!G24-'Historical FS'!G30)/SUM('Historical FS'!G53:G55),0)</f>
        <v>-1.8302177555437667E-2</v>
      </c>
      <c r="H28" s="44">
        <f>IFERROR(('Historical FS'!H24-'Historical FS'!H30)/SUM('Historical FS'!H53:H55),0)</f>
        <v>4.4284324706251765E-2</v>
      </c>
      <c r="I28" s="44">
        <f>IFERROR(('Historical FS'!I24-'Historical FS'!I30)/SUM('Historical FS'!I53:I55),0)</f>
        <v>-6.0520306054754594E-4</v>
      </c>
      <c r="J28" s="44">
        <f>IFERROR(('Historical FS'!J24-'Historical FS'!J30)/SUM('Historical FS'!J53:J55),0)</f>
        <v>3.8762956416083731E-2</v>
      </c>
      <c r="K28" s="44">
        <f>IFERROR(('Historical FS'!K24-'Historical FS'!K30)/SUM('Historical FS'!K53:K55),0)</f>
        <v>0.15914601783725843</v>
      </c>
      <c r="L28" s="44">
        <f>IFERROR(('Historical FS'!L24-'Historical FS'!L30)/SUM('Historical FS'!L53:L55),0)</f>
        <v>0.17028622578376421</v>
      </c>
      <c r="M28" s="56"/>
      <c r="N28" s="44">
        <f t="shared" si="2"/>
        <v>6.8544161840162182E-2</v>
      </c>
      <c r="O28" s="44">
        <f t="shared" si="3"/>
        <v>4.9000219138308598E-2</v>
      </c>
    </row>
    <row r="29" spans="2:16">
      <c r="B29" s="43" t="s">
        <v>171</v>
      </c>
      <c r="C29" s="5">
        <f>IFERROR('Historical FS'!C50,0)</f>
        <v>0.99506765991253665</v>
      </c>
      <c r="D29" s="5">
        <f>IFERROR('Historical FS'!D50,0)</f>
        <v>1</v>
      </c>
      <c r="E29" s="5">
        <f>IFERROR('Historical FS'!E50,0)</f>
        <v>1</v>
      </c>
      <c r="F29" s="5">
        <f>IFERROR('Historical FS'!F50,0)</f>
        <v>0</v>
      </c>
      <c r="G29" s="5">
        <f>IFERROR('Historical FS'!G50,0)</f>
        <v>0</v>
      </c>
      <c r="H29" s="5">
        <f>IFERROR('Historical FS'!H50,0)</f>
        <v>0</v>
      </c>
      <c r="I29" s="5">
        <f>IFERROR('Historical FS'!I50,0)</f>
        <v>0</v>
      </c>
      <c r="J29" s="5">
        <f>IFERROR('Historical FS'!J50,0)</f>
        <v>0</v>
      </c>
      <c r="K29" s="5">
        <f>IFERROR('Historical FS'!K50,0)</f>
        <v>0.9148250971682399</v>
      </c>
      <c r="L29" s="5">
        <f>IFERROR('Historical FS'!L50,0)</f>
        <v>0.8651603053435114</v>
      </c>
      <c r="N29" s="5">
        <f t="shared" si="2"/>
        <v>0.47750530624242887</v>
      </c>
      <c r="O29" s="5">
        <f t="shared" si="3"/>
        <v>0.4325801526717557</v>
      </c>
    </row>
    <row r="30" spans="2:16">
      <c r="B30" s="43" t="s">
        <v>172</v>
      </c>
      <c r="C30" s="5">
        <f>IFERROR('Historical FS'!C39/SUM('Historical FS'!C53:C54),0)</f>
        <v>0.17441316864171685</v>
      </c>
      <c r="D30" s="5">
        <f>IFERROR('Historical FS'!D39/SUM('Historical FS'!D53:D54),0)</f>
        <v>7.2241189530689018E-2</v>
      </c>
      <c r="E30" s="5">
        <f>IFERROR('Historical FS'!E39/SUM('Historical FS'!E53:E54),0)</f>
        <v>9.2254980749341738E-3</v>
      </c>
      <c r="F30" s="5">
        <f>IFERROR('Historical FS'!F39/SUM('Historical FS'!F53:F54),0)</f>
        <v>-3.7345736658758885E-2</v>
      </c>
      <c r="G30" s="5">
        <f>IFERROR('Historical FS'!G39/SUM('Historical FS'!G53:G54),0)</f>
        <v>-0.17560555073176307</v>
      </c>
      <c r="H30" s="5">
        <f>IFERROR('Historical FS'!H39/SUM('Historical FS'!H53:H54),0)</f>
        <v>-3.4360591904822206E-2</v>
      </c>
      <c r="I30" s="5">
        <f>IFERROR('Historical FS'!I39/SUM('Historical FS'!I53:I54),0)</f>
        <v>-0.30651638060341274</v>
      </c>
      <c r="J30" s="5">
        <f>IFERROR('Historical FS'!J39/SUM('Historical FS'!J53:J54),0)</f>
        <v>-8.7686298356707396E-2</v>
      </c>
      <c r="K30" s="5">
        <f>IFERROR('Historical FS'!K39/SUM('Historical FS'!K53:K54),0)</f>
        <v>0.31813043171059141</v>
      </c>
      <c r="L30" s="5">
        <f>IFERROR('Historical FS'!L39/SUM('Historical FS'!L53:L54),0)</f>
        <v>0.14098877255820361</v>
      </c>
      <c r="N30" s="5">
        <f t="shared" si="2"/>
        <v>7.3484502260670794E-3</v>
      </c>
      <c r="O30" s="5">
        <f t="shared" si="3"/>
        <v>-1.2567546914944015E-2</v>
      </c>
    </row>
    <row r="31" spans="2:16">
      <c r="B31" s="43" t="s">
        <v>173</v>
      </c>
      <c r="C31" s="5">
        <f>IFERROR(C29*C30,0)</f>
        <v>0.17355290357824379</v>
      </c>
      <c r="D31" s="5">
        <f t="shared" ref="D31:L31" si="5">IFERROR(D29*D30,0)</f>
        <v>7.2241189530689018E-2</v>
      </c>
      <c r="E31" s="5">
        <f t="shared" si="5"/>
        <v>9.2254980749341738E-3</v>
      </c>
      <c r="F31" s="5">
        <f t="shared" si="5"/>
        <v>0</v>
      </c>
      <c r="G31" s="5">
        <f t="shared" si="5"/>
        <v>0</v>
      </c>
      <c r="H31" s="5">
        <f t="shared" si="5"/>
        <v>0</v>
      </c>
      <c r="I31" s="5">
        <f t="shared" si="5"/>
        <v>0</v>
      </c>
      <c r="J31" s="5">
        <f t="shared" si="5"/>
        <v>0</v>
      </c>
      <c r="K31" s="5">
        <f t="shared" si="5"/>
        <v>0.29103370310181592</v>
      </c>
      <c r="L31" s="5">
        <f t="shared" si="5"/>
        <v>0.12197788951646231</v>
      </c>
      <c r="N31" s="5">
        <f t="shared" si="2"/>
        <v>6.6803118380214507E-2</v>
      </c>
      <c r="O31" s="5">
        <f t="shared" si="3"/>
        <v>4.6127490374670869E-3</v>
      </c>
    </row>
    <row r="32" spans="2:16">
      <c r="B32" s="50" t="s">
        <v>174</v>
      </c>
      <c r="C32" s="51">
        <f>IFERROR(('Historical FS'!C24-'Historical FS'!C30)/'Historical FS'!C27,0)</f>
        <v>4.4352863933500721</v>
      </c>
      <c r="D32" s="51">
        <f>IFERROR(('Historical FS'!D24-'Historical FS'!D30)/'Historical FS'!D27,0)</f>
        <v>2.7568835373205856</v>
      </c>
      <c r="E32" s="51">
        <f>IFERROR(('Historical FS'!E24-'Historical FS'!E30)/'Historical FS'!E27,0)</f>
        <v>2.1154494328024094</v>
      </c>
      <c r="F32" s="51">
        <f>IFERROR(('Historical FS'!F24-'Historical FS'!F30)/'Historical FS'!F27,0)</f>
        <v>0.18645156808947008</v>
      </c>
      <c r="G32" s="51">
        <f>IFERROR(('Historical FS'!G24-'Historical FS'!G30)/'Historical FS'!G27,0)</f>
        <v>-0.47469326953211261</v>
      </c>
      <c r="H32" s="51">
        <f>IFERROR(('Historical FS'!H24-'Historical FS'!H30)/'Historical FS'!H27,0)</f>
        <v>1.0794783856582015</v>
      </c>
      <c r="I32" s="51">
        <f>IFERROR(('Historical FS'!I24-'Historical FS'!I30)/'Historical FS'!I27,0)</f>
        <v>-1.2414275987827683E-2</v>
      </c>
      <c r="J32" s="51">
        <f>IFERROR(('Historical FS'!J24-'Historical FS'!J30)/'Historical FS'!J27,0)</f>
        <v>0.68020669934320532</v>
      </c>
      <c r="K32" s="51">
        <f>IFERROR(('Historical FS'!K24-'Historical FS'!K30)/'Historical FS'!K27,0)</f>
        <v>4.0275217276797468</v>
      </c>
      <c r="L32" s="51">
        <f>IFERROR(('Historical FS'!L24-'Historical FS'!L30)/'Historical FS'!L27,0)</f>
        <v>6.2876254180602009</v>
      </c>
      <c r="M32" s="57"/>
      <c r="N32" s="45">
        <f t="shared" si="2"/>
        <v>2.1081795616783952</v>
      </c>
      <c r="O32" s="45">
        <f t="shared" si="3"/>
        <v>1.5974639092303056</v>
      </c>
    </row>
    <row r="33" spans="2:15">
      <c r="N33" s="5"/>
      <c r="O33" s="56"/>
    </row>
    <row r="34" spans="2:15">
      <c r="B34" s="49" t="s">
        <v>175</v>
      </c>
      <c r="C34" s="52">
        <f>IFERROR('Historical FS'!C12/'Historical FS'!C65,0)</f>
        <v>20.119918266350599</v>
      </c>
      <c r="D34" s="52">
        <f>IFERROR('Historical FS'!D12/'Historical FS'!D65,0)</f>
        <v>19.160353236640844</v>
      </c>
      <c r="E34" s="52">
        <f>IFERROR('Historical FS'!E12/'Historical FS'!E65,0)</f>
        <v>14.655712224718874</v>
      </c>
      <c r="F34" s="52">
        <f>IFERROR('Historical FS'!F12/'Historical FS'!F65,0)</f>
        <v>15.894698773489607</v>
      </c>
      <c r="G34" s="52">
        <f>IFERROR('Historical FS'!G12/'Historical FS'!G65,0)</f>
        <v>23.366617170976728</v>
      </c>
      <c r="H34" s="52">
        <f>IFERROR('Historical FS'!H12/'Historical FS'!H65,0)</f>
        <v>19.701330853658153</v>
      </c>
      <c r="I34" s="52">
        <f>IFERROR('Historical FS'!I12/'Historical FS'!I65,0)</f>
        <v>22.379917570317598</v>
      </c>
      <c r="J34" s="52">
        <f>IFERROR('Historical FS'!J12/'Historical FS'!J65,0)</f>
        <v>21.982947610142858</v>
      </c>
      <c r="K34" s="52">
        <f>IFERROR('Historical FS'!K12/'Historical FS'!K65,0)</f>
        <v>25.602642756016991</v>
      </c>
      <c r="L34" s="52">
        <f>IFERROR('Historical FS'!L12/'Historical FS'!L65,0)</f>
        <v>33.189538043478258</v>
      </c>
      <c r="M34" s="56"/>
      <c r="N34" s="52">
        <f t="shared" si="2"/>
        <v>21.605367650579048</v>
      </c>
      <c r="O34" s="52">
        <f t="shared" si="3"/>
        <v>21.051432938246727</v>
      </c>
    </row>
    <row r="35" spans="2:15">
      <c r="B35" s="43" t="s">
        <v>176</v>
      </c>
      <c r="C35" s="42">
        <f>IFERROR('Historical FS'!C12/'Historical FS'!C56,0)</f>
        <v>2.3769603927858673</v>
      </c>
      <c r="D35" s="42">
        <f>IFERROR('Historical FS'!D12/'Historical FS'!D56,0)</f>
        <v>1.9842807783040648</v>
      </c>
      <c r="E35" s="42">
        <f>IFERROR('Historical FS'!E12/'Historical FS'!E56,0)</f>
        <v>2.0414780318629697</v>
      </c>
      <c r="F35" s="42">
        <f>IFERROR('Historical FS'!F12/'Historical FS'!F56,0)</f>
        <v>2.1667847518227492</v>
      </c>
      <c r="G35" s="42">
        <f>IFERROR('Historical FS'!G12/'Historical FS'!G56,0)</f>
        <v>1.9731057108276859</v>
      </c>
      <c r="H35" s="42">
        <f>IFERROR('Historical FS'!H12/'Historical FS'!H56,0)</f>
        <v>1.7323684804395676</v>
      </c>
      <c r="I35" s="42">
        <f>IFERROR('Historical FS'!I12/'Historical FS'!I56,0)</f>
        <v>2.0170312149360217</v>
      </c>
      <c r="J35" s="42">
        <f>IFERROR('Historical FS'!J12/'Historical FS'!J56,0)</f>
        <v>2.2286057258733614</v>
      </c>
      <c r="K35" s="42">
        <f>IFERROR('Historical FS'!K12/'Historical FS'!K56,0)</f>
        <v>2.4473804408505742</v>
      </c>
      <c r="L35" s="42">
        <f>IFERROR('Historical FS'!L12/'Historical FS'!L56,0)</f>
        <v>2.3228766594994954</v>
      </c>
      <c r="N35" s="42">
        <f t="shared" si="2"/>
        <v>2.1290872187202359</v>
      </c>
      <c r="O35" s="42">
        <f t="shared" si="3"/>
        <v>2.1041313918428592</v>
      </c>
    </row>
    <row r="36" spans="2:15">
      <c r="B36" s="43" t="s">
        <v>47</v>
      </c>
      <c r="C36" s="42">
        <f>IFERROR('Historical FS'!C12/'Historical FS'!C66,0)</f>
        <v>8.3613381173839922</v>
      </c>
      <c r="D36" s="42">
        <f>IFERROR('Historical FS'!D12/'Historical FS'!D66,0)</f>
        <v>7.6867643466738649</v>
      </c>
      <c r="E36" s="42">
        <f>IFERROR('Historical FS'!E12/'Historical FS'!E66,0)</f>
        <v>6.9190051742350009</v>
      </c>
      <c r="F36" s="42">
        <f>IFERROR('Historical FS'!F12/'Historical FS'!F66,0)</f>
        <v>7.7392856309817084</v>
      </c>
      <c r="G36" s="42">
        <f>IFERROR('Historical FS'!G12/'Historical FS'!G66,0)</f>
        <v>6.9698269049637886</v>
      </c>
      <c r="H36" s="42">
        <f>IFERROR('Historical FS'!H12/'Historical FS'!H66,0)</f>
        <v>6.9217098811563442</v>
      </c>
      <c r="I36" s="42">
        <f>IFERROR('Historical FS'!I12/'Historical FS'!I66,0)</f>
        <v>7.9015588385356104</v>
      </c>
      <c r="J36" s="42">
        <f>IFERROR('Historical FS'!J12/'Historical FS'!J66,0)</f>
        <v>8.4888641723217457</v>
      </c>
      <c r="K36" s="42">
        <f>IFERROR('Historical FS'!K12/'Historical FS'!K66,0)</f>
        <v>9.0821126642671803</v>
      </c>
      <c r="L36" s="42">
        <f>IFERROR('Historical FS'!L12/'Historical FS'!L66,0)</f>
        <v>9.3019738094734397</v>
      </c>
      <c r="N36" s="42">
        <f t="shared" si="2"/>
        <v>7.9372439539992667</v>
      </c>
      <c r="O36" s="42">
        <f t="shared" si="3"/>
        <v>7.8204222347586594</v>
      </c>
    </row>
    <row r="37" spans="2:15">
      <c r="B37" s="43" t="s">
        <v>177</v>
      </c>
      <c r="C37" s="42">
        <f>IFERROR('Historical FS'!C12/'Historical FS'!C59,0)</f>
        <v>2.546312771514708</v>
      </c>
      <c r="D37" s="42">
        <f>IFERROR('Historical FS'!D12/'Historical FS'!D59,0)</f>
        <v>2.8109343484246239</v>
      </c>
      <c r="E37" s="42">
        <f>IFERROR('Historical FS'!E12/'Historical FS'!E59,0)</f>
        <v>2.4012948768781421</v>
      </c>
      <c r="F37" s="42">
        <f>IFERROR('Historical FS'!F12/'Historical FS'!F59,0)</f>
        <v>2.7144319562092578</v>
      </c>
      <c r="G37" s="42">
        <f>IFERROR('Historical FS'!G12/'Historical FS'!G59,0)</f>
        <v>2.0539205744067566</v>
      </c>
      <c r="H37" s="42">
        <f>IFERROR('Historical FS'!H12/'Historical FS'!H59,0)</f>
        <v>1.8008727134726064</v>
      </c>
      <c r="I37" s="42">
        <f>IFERROR('Historical FS'!I12/'Historical FS'!I59,0)</f>
        <v>2.0053488717943728</v>
      </c>
      <c r="J37" s="42">
        <f>IFERROR('Historical FS'!J12/'Historical FS'!J59,0)</f>
        <v>2.6193791539294131</v>
      </c>
      <c r="K37" s="42">
        <f>IFERROR('Historical FS'!K12/'Historical FS'!K59,0)</f>
        <v>3.5784804386362699</v>
      </c>
      <c r="L37" s="42">
        <f>IFERROR('Historical FS'!L12/'Historical FS'!L59,0)</f>
        <v>3.8004010475638954</v>
      </c>
      <c r="N37" s="42">
        <f t="shared" si="2"/>
        <v>2.6331376752830042</v>
      </c>
      <c r="O37" s="42">
        <f t="shared" si="3"/>
        <v>2.5828459627220606</v>
      </c>
    </row>
    <row r="38" spans="2:15">
      <c r="B38" s="50" t="s">
        <v>178</v>
      </c>
      <c r="C38" s="51">
        <f>IFERROR('Historical FS'!C12/SUM('Historical FS'!C53:C54),0)</f>
        <v>3.4583567493379874</v>
      </c>
      <c r="D38" s="51">
        <f>IFERROR('Historical FS'!D12/SUM('Historical FS'!D53:D54),0)</f>
        <v>4.6449144180459854</v>
      </c>
      <c r="E38" s="51">
        <f>IFERROR('Historical FS'!E12/SUM('Historical FS'!E53:E54),0)</f>
        <v>3.0551908765475422</v>
      </c>
      <c r="F38" s="51">
        <f>IFERROR('Historical FS'!F12/SUM('Historical FS'!F53:F54),0)</f>
        <v>5.0172915853821474</v>
      </c>
      <c r="G38" s="51">
        <f>IFERROR('Historical FS'!G12/SUM('Historical FS'!G53:G54),0)</f>
        <v>4.1387770133514525</v>
      </c>
      <c r="H38" s="51">
        <f>IFERROR('Historical FS'!H12/SUM('Historical FS'!H53:H54),0)</f>
        <v>4.5214403678625628</v>
      </c>
      <c r="I38" s="51">
        <f>IFERROR('Historical FS'!I12/SUM('Historical FS'!I53:I54),0)</f>
        <v>6.2487852671963351</v>
      </c>
      <c r="J38" s="51">
        <f>IFERROR('Historical FS'!J12/SUM('Historical FS'!J53:J54),0)</f>
        <v>7.6335680916398054</v>
      </c>
      <c r="K38" s="51">
        <f>IFERROR('Historical FS'!K12/SUM('Historical FS'!K53:K54),0)</f>
        <v>5.1110012011587651</v>
      </c>
      <c r="L38" s="51">
        <f>IFERROR('Historical FS'!L12/SUM('Historical FS'!L53:L54),0)</f>
        <v>3.7857745557239291</v>
      </c>
      <c r="M38" s="57"/>
      <c r="N38" s="51">
        <f t="shared" si="2"/>
        <v>4.7615100126246501</v>
      </c>
      <c r="O38" s="51">
        <f t="shared" si="3"/>
        <v>4.5831773929542745</v>
      </c>
    </row>
    <row r="39" spans="2:15">
      <c r="B39" s="43"/>
      <c r="C39" s="42"/>
      <c r="D39" s="42"/>
      <c r="E39" s="42"/>
      <c r="F39" s="42"/>
      <c r="G39" s="42"/>
      <c r="H39" s="42"/>
      <c r="I39" s="42"/>
      <c r="J39" s="42"/>
      <c r="K39" s="42"/>
      <c r="L39" s="42"/>
      <c r="N39" s="5"/>
      <c r="O39" s="56"/>
    </row>
    <row r="40" spans="2:15">
      <c r="B40" s="49" t="s">
        <v>46</v>
      </c>
      <c r="C40" s="53">
        <f>IFERROR(365/C34,0)</f>
        <v>18.141226776772818</v>
      </c>
      <c r="D40" s="53">
        <f t="shared" ref="D40:L40" si="6">IFERROR(365/D34,0)</f>
        <v>19.049753180019717</v>
      </c>
      <c r="E40" s="53">
        <f t="shared" si="6"/>
        <v>24.904964999543136</v>
      </c>
      <c r="F40" s="53">
        <f t="shared" si="6"/>
        <v>22.963631157878556</v>
      </c>
      <c r="G40" s="53">
        <f t="shared" si="6"/>
        <v>15.620575170519771</v>
      </c>
      <c r="H40" s="53">
        <f t="shared" si="6"/>
        <v>18.52666719376608</v>
      </c>
      <c r="I40" s="53">
        <f t="shared" si="6"/>
        <v>16.309264717046954</v>
      </c>
      <c r="J40" s="53">
        <f t="shared" si="6"/>
        <v>16.603778823163378</v>
      </c>
      <c r="K40" s="53">
        <f t="shared" si="6"/>
        <v>14.256340780063407</v>
      </c>
      <c r="L40" s="53">
        <f t="shared" si="6"/>
        <v>10.997441408248902</v>
      </c>
      <c r="M40" s="56"/>
      <c r="N40" s="53">
        <f t="shared" si="2"/>
        <v>17.737364420702271</v>
      </c>
      <c r="O40" s="53">
        <f t="shared" si="3"/>
        <v>17.372502799968096</v>
      </c>
    </row>
    <row r="41" spans="2:15">
      <c r="B41" s="43" t="s">
        <v>179</v>
      </c>
      <c r="C41" s="54">
        <f>IFERROR(365/C35,0)</f>
        <v>153.55745981623585</v>
      </c>
      <c r="D41" s="54">
        <f t="shared" ref="D41:L41" si="7">IFERROR(365/D35,0)</f>
        <v>183.94574194885871</v>
      </c>
      <c r="E41" s="54">
        <f t="shared" si="7"/>
        <v>178.79202925682029</v>
      </c>
      <c r="F41" s="54">
        <f t="shared" si="7"/>
        <v>168.45235766633192</v>
      </c>
      <c r="G41" s="54">
        <f t="shared" si="7"/>
        <v>184.98755439052903</v>
      </c>
      <c r="H41" s="54">
        <f t="shared" si="7"/>
        <v>210.69420514242194</v>
      </c>
      <c r="I41" s="54">
        <f t="shared" si="7"/>
        <v>180.95902398395825</v>
      </c>
      <c r="J41" s="54">
        <f t="shared" si="7"/>
        <v>163.77953074537726</v>
      </c>
      <c r="K41" s="54">
        <f t="shared" si="7"/>
        <v>149.13905247732802</v>
      </c>
      <c r="L41" s="54">
        <f t="shared" si="7"/>
        <v>157.13275111156597</v>
      </c>
      <c r="N41" s="54">
        <f t="shared" si="2"/>
        <v>173.14397065394274</v>
      </c>
      <c r="O41" s="54">
        <f t="shared" si="3"/>
        <v>173.6221934615761</v>
      </c>
    </row>
    <row r="42" spans="2:15">
      <c r="B42" s="43" t="s">
        <v>180</v>
      </c>
      <c r="C42" s="54">
        <f>IFERROR(365/C36,0)</f>
        <v>43.653299851746382</v>
      </c>
      <c r="D42" s="54">
        <f t="shared" ref="D42:L42" si="8">IFERROR(365/D36,0)</f>
        <v>47.484218786795374</v>
      </c>
      <c r="E42" s="54">
        <f t="shared" si="8"/>
        <v>52.753248596949661</v>
      </c>
      <c r="F42" s="54">
        <f t="shared" si="8"/>
        <v>47.161975588398164</v>
      </c>
      <c r="G42" s="54">
        <f t="shared" si="8"/>
        <v>52.368588915752468</v>
      </c>
      <c r="H42" s="54">
        <f t="shared" si="8"/>
        <v>52.732634893247351</v>
      </c>
      <c r="I42" s="54">
        <f t="shared" si="8"/>
        <v>46.193416698982041</v>
      </c>
      <c r="J42" s="54">
        <f t="shared" si="8"/>
        <v>42.997507392107408</v>
      </c>
      <c r="K42" s="54">
        <f t="shared" si="8"/>
        <v>40.188887045638872</v>
      </c>
      <c r="L42" s="54">
        <f t="shared" si="8"/>
        <v>39.238983841071651</v>
      </c>
      <c r="N42" s="54">
        <f t="shared" si="2"/>
        <v>46.477276161068936</v>
      </c>
      <c r="O42" s="54">
        <f t="shared" si="3"/>
        <v>46.677696143690099</v>
      </c>
    </row>
    <row r="43" spans="2:15">
      <c r="B43" s="50" t="s">
        <v>181</v>
      </c>
      <c r="C43" s="55">
        <f>SUM(C40,C42)-C41</f>
        <v>-91.762933187716641</v>
      </c>
      <c r="D43" s="55">
        <f t="shared" ref="D43:L43" si="9">SUM(D40,D42)-D41</f>
        <v>-117.41176998204362</v>
      </c>
      <c r="E43" s="55">
        <f t="shared" si="9"/>
        <v>-101.13381566032749</v>
      </c>
      <c r="F43" s="55">
        <f t="shared" si="9"/>
        <v>-98.326750920055204</v>
      </c>
      <c r="G43" s="55">
        <f t="shared" si="9"/>
        <v>-116.99839030425679</v>
      </c>
      <c r="H43" s="55">
        <f t="shared" si="9"/>
        <v>-139.43490305540851</v>
      </c>
      <c r="I43" s="55">
        <f t="shared" si="9"/>
        <v>-118.45634256792925</v>
      </c>
      <c r="J43" s="55">
        <f t="shared" si="9"/>
        <v>-104.17824453010647</v>
      </c>
      <c r="K43" s="55">
        <f t="shared" si="9"/>
        <v>-94.693824651625746</v>
      </c>
      <c r="L43" s="55">
        <f t="shared" si="9"/>
        <v>-106.89632586224542</v>
      </c>
      <c r="M43" s="57"/>
      <c r="N43" s="55">
        <f t="shared" si="2"/>
        <v>-108.92933007217152</v>
      </c>
      <c r="O43" s="55">
        <f t="shared" si="3"/>
        <v>-105.53728519617594</v>
      </c>
    </row>
    <row r="44" spans="2:15">
      <c r="N44" s="5"/>
      <c r="O44" s="56"/>
    </row>
    <row r="45" spans="2:15">
      <c r="B45" s="49" t="s">
        <v>182</v>
      </c>
      <c r="C45" s="44">
        <f>IFERROR('Historical FS'!C76/'Historical FS'!C12,0)</f>
        <v>0.13880296917437968</v>
      </c>
      <c r="D45" s="44">
        <f>IFERROR('Historical FS'!D76/'Historical FS'!D12,0)</f>
        <v>0.11197659883101685</v>
      </c>
      <c r="E45" s="44">
        <f>IFERROR('Historical FS'!E76/'Historical FS'!E12,0)</f>
        <v>8.1829465689783804E-2</v>
      </c>
      <c r="F45" s="44">
        <f>IFERROR('Historical FS'!F76/'Historical FS'!F12,0)</f>
        <v>6.2564913902968283E-2</v>
      </c>
      <c r="G45" s="44">
        <f>IFERROR('Historical FS'!G76/'Historical FS'!G12,0)</f>
        <v>0.10201534872316967</v>
      </c>
      <c r="H45" s="44">
        <f>IFERROR('Historical FS'!H76/'Historical FS'!H12,0)</f>
        <v>0.11609735592921788</v>
      </c>
      <c r="I45" s="44">
        <f>IFERROR('Historical FS'!I76/'Historical FS'!I12,0)</f>
        <v>5.1293389541856201E-2</v>
      </c>
      <c r="J45" s="44">
        <f>IFERROR('Historical FS'!J76/'Historical FS'!J12,0)</f>
        <v>0.1022872501383586</v>
      </c>
      <c r="K45" s="44">
        <f>IFERROR('Historical FS'!K76/'Historical FS'!K12,0)</f>
        <v>0.15648040625230406</v>
      </c>
      <c r="L45" s="44">
        <f>IFERROR('Historical FS'!L76/'Historical FS'!L12,0)</f>
        <v>0.14351311704704398</v>
      </c>
      <c r="M45" s="56"/>
      <c r="N45" s="44">
        <f t="shared" si="2"/>
        <v>0.10668608152300992</v>
      </c>
      <c r="O45" s="44">
        <f t="shared" si="3"/>
        <v>0.10713192448468772</v>
      </c>
    </row>
    <row r="46" spans="2:15">
      <c r="B46" s="43" t="s">
        <v>183</v>
      </c>
      <c r="C46" s="5">
        <f>IFERROR('Historical FS'!C76/'Historical FS'!C70,0)</f>
        <v>0.14400390114722728</v>
      </c>
      <c r="D46" s="5">
        <f>IFERROR('Historical FS'!D76/'Historical FS'!D70,0)</f>
        <v>0.11079026383265471</v>
      </c>
      <c r="E46" s="5">
        <f>IFERROR('Historical FS'!E76/'Historical FS'!E70,0)</f>
        <v>7.2915700426609081E-2</v>
      </c>
      <c r="F46" s="5">
        <f>IFERROR('Historical FS'!F76/'Historical FS'!F70,0)</f>
        <v>6.1794355046453676E-2</v>
      </c>
      <c r="G46" s="5">
        <f>IFERROR('Historical FS'!G76/'Historical FS'!G70,0)</f>
        <v>8.3181306579414735E-2</v>
      </c>
      <c r="H46" s="5">
        <f>IFERROR('Historical FS'!H76/'Historical FS'!H70,0)</f>
        <v>8.4903585330452558E-2</v>
      </c>
      <c r="I46" s="5">
        <f>IFERROR('Historical FS'!I76/'Historical FS'!I70,0)</f>
        <v>4.3404744809245228E-2</v>
      </c>
      <c r="J46" s="5">
        <f>IFERROR('Historical FS'!J76/'Historical FS'!J70,0)</f>
        <v>0.10573861289612117</v>
      </c>
      <c r="K46" s="5">
        <f>IFERROR('Historical FS'!K76/'Historical FS'!K70,0)</f>
        <v>0.18379199017105929</v>
      </c>
      <c r="L46" s="5">
        <f>IFERROR('Historical FS'!L76/'Historical FS'!L70,0)</f>
        <v>0.1673912985810655</v>
      </c>
      <c r="N46" s="5">
        <f t="shared" si="2"/>
        <v>0.10579157588203034</v>
      </c>
      <c r="O46" s="5">
        <f t="shared" si="3"/>
        <v>9.5321099113286872E-2</v>
      </c>
    </row>
    <row r="47" spans="2:15">
      <c r="B47" s="50" t="s">
        <v>184</v>
      </c>
      <c r="C47" s="45">
        <f>IFERROR('Historical FS'!C76/'Historical FS'!C55,0)</f>
        <v>0.54641813518923599</v>
      </c>
      <c r="D47" s="45">
        <f>IFERROR('Historical FS'!D76/'Historical FS'!D55,0)</f>
        <v>0.38419492244540293</v>
      </c>
      <c r="E47" s="45">
        <f>IFERROR('Historical FS'!E76/'Historical FS'!E55,0)</f>
        <v>0.26821016235214945</v>
      </c>
      <c r="F47" s="45">
        <f>IFERROR('Historical FS'!F76/'Historical FS'!F55,0)</f>
        <v>0.17792031558363741</v>
      </c>
      <c r="G47" s="45">
        <f>IFERROR('Historical FS'!G76/'Historical FS'!G55,0)</f>
        <v>0.21342610534184314</v>
      </c>
      <c r="H47" s="45">
        <f>IFERROR('Historical FS'!H76/'Historical FS'!H55,0)</f>
        <v>0.20404132622559662</v>
      </c>
      <c r="I47" s="45">
        <f>IFERROR('Historical FS'!I76/'Historical FS'!I55,0)</f>
        <v>9.7527651770721868E-2</v>
      </c>
      <c r="J47" s="45">
        <f>IFERROR('Historical FS'!J76/'Historical FS'!J55,0)</f>
        <v>0.26386624636576322</v>
      </c>
      <c r="K47" s="45">
        <f>IFERROR('Historical FS'!K76/'Historical FS'!K55,0)</f>
        <v>0.63315744331742241</v>
      </c>
      <c r="L47" s="45">
        <f>IFERROR('Historical FS'!L76/'Historical FS'!L55,0)</f>
        <v>0.88205199888174446</v>
      </c>
      <c r="M47" s="57"/>
      <c r="N47" s="45">
        <f t="shared" si="2"/>
        <v>0.36708143074735172</v>
      </c>
      <c r="O47" s="45">
        <f t="shared" si="3"/>
        <v>0.26603820435895631</v>
      </c>
    </row>
  </sheetData>
  <mergeCells count="1">
    <mergeCell ref="B9:O9"/>
  </mergeCells>
  <pageMargins left="0.7" right="0.7" top="0.75" bottom="0.75" header="0.3" footer="0.3"/>
  <pageSetup scale="51" orientation="portrait" r:id="rId1"/>
  <drawing r:id="rId2"/>
  <extLst>
    <ext xmlns:x14="http://schemas.microsoft.com/office/spreadsheetml/2009/9/main" uri="{05C60535-1F16-4fd2-B633-F4F36F0B64E0}">
      <x14:sparklineGroups xmlns:xm="http://schemas.microsoft.com/office/excel/2006/main">
        <x14:sparklineGroup displayEmptyCellsAs="gap" xr2:uid="{14F56AF5-2441-4EF6-8937-28A90ADE11B6}">
          <x14:colorSeries rgb="FF376092"/>
          <x14:colorNegative rgb="FFD00000"/>
          <x14:colorAxis rgb="FF000000"/>
          <x14:colorMarkers rgb="FFD00000"/>
          <x14:colorFirst rgb="FFD00000"/>
          <x14:colorLast rgb="FFD00000"/>
          <x14:colorHigh rgb="FFD00000"/>
          <x14:colorLow rgb="FFD00000"/>
          <x14:sparklines>
            <x14:sparkline>
              <xm:f>'Ratio Analysis'!C18:L18</xm:f>
              <xm:sqref>M18</xm:sqref>
            </x14:sparkline>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
              <xm:f>'Ratio Analysis'!C43:L43</xm:f>
              <xm:sqref>M43</xm:sqref>
            </x14:sparkline>
            <x14:sparkline>
              <xm:f>'Ratio Analysis'!C44:L44</xm:f>
              <xm:sqref>M44</xm:sqref>
            </x14:sparkline>
            <x14:sparkline>
              <xm:f>'Ratio Analysis'!C45:L45</xm:f>
              <xm:sqref>M45</xm:sqref>
            </x14:sparkline>
            <x14:sparkline>
              <xm:f>'Ratio Analysis'!C46:L46</xm:f>
              <xm:sqref>M46</xm:sqref>
            </x14:sparkline>
            <x14:sparkline>
              <xm:f>'Ratio Analysis'!C47:L47</xm:f>
              <xm:sqref>M47</xm:sqref>
            </x14:sparkline>
          </x14:sparklines>
        </x14:sparklineGroup>
        <x14:sparklineGroup displayEmptyCellsAs="gap" xr2:uid="{BE0D7FCD-1FA8-49B0-B8E4-AF549942E908}">
          <x14:colorSeries rgb="FF376092"/>
          <x14:colorNegative rgb="FFD00000"/>
          <x14:colorAxis rgb="FF000000"/>
          <x14:colorMarkers rgb="FFD00000"/>
          <x14:colorFirst rgb="FFD00000"/>
          <x14:colorLast rgb="FFD00000"/>
          <x14:colorHigh rgb="FFD00000"/>
          <x14:colorLow rgb="FFD00000"/>
          <x14:sparklines>
            <x14:sparkline>
              <xm:f>'Ratio Analysis'!D12:L12</xm:f>
              <xm:sqref>M12</xm:sqref>
            </x14:sparkline>
            <x14:sparkline>
              <xm:f>'Ratio Analysis'!D13:L13</xm:f>
              <xm:sqref>M13</xm:sqref>
            </x14:sparkline>
            <x14:sparkline>
              <xm:f>'Ratio Analysis'!D14:L14</xm:f>
              <xm:sqref>M14</xm:sqref>
            </x14:sparkline>
            <x14:sparkline>
              <xm:f>'Ratio Analysis'!D15:L15</xm:f>
              <xm:sqref>M15</xm:sqref>
            </x14:sparkline>
            <x14:sparkline>
              <xm:f>'Ratio Analysis'!D16:L16</xm:f>
              <xm:sqref>M16</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1B43C-B0D8-492B-BFFA-95B9EE436CDD}">
  <sheetPr codeName="Sheet18">
    <pageSetUpPr fitToPage="1"/>
  </sheetPr>
  <dimension ref="A1:O60"/>
  <sheetViews>
    <sheetView showGridLines="0" zoomScale="68" workbookViewId="0">
      <selection sqref="A1:O61"/>
    </sheetView>
  </sheetViews>
  <sheetFormatPr defaultRowHeight="14.5"/>
  <cols>
    <col min="1" max="1" width="1.90625" customWidth="1"/>
    <col min="2" max="2" width="11" bestFit="1" customWidth="1"/>
    <col min="3" max="3" width="10.36328125" customWidth="1"/>
    <col min="4" max="4" width="13.26953125" customWidth="1"/>
    <col min="5" max="5" width="12.90625" customWidth="1"/>
    <col min="6" max="6" width="6.36328125" customWidth="1"/>
    <col min="7" max="7" width="11" bestFit="1" customWidth="1"/>
    <col min="8" max="8" width="8.26953125" customWidth="1"/>
    <col min="9" max="9" width="13.1796875" customWidth="1"/>
    <col min="10" max="10" width="14.36328125" customWidth="1"/>
    <col min="12" max="12" width="11.7265625" customWidth="1"/>
    <col min="13" max="13" width="9.54296875" customWidth="1"/>
    <col min="14" max="14" width="4.36328125" customWidth="1"/>
    <col min="15" max="15" width="8.984375E-2" customWidth="1"/>
    <col min="16" max="16" width="4.26953125" customWidth="1"/>
  </cols>
  <sheetData>
    <row r="1" spans="1:15">
      <c r="A1" s="273"/>
      <c r="B1" s="361"/>
      <c r="C1" s="361"/>
      <c r="D1" s="361"/>
      <c r="E1" s="361"/>
      <c r="F1" s="361"/>
      <c r="G1" s="361"/>
      <c r="H1" s="361"/>
      <c r="I1" s="361"/>
      <c r="J1" s="93"/>
      <c r="K1" s="93"/>
      <c r="L1" s="93"/>
      <c r="M1" s="93"/>
      <c r="N1" s="48"/>
      <c r="O1" s="48"/>
    </row>
    <row r="2" spans="1:15" ht="25.5" customHeight="1">
      <c r="A2" s="273"/>
      <c r="B2" s="362" t="str">
        <f>'Data Sheet'!B1</f>
        <v>TATA MOTORS LTD</v>
      </c>
      <c r="C2" s="273"/>
      <c r="D2" s="273"/>
      <c r="E2" s="273"/>
      <c r="F2" s="273"/>
      <c r="G2" s="273"/>
      <c r="H2" s="273"/>
      <c r="I2" s="273"/>
      <c r="N2" s="48"/>
      <c r="O2" s="48"/>
    </row>
    <row r="3" spans="1:15">
      <c r="A3" s="273"/>
      <c r="B3" s="274" t="s">
        <v>460</v>
      </c>
      <c r="C3" s="273"/>
      <c r="D3" s="273"/>
      <c r="E3" s="273"/>
      <c r="F3" s="273"/>
      <c r="G3" s="273"/>
      <c r="H3" s="273"/>
      <c r="I3" s="273"/>
    </row>
    <row r="4" spans="1:15" ht="18.5">
      <c r="A4" s="273"/>
      <c r="B4" s="363" t="s">
        <v>461</v>
      </c>
      <c r="C4" s="273"/>
      <c r="D4" s="273"/>
      <c r="E4" s="273"/>
      <c r="F4" s="273"/>
      <c r="G4" s="273"/>
      <c r="H4" s="273"/>
      <c r="I4" s="273"/>
    </row>
    <row r="5" spans="1:15">
      <c r="A5" s="273"/>
      <c r="B5" s="279" t="s">
        <v>463</v>
      </c>
      <c r="C5" s="273"/>
      <c r="D5" s="273"/>
      <c r="E5" s="273"/>
      <c r="F5" s="273"/>
      <c r="G5" s="273"/>
      <c r="H5" s="273"/>
      <c r="I5" s="273"/>
    </row>
    <row r="6" spans="1:15" ht="4" customHeight="1" thickBot="1">
      <c r="A6" s="273"/>
      <c r="B6" s="393"/>
      <c r="C6" s="393"/>
      <c r="D6" s="393"/>
      <c r="E6" s="393"/>
      <c r="F6" s="393"/>
      <c r="G6" s="393"/>
      <c r="H6" s="393"/>
      <c r="I6" s="393"/>
      <c r="J6" s="397"/>
      <c r="K6" s="397"/>
      <c r="L6" s="397"/>
      <c r="M6" s="397"/>
    </row>
    <row r="7" spans="1:15" ht="6.5" customHeight="1"/>
    <row r="8" spans="1:15">
      <c r="B8" s="437" t="str">
        <f>'Data Sheet'!B1&amp;" - "&amp;'Data Sheet'!A17&amp;" Forecasting"</f>
        <v>TATA MOTORS LTD - Sales Forecasting</v>
      </c>
      <c r="C8" s="437"/>
      <c r="D8" s="437"/>
      <c r="E8" s="437"/>
      <c r="G8" s="437"/>
      <c r="H8" s="437"/>
      <c r="I8" s="437"/>
      <c r="J8" s="437"/>
      <c r="L8" s="437"/>
      <c r="M8" s="437"/>
      <c r="N8" s="437"/>
      <c r="O8" s="437"/>
    </row>
    <row r="9" spans="1:15">
      <c r="B9" s="225" t="s">
        <v>192</v>
      </c>
      <c r="C9" s="350" t="s">
        <v>193</v>
      </c>
      <c r="D9" s="350" t="s">
        <v>6</v>
      </c>
      <c r="E9" s="350" t="s">
        <v>22</v>
      </c>
      <c r="G9" s="402"/>
      <c r="H9" s="401"/>
      <c r="I9" s="401"/>
      <c r="J9" s="401"/>
      <c r="K9" s="48"/>
      <c r="L9" s="402"/>
      <c r="M9" s="401"/>
      <c r="N9" s="401"/>
      <c r="O9" s="401"/>
    </row>
    <row r="10" spans="1:15">
      <c r="B10" s="20">
        <v>1</v>
      </c>
      <c r="C10" s="59">
        <f>'Data Sheet'!$B$16</f>
        <v>42460</v>
      </c>
      <c r="D10" s="67">
        <f t="array" ref="D10:D19">TRANSPOSE('Data Sheet'!B17:K17)</f>
        <v>273045.59999999998</v>
      </c>
      <c r="E10" s="5"/>
      <c r="G10" s="403"/>
      <c r="H10" s="404"/>
      <c r="I10" s="405"/>
      <c r="J10" s="406"/>
      <c r="K10" s="48"/>
      <c r="L10" s="403"/>
      <c r="M10" s="404"/>
      <c r="N10" s="405"/>
      <c r="O10" s="406"/>
    </row>
    <row r="11" spans="1:15">
      <c r="B11" s="20">
        <f>B10+1</f>
        <v>2</v>
      </c>
      <c r="C11" s="59">
        <f>C10+365</f>
        <v>42825</v>
      </c>
      <c r="D11" s="67">
        <v>269692.51</v>
      </c>
      <c r="E11" s="5">
        <f>D11/D10-1</f>
        <v>-1.2280329732469508E-2</v>
      </c>
      <c r="G11" s="403"/>
      <c r="H11" s="404"/>
      <c r="I11" s="405"/>
      <c r="J11" s="406"/>
      <c r="K11" s="48"/>
      <c r="L11" s="403"/>
      <c r="M11" s="404"/>
      <c r="N11" s="405"/>
      <c r="O11" s="406"/>
    </row>
    <row r="12" spans="1:15">
      <c r="B12" s="20">
        <f t="shared" ref="B12:B24" si="0">B11+1</f>
        <v>3</v>
      </c>
      <c r="C12" s="59">
        <f t="shared" ref="C12:C24" si="1">C11+365</f>
        <v>43190</v>
      </c>
      <c r="D12" s="67">
        <v>291550.48</v>
      </c>
      <c r="E12" s="5">
        <f t="shared" ref="E12:E24" si="2">D12/D11-1</f>
        <v>8.104774581985974E-2</v>
      </c>
      <c r="G12" s="403"/>
      <c r="H12" s="404"/>
      <c r="I12" s="405"/>
      <c r="J12" s="406"/>
      <c r="K12" s="48"/>
      <c r="L12" s="403"/>
      <c r="M12" s="404"/>
      <c r="N12" s="405"/>
      <c r="O12" s="406"/>
    </row>
    <row r="13" spans="1:15">
      <c r="B13" s="20">
        <f t="shared" si="0"/>
        <v>4</v>
      </c>
      <c r="C13" s="59">
        <f t="shared" si="1"/>
        <v>43555</v>
      </c>
      <c r="D13" s="67">
        <v>301938.40000000002</v>
      </c>
      <c r="E13" s="5">
        <f t="shared" si="2"/>
        <v>3.5629919045237157E-2</v>
      </c>
      <c r="G13" s="403"/>
      <c r="H13" s="404"/>
      <c r="I13" s="405"/>
      <c r="J13" s="406"/>
      <c r="K13" s="48"/>
      <c r="L13" s="403"/>
      <c r="M13" s="404"/>
      <c r="N13" s="405"/>
      <c r="O13" s="406"/>
    </row>
    <row r="14" spans="1:15">
      <c r="B14" s="20">
        <f t="shared" si="0"/>
        <v>5</v>
      </c>
      <c r="C14" s="59">
        <f t="shared" si="1"/>
        <v>43920</v>
      </c>
      <c r="D14" s="67">
        <v>261067.97</v>
      </c>
      <c r="E14" s="5">
        <f t="shared" si="2"/>
        <v>-0.135360159555724</v>
      </c>
      <c r="G14" s="403"/>
      <c r="H14" s="404"/>
      <c r="I14" s="405"/>
      <c r="J14" s="406"/>
      <c r="K14" s="48"/>
      <c r="L14" s="403"/>
      <c r="M14" s="404"/>
      <c r="N14" s="405"/>
      <c r="O14" s="406"/>
    </row>
    <row r="15" spans="1:15">
      <c r="B15" s="20">
        <f t="shared" si="0"/>
        <v>6</v>
      </c>
      <c r="C15" s="59">
        <f t="shared" si="1"/>
        <v>44285</v>
      </c>
      <c r="D15" s="67">
        <v>249794.75</v>
      </c>
      <c r="E15" s="5">
        <f t="shared" si="2"/>
        <v>-4.3181168490336042E-2</v>
      </c>
      <c r="G15" s="403"/>
      <c r="H15" s="404"/>
      <c r="I15" s="405"/>
      <c r="J15" s="406"/>
      <c r="K15" s="48"/>
      <c r="L15" s="403"/>
      <c r="M15" s="404"/>
      <c r="N15" s="405"/>
      <c r="O15" s="406"/>
    </row>
    <row r="16" spans="1:15">
      <c r="B16" s="20">
        <f t="shared" si="0"/>
        <v>7</v>
      </c>
      <c r="C16" s="59">
        <f t="shared" si="1"/>
        <v>44650</v>
      </c>
      <c r="D16" s="67">
        <v>278453.62</v>
      </c>
      <c r="E16" s="5">
        <f t="shared" si="2"/>
        <v>0.11472967306158344</v>
      </c>
      <c r="G16" s="403"/>
      <c r="H16" s="404"/>
      <c r="I16" s="405"/>
      <c r="J16" s="406"/>
      <c r="K16" s="48"/>
      <c r="L16" s="403"/>
      <c r="M16" s="404"/>
      <c r="N16" s="405"/>
      <c r="O16" s="406"/>
    </row>
    <row r="17" spans="2:15">
      <c r="B17" s="20">
        <f t="shared" si="0"/>
        <v>8</v>
      </c>
      <c r="C17" s="59">
        <f t="shared" si="1"/>
        <v>45015</v>
      </c>
      <c r="D17" s="67">
        <v>345966.97</v>
      </c>
      <c r="E17" s="5">
        <f t="shared" si="2"/>
        <v>0.24245815155859707</v>
      </c>
      <c r="G17" s="403"/>
      <c r="H17" s="404"/>
      <c r="I17" s="405"/>
      <c r="J17" s="406"/>
      <c r="K17" s="48"/>
      <c r="L17" s="403"/>
      <c r="M17" s="404"/>
      <c r="N17" s="405"/>
      <c r="O17" s="406"/>
    </row>
    <row r="18" spans="2:15">
      <c r="B18" s="20">
        <f t="shared" si="0"/>
        <v>9</v>
      </c>
      <c r="C18" s="59">
        <f t="shared" si="1"/>
        <v>45380</v>
      </c>
      <c r="D18" s="67">
        <v>434016</v>
      </c>
      <c r="E18" s="5">
        <f t="shared" si="2"/>
        <v>0.25450126062612277</v>
      </c>
      <c r="G18" s="403"/>
      <c r="H18" s="404"/>
      <c r="I18" s="405"/>
      <c r="J18" s="406"/>
      <c r="K18" s="48"/>
      <c r="L18" s="403"/>
      <c r="M18" s="404"/>
      <c r="N18" s="405"/>
      <c r="O18" s="406"/>
    </row>
    <row r="19" spans="2:15">
      <c r="B19" s="20">
        <f t="shared" si="0"/>
        <v>10</v>
      </c>
      <c r="C19" s="59">
        <f t="shared" si="1"/>
        <v>45745</v>
      </c>
      <c r="D19" s="67">
        <v>439695</v>
      </c>
      <c r="E19" s="5">
        <f t="shared" si="2"/>
        <v>1.3084771068347711E-2</v>
      </c>
      <c r="G19" s="403"/>
      <c r="H19" s="404"/>
      <c r="I19" s="405"/>
      <c r="J19" s="406"/>
      <c r="K19" s="48"/>
      <c r="L19" s="403"/>
      <c r="M19" s="404"/>
      <c r="N19" s="405"/>
      <c r="O19" s="406"/>
    </row>
    <row r="20" spans="2:15">
      <c r="B20" s="68">
        <f t="shared" si="0"/>
        <v>11</v>
      </c>
      <c r="C20" s="69">
        <f t="shared" si="1"/>
        <v>46110</v>
      </c>
      <c r="D20" s="70">
        <f>FORECAST(B20,$D$10:$D$19,$B$10:$B$19)</f>
        <v>409204.26066666667</v>
      </c>
      <c r="E20" s="71">
        <f t="shared" si="2"/>
        <v>-6.9345203682855905E-2</v>
      </c>
      <c r="G20" s="403"/>
      <c r="H20" s="407"/>
      <c r="I20" s="405"/>
      <c r="J20" s="406"/>
      <c r="K20" s="48"/>
      <c r="L20" s="403"/>
      <c r="M20" s="407"/>
      <c r="N20" s="405"/>
      <c r="O20" s="406"/>
    </row>
    <row r="21" spans="2:15">
      <c r="B21" s="68">
        <f t="shared" si="0"/>
        <v>12</v>
      </c>
      <c r="C21" s="69">
        <f t="shared" si="1"/>
        <v>46475</v>
      </c>
      <c r="D21" s="70">
        <f t="shared" ref="D21:D24" si="3">FORECAST(B21,$D$10:$D$19,$B$10:$B$19)</f>
        <v>426419.19351515151</v>
      </c>
      <c r="E21" s="71">
        <f t="shared" si="2"/>
        <v>4.206929033543938E-2</v>
      </c>
      <c r="G21" s="403"/>
      <c r="H21" s="407"/>
      <c r="I21" s="405"/>
      <c r="J21" s="406"/>
      <c r="K21" s="48"/>
      <c r="L21" s="403"/>
      <c r="M21" s="407"/>
      <c r="N21" s="405"/>
      <c r="O21" s="406"/>
    </row>
    <row r="22" spans="2:15">
      <c r="B22" s="68">
        <f t="shared" si="0"/>
        <v>13</v>
      </c>
      <c r="C22" s="69">
        <f t="shared" si="1"/>
        <v>46840</v>
      </c>
      <c r="D22" s="70">
        <f>FORECAST(B22,$D$10:$D$19,$B$10:$B$19)</f>
        <v>443634.12636363634</v>
      </c>
      <c r="E22" s="71">
        <f t="shared" si="2"/>
        <v>4.0370914607700925E-2</v>
      </c>
      <c r="G22" s="403"/>
      <c r="H22" s="407"/>
      <c r="I22" s="405"/>
      <c r="J22" s="406"/>
      <c r="K22" s="48"/>
      <c r="L22" s="403"/>
      <c r="M22" s="407"/>
      <c r="N22" s="405"/>
      <c r="O22" s="406"/>
    </row>
    <row r="23" spans="2:15">
      <c r="B23" s="68">
        <f t="shared" si="0"/>
        <v>14</v>
      </c>
      <c r="C23" s="69">
        <f t="shared" si="1"/>
        <v>47205</v>
      </c>
      <c r="D23" s="70">
        <f t="shared" si="3"/>
        <v>460849.05921212118</v>
      </c>
      <c r="E23" s="71">
        <f t="shared" si="2"/>
        <v>3.8804347604165512E-2</v>
      </c>
      <c r="G23" s="403"/>
      <c r="H23" s="407"/>
      <c r="I23" s="405"/>
      <c r="J23" s="406"/>
      <c r="K23" s="48"/>
      <c r="L23" s="403"/>
      <c r="M23" s="407"/>
      <c r="N23" s="405"/>
      <c r="O23" s="406"/>
    </row>
    <row r="24" spans="2:15">
      <c r="B24" s="68">
        <f t="shared" si="0"/>
        <v>15</v>
      </c>
      <c r="C24" s="69">
        <f t="shared" si="1"/>
        <v>47570</v>
      </c>
      <c r="D24" s="70">
        <f t="shared" si="3"/>
        <v>478063.99206060608</v>
      </c>
      <c r="E24" s="71">
        <f t="shared" si="2"/>
        <v>3.7354818252023803E-2</v>
      </c>
      <c r="G24" s="403"/>
      <c r="H24" s="407"/>
      <c r="I24" s="405"/>
      <c r="J24" s="406"/>
      <c r="K24" s="48"/>
      <c r="L24" s="403"/>
      <c r="M24" s="407"/>
      <c r="N24" s="405"/>
      <c r="O24" s="406"/>
    </row>
    <row r="26" spans="2:15">
      <c r="B26" s="437" t="str">
        <f>'Data Sheet'!B1&amp;" - "&amp;'Historical FS'!B44&amp;" Forecasting"</f>
        <v>TATA MOTORS LTD - Earnings Per Share Forecasting</v>
      </c>
      <c r="C26" s="437"/>
      <c r="D26" s="437"/>
      <c r="E26" s="437"/>
    </row>
    <row r="27" spans="2:15">
      <c r="B27" s="225" t="s">
        <v>192</v>
      </c>
      <c r="C27" s="350" t="s">
        <v>193</v>
      </c>
      <c r="D27" s="350" t="s">
        <v>57</v>
      </c>
      <c r="E27" s="350" t="s">
        <v>225</v>
      </c>
      <c r="H27" s="401" t="s">
        <v>313</v>
      </c>
    </row>
    <row r="28" spans="2:15">
      <c r="B28" s="20">
        <v>1</v>
      </c>
      <c r="C28" s="59">
        <f>'Data Sheet'!$B16</f>
        <v>42460</v>
      </c>
      <c r="D28" s="67">
        <f t="array" ref="D28:D37">TRANSPOSE('Historical FS'!C44:L44)</f>
        <v>47.694444444444336</v>
      </c>
      <c r="E28" s="5"/>
    </row>
    <row r="29" spans="2:15">
      <c r="B29" s="20">
        <f>B28+1</f>
        <v>2</v>
      </c>
      <c r="C29" s="59">
        <f>C28+365</f>
        <v>42825</v>
      </c>
      <c r="D29" s="67">
        <v>14.527274616423707</v>
      </c>
      <c r="E29" s="5">
        <f>D29/D28-1</f>
        <v>-0.69540950134463908</v>
      </c>
    </row>
    <row r="30" spans="2:15">
      <c r="B30" s="20">
        <f t="shared" ref="B30:B42" si="4">B29+1</f>
        <v>3</v>
      </c>
      <c r="C30" s="59">
        <f t="shared" ref="C30:C42" si="5">C29+365</f>
        <v>43190</v>
      </c>
      <c r="D30" s="67">
        <v>3.049111626779315</v>
      </c>
      <c r="E30" s="5">
        <f t="shared" ref="E30:E42" si="6">D30/D29-1</f>
        <v>-0.7901112419715558</v>
      </c>
    </row>
    <row r="31" spans="2:15">
      <c r="B31" s="20">
        <f t="shared" si="4"/>
        <v>4</v>
      </c>
      <c r="C31" s="59">
        <f t="shared" si="5"/>
        <v>43555</v>
      </c>
      <c r="D31" s="67">
        <v>-7.7839157690575265</v>
      </c>
      <c r="E31" s="5">
        <f t="shared" si="6"/>
        <v>-3.5528470983790919</v>
      </c>
    </row>
    <row r="32" spans="2:15">
      <c r="B32" s="20">
        <f t="shared" si="4"/>
        <v>5</v>
      </c>
      <c r="C32" s="59">
        <f t="shared" si="5"/>
        <v>43920</v>
      </c>
      <c r="D32" s="67">
        <v>-35.859307219164904</v>
      </c>
      <c r="E32" s="5">
        <f t="shared" si="6"/>
        <v>3.6068467700681115</v>
      </c>
    </row>
    <row r="33" spans="2:5">
      <c r="B33" s="20">
        <f t="shared" si="4"/>
        <v>6</v>
      </c>
      <c r="C33" s="59">
        <f t="shared" si="5"/>
        <v>44285</v>
      </c>
      <c r="D33" s="67">
        <v>-5.7172845827183663</v>
      </c>
      <c r="E33" s="5">
        <f t="shared" si="6"/>
        <v>-0.84056344011959105</v>
      </c>
    </row>
    <row r="34" spans="2:5">
      <c r="B34" s="20">
        <f t="shared" si="4"/>
        <v>7</v>
      </c>
      <c r="C34" s="59">
        <f t="shared" si="5"/>
        <v>44650</v>
      </c>
      <c r="D34" s="67">
        <v>-41.132140813683918</v>
      </c>
      <c r="E34" s="5">
        <f t="shared" si="6"/>
        <v>6.1943490338077662</v>
      </c>
    </row>
    <row r="35" spans="2:5">
      <c r="B35" s="20">
        <f t="shared" si="4"/>
        <v>8</v>
      </c>
      <c r="C35" s="59">
        <f t="shared" si="5"/>
        <v>45015</v>
      </c>
      <c r="D35" s="67">
        <v>-11.965495438533218</v>
      </c>
      <c r="E35" s="5">
        <f t="shared" si="6"/>
        <v>-0.70909621522659694</v>
      </c>
    </row>
    <row r="36" spans="2:5">
      <c r="B36" s="20">
        <f t="shared" si="4"/>
        <v>9</v>
      </c>
      <c r="C36" s="59">
        <f t="shared" si="5"/>
        <v>45380</v>
      </c>
      <c r="D36" s="67">
        <v>81.279898907843673</v>
      </c>
      <c r="E36" s="5">
        <f t="shared" si="6"/>
        <v>-7.7928569548481077</v>
      </c>
    </row>
    <row r="37" spans="2:5">
      <c r="B37" s="20">
        <f t="shared" si="4"/>
        <v>10</v>
      </c>
      <c r="C37" s="59">
        <f t="shared" si="5"/>
        <v>45745</v>
      </c>
      <c r="D37" s="67">
        <v>44.481569010947219</v>
      </c>
      <c r="E37" s="5">
        <f t="shared" si="6"/>
        <v>-0.45273592107464278</v>
      </c>
    </row>
    <row r="38" spans="2:5">
      <c r="B38" s="68">
        <f t="shared" si="4"/>
        <v>11</v>
      </c>
      <c r="C38" s="69">
        <f t="shared" si="5"/>
        <v>46110</v>
      </c>
      <c r="D38" s="70">
        <f>FORECAST(B38,$D$28:$D$37,$B$28:$B$37)</f>
        <v>18.636642255477042</v>
      </c>
      <c r="E38" s="71">
        <f t="shared" si="6"/>
        <v>-0.58102551978572436</v>
      </c>
    </row>
    <row r="39" spans="2:5">
      <c r="B39" s="68">
        <f t="shared" si="4"/>
        <v>12</v>
      </c>
      <c r="C39" s="69">
        <f t="shared" si="5"/>
        <v>46475</v>
      </c>
      <c r="D39" s="70">
        <f t="shared" ref="D39:D42" si="7">FORECAST(B39,$D$28:$D$37,$B$28:$B$37)</f>
        <v>20.414683487685956</v>
      </c>
      <c r="E39" s="71">
        <f t="shared" si="6"/>
        <v>9.5405664166053006E-2</v>
      </c>
    </row>
    <row r="40" spans="2:5">
      <c r="B40" s="68">
        <f t="shared" si="4"/>
        <v>13</v>
      </c>
      <c r="C40" s="69">
        <f t="shared" si="5"/>
        <v>46840</v>
      </c>
      <c r="D40" s="70">
        <f t="shared" si="7"/>
        <v>22.192724719894869</v>
      </c>
      <c r="E40" s="71">
        <f t="shared" si="6"/>
        <v>8.7096193937144406E-2</v>
      </c>
    </row>
    <row r="41" spans="2:5">
      <c r="B41" s="68">
        <f t="shared" si="4"/>
        <v>14</v>
      </c>
      <c r="C41" s="69">
        <f t="shared" si="5"/>
        <v>47205</v>
      </c>
      <c r="D41" s="70">
        <f t="shared" si="7"/>
        <v>23.970765952103783</v>
      </c>
      <c r="E41" s="71">
        <f t="shared" si="6"/>
        <v>8.0118203359453855E-2</v>
      </c>
    </row>
    <row r="42" spans="2:5">
      <c r="B42" s="68">
        <f t="shared" si="4"/>
        <v>15</v>
      </c>
      <c r="C42" s="69">
        <f t="shared" si="5"/>
        <v>47570</v>
      </c>
      <c r="D42" s="70">
        <f t="shared" si="7"/>
        <v>25.748807184312689</v>
      </c>
      <c r="E42" s="71">
        <f t="shared" si="6"/>
        <v>7.4175403312586097E-2</v>
      </c>
    </row>
    <row r="44" spans="2:5">
      <c r="B44" s="437" t="str">
        <f>'Data Sheet'!B1&amp;" - "&amp;'Historical FS'!B24&amp;" Forecasting"</f>
        <v>TATA MOTORS LTD - EBITDA Forecasting</v>
      </c>
      <c r="C44" s="437"/>
      <c r="D44" s="437"/>
      <c r="E44" s="437"/>
    </row>
    <row r="45" spans="2:5">
      <c r="B45" s="225" t="s">
        <v>192</v>
      </c>
      <c r="C45" s="350" t="s">
        <v>193</v>
      </c>
      <c r="D45" s="350" t="s">
        <v>222</v>
      </c>
      <c r="E45" s="350" t="s">
        <v>223</v>
      </c>
    </row>
    <row r="46" spans="2:5">
      <c r="B46" s="20">
        <v>1</v>
      </c>
      <c r="C46" s="59">
        <f>'Data Sheet'!$B16</f>
        <v>42460</v>
      </c>
      <c r="D46" s="67">
        <f t="array" ref="D46:D55">TRANSPOSE('Historical FS'!C24:L24)</f>
        <v>38395.249999999971</v>
      </c>
      <c r="E46" s="5"/>
    </row>
    <row r="47" spans="2:5">
      <c r="B47" s="20">
        <f>B46+1</f>
        <v>2</v>
      </c>
      <c r="C47" s="59">
        <f>C46+365</f>
        <v>42825</v>
      </c>
      <c r="D47" s="67">
        <v>29588.690000000017</v>
      </c>
      <c r="E47" s="5">
        <f>D47/D46-1</f>
        <v>-0.22936587208052972</v>
      </c>
    </row>
    <row r="48" spans="2:5">
      <c r="B48" s="20">
        <f t="shared" ref="B48:B60" si="8">B47+1</f>
        <v>3</v>
      </c>
      <c r="C48" s="59">
        <f t="shared" ref="C48:C60" si="9">C47+365</f>
        <v>43190</v>
      </c>
      <c r="D48" s="67">
        <v>31457.679999999993</v>
      </c>
      <c r="E48" s="5">
        <f t="shared" ref="E48:E60" si="10">D48/D47-1</f>
        <v>6.3165689322507212E-2</v>
      </c>
    </row>
    <row r="49" spans="2:5">
      <c r="B49" s="20">
        <f t="shared" si="8"/>
        <v>4</v>
      </c>
      <c r="C49" s="59">
        <f t="shared" si="9"/>
        <v>43555</v>
      </c>
      <c r="D49" s="67">
        <v>24664.330000000024</v>
      </c>
      <c r="E49" s="5">
        <f t="shared" si="10"/>
        <v>-0.21595203460649259</v>
      </c>
    </row>
    <row r="50" spans="2:5">
      <c r="B50" s="20">
        <f t="shared" si="8"/>
        <v>5</v>
      </c>
      <c r="C50" s="59">
        <f t="shared" si="9"/>
        <v>43920</v>
      </c>
      <c r="D50" s="67">
        <v>17987.069999999963</v>
      </c>
      <c r="E50" s="5">
        <f t="shared" si="10"/>
        <v>-0.27072537547138131</v>
      </c>
    </row>
    <row r="51" spans="2:5">
      <c r="B51" s="20">
        <f t="shared" si="8"/>
        <v>6</v>
      </c>
      <c r="C51" s="59">
        <f t="shared" si="9"/>
        <v>44285</v>
      </c>
      <c r="D51" s="67">
        <v>32287.430000000018</v>
      </c>
      <c r="E51" s="5">
        <f t="shared" si="10"/>
        <v>0.79503554497759144</v>
      </c>
    </row>
    <row r="52" spans="2:5">
      <c r="B52" s="20">
        <f t="shared" si="8"/>
        <v>7</v>
      </c>
      <c r="C52" s="59">
        <f t="shared" si="9"/>
        <v>44650</v>
      </c>
      <c r="D52" s="67">
        <v>24720.089999999986</v>
      </c>
      <c r="E52" s="5">
        <f t="shared" si="10"/>
        <v>-0.23437418215076355</v>
      </c>
    </row>
    <row r="53" spans="2:5">
      <c r="B53" s="20">
        <f t="shared" si="8"/>
        <v>8</v>
      </c>
      <c r="C53" s="59">
        <f t="shared" si="9"/>
        <v>45015</v>
      </c>
      <c r="D53" s="67">
        <v>31815.799999999959</v>
      </c>
      <c r="E53" s="5">
        <f t="shared" si="10"/>
        <v>0.28704223973294507</v>
      </c>
    </row>
    <row r="54" spans="2:5">
      <c r="B54" s="20">
        <f t="shared" si="8"/>
        <v>9</v>
      </c>
      <c r="C54" s="59">
        <f t="shared" si="9"/>
        <v>45380</v>
      </c>
      <c r="D54" s="67">
        <v>57824</v>
      </c>
      <c r="E54" s="5">
        <f t="shared" si="10"/>
        <v>0.81746176428064277</v>
      </c>
    </row>
    <row r="55" spans="2:5">
      <c r="B55" s="20">
        <f t="shared" si="8"/>
        <v>10</v>
      </c>
      <c r="C55" s="59">
        <f t="shared" si="9"/>
        <v>45745</v>
      </c>
      <c r="D55" s="67">
        <v>55216</v>
      </c>
      <c r="E55" s="5">
        <f t="shared" si="10"/>
        <v>-4.510237963475372E-2</v>
      </c>
    </row>
    <row r="56" spans="2:5">
      <c r="B56" s="68">
        <f t="shared" si="8"/>
        <v>11</v>
      </c>
      <c r="C56" s="69">
        <f t="shared" si="9"/>
        <v>46110</v>
      </c>
      <c r="D56" s="70">
        <f>FORECAST(B56,$D$46:$D$55,$B$46:$B$55)</f>
        <v>46572.039333333334</v>
      </c>
      <c r="E56" s="71">
        <f t="shared" si="10"/>
        <v>-0.15654811407321545</v>
      </c>
    </row>
    <row r="57" spans="2:5">
      <c r="B57" s="68">
        <f t="shared" si="8"/>
        <v>12</v>
      </c>
      <c r="C57" s="69">
        <f t="shared" si="9"/>
        <v>46475</v>
      </c>
      <c r="D57" s="70">
        <f t="shared" ref="D57:D60" si="11">FORECAST(B57,$D$46:$D$55,$B$46:$B$55)</f>
        <v>48785.931212121213</v>
      </c>
      <c r="E57" s="71">
        <f t="shared" si="10"/>
        <v>4.7536932255472841E-2</v>
      </c>
    </row>
    <row r="58" spans="2:5">
      <c r="B58" s="68">
        <f t="shared" si="8"/>
        <v>13</v>
      </c>
      <c r="C58" s="69">
        <f t="shared" si="9"/>
        <v>46840</v>
      </c>
      <c r="D58" s="70">
        <f t="shared" si="11"/>
        <v>50999.823090909093</v>
      </c>
      <c r="E58" s="71">
        <f t="shared" si="10"/>
        <v>4.5379719599117241E-2</v>
      </c>
    </row>
    <row r="59" spans="2:5">
      <c r="B59" s="68">
        <f t="shared" si="8"/>
        <v>14</v>
      </c>
      <c r="C59" s="69">
        <f t="shared" si="9"/>
        <v>47205</v>
      </c>
      <c r="D59" s="70">
        <f t="shared" si="11"/>
        <v>53213.714969696965</v>
      </c>
      <c r="E59" s="71">
        <f t="shared" si="10"/>
        <v>4.340979526226052E-2</v>
      </c>
    </row>
    <row r="60" spans="2:5">
      <c r="B60" s="68">
        <f t="shared" si="8"/>
        <v>15</v>
      </c>
      <c r="C60" s="69">
        <f t="shared" si="9"/>
        <v>47570</v>
      </c>
      <c r="D60" s="70">
        <f t="shared" si="11"/>
        <v>55427.606848484844</v>
      </c>
      <c r="E60" s="71">
        <f t="shared" si="10"/>
        <v>4.160378353679306E-2</v>
      </c>
    </row>
  </sheetData>
  <mergeCells count="5">
    <mergeCell ref="B44:E44"/>
    <mergeCell ref="B8:E8"/>
    <mergeCell ref="G8:J8"/>
    <mergeCell ref="L8:O8"/>
    <mergeCell ref="B26:E26"/>
  </mergeCells>
  <pageMargins left="0.7" right="0.7" top="0.75" bottom="0.75" header="0.3" footer="0.3"/>
  <pageSetup scale="65"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17FFF-A383-4A67-98E1-9EAA8395AF86}">
  <sheetPr>
    <tabColor theme="9" tint="0.59999389629810485"/>
  </sheetPr>
  <dimension ref="A1"/>
  <sheetViews>
    <sheetView workbookViewId="0"/>
  </sheetViews>
  <sheetFormatPr defaultRowHeight="14.5"/>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25480-BA4F-4D1A-95B7-FFDBE4C5A5A9}">
  <sheetPr codeName="Sheet21">
    <pageSetUpPr fitToPage="1"/>
  </sheetPr>
  <dimension ref="A1:U116"/>
  <sheetViews>
    <sheetView showGridLines="0" topLeftCell="A99" zoomScale="69" workbookViewId="0">
      <selection sqref="A1:U117"/>
    </sheetView>
  </sheetViews>
  <sheetFormatPr defaultRowHeight="14.5"/>
  <cols>
    <col min="1" max="1" width="1.90625" style="145" customWidth="1"/>
    <col min="2" max="2" width="10.81640625" style="145" bestFit="1" customWidth="1"/>
    <col min="3" max="3" width="13.6328125" style="145" bestFit="1" customWidth="1"/>
    <col min="4" max="4" width="9.7265625" style="145" customWidth="1"/>
    <col min="5" max="5" width="8.7265625" style="145"/>
    <col min="6" max="6" width="12.1796875" style="145" customWidth="1"/>
    <col min="7" max="7" width="9.90625" style="145" customWidth="1"/>
    <col min="8" max="8" width="8.7265625" style="145"/>
    <col min="9" max="9" width="17.7265625" style="145" bestFit="1" customWidth="1"/>
    <col min="10" max="10" width="11.453125" style="145" customWidth="1"/>
    <col min="11" max="11" width="8.81640625" style="145" bestFit="1" customWidth="1"/>
    <col min="12" max="12" width="10.453125" style="145" bestFit="1" customWidth="1"/>
    <col min="13" max="14" width="11.81640625" style="145" bestFit="1" customWidth="1"/>
    <col min="15" max="16" width="8.90625" style="145" bestFit="1" customWidth="1"/>
    <col min="17" max="17" width="12.54296875" style="145" bestFit="1" customWidth="1"/>
    <col min="18" max="16384" width="8.7265625" style="145"/>
  </cols>
  <sheetData>
    <row r="1" spans="1:21">
      <c r="A1" s="273"/>
      <c r="B1" s="361"/>
      <c r="C1" s="361"/>
      <c r="D1" s="361"/>
      <c r="E1" s="361"/>
      <c r="F1" s="361"/>
      <c r="G1" s="361"/>
      <c r="H1" s="361"/>
      <c r="I1" s="361"/>
      <c r="J1" s="93"/>
      <c r="K1" s="93"/>
      <c r="L1" s="93"/>
      <c r="M1" s="93"/>
      <c r="N1" s="93"/>
      <c r="O1" s="93"/>
      <c r="P1" s="93"/>
      <c r="Q1" s="93"/>
      <c r="R1" s="93"/>
      <c r="S1" s="93"/>
      <c r="T1" s="93"/>
      <c r="U1" s="93"/>
    </row>
    <row r="2" spans="1:21" ht="28.5">
      <c r="A2" s="273"/>
      <c r="B2" s="362" t="str">
        <f>'Data Sheet'!B1</f>
        <v>TATA MOTORS LTD</v>
      </c>
      <c r="C2" s="273"/>
      <c r="D2" s="273"/>
      <c r="E2" s="273"/>
      <c r="F2" s="273"/>
      <c r="G2" s="273"/>
      <c r="H2" s="273"/>
      <c r="I2" s="273"/>
      <c r="J2"/>
      <c r="K2"/>
      <c r="L2"/>
      <c r="M2"/>
      <c r="N2"/>
      <c r="O2"/>
      <c r="P2"/>
      <c r="Q2"/>
      <c r="R2"/>
      <c r="S2"/>
      <c r="T2"/>
      <c r="U2"/>
    </row>
    <row r="3" spans="1:21">
      <c r="A3" s="273"/>
      <c r="B3" s="274" t="s">
        <v>460</v>
      </c>
      <c r="C3" s="273"/>
      <c r="D3" s="273"/>
      <c r="E3" s="273"/>
      <c r="F3" s="273"/>
      <c r="G3" s="273"/>
      <c r="H3" s="273"/>
      <c r="I3" s="273"/>
      <c r="J3"/>
      <c r="K3"/>
      <c r="L3"/>
      <c r="M3"/>
      <c r="N3"/>
      <c r="O3"/>
      <c r="P3"/>
      <c r="Q3"/>
      <c r="R3"/>
      <c r="S3"/>
      <c r="T3"/>
      <c r="U3"/>
    </row>
    <row r="4" spans="1:21" ht="18.5">
      <c r="A4" s="273"/>
      <c r="B4" s="363" t="s">
        <v>461</v>
      </c>
      <c r="C4" s="273"/>
      <c r="D4" s="273"/>
      <c r="E4" s="273"/>
      <c r="F4" s="273"/>
      <c r="G4" s="273"/>
      <c r="H4" s="273"/>
      <c r="I4" s="273"/>
      <c r="J4"/>
      <c r="K4"/>
      <c r="L4"/>
      <c r="M4"/>
      <c r="N4"/>
      <c r="O4"/>
      <c r="P4"/>
      <c r="Q4"/>
      <c r="R4"/>
      <c r="S4"/>
      <c r="T4"/>
      <c r="U4"/>
    </row>
    <row r="5" spans="1:21">
      <c r="A5" s="273"/>
      <c r="B5" s="279" t="s">
        <v>463</v>
      </c>
      <c r="C5" s="273"/>
      <c r="D5" s="273"/>
      <c r="E5" s="273"/>
      <c r="F5" s="273"/>
      <c r="G5" s="273"/>
      <c r="H5" s="273"/>
      <c r="I5" s="273"/>
      <c r="J5"/>
      <c r="K5"/>
      <c r="L5"/>
      <c r="M5"/>
      <c r="N5"/>
      <c r="O5"/>
      <c r="P5"/>
      <c r="Q5"/>
      <c r="R5"/>
      <c r="S5"/>
      <c r="T5"/>
      <c r="U5"/>
    </row>
    <row r="6" spans="1:21" ht="5.5" customHeight="1" thickBot="1">
      <c r="A6" s="273"/>
      <c r="B6" s="393"/>
      <c r="C6" s="393"/>
      <c r="D6" s="393"/>
      <c r="E6" s="393"/>
      <c r="F6" s="393"/>
      <c r="G6" s="393"/>
      <c r="H6" s="393"/>
      <c r="I6" s="393"/>
      <c r="J6" s="397"/>
      <c r="K6" s="397"/>
      <c r="L6" s="397"/>
      <c r="M6" s="397"/>
      <c r="N6" s="397"/>
      <c r="O6" s="397"/>
      <c r="P6" s="397"/>
      <c r="Q6" s="397"/>
      <c r="R6" s="397"/>
      <c r="S6" s="397"/>
      <c r="T6" s="397"/>
      <c r="U6" s="397"/>
    </row>
    <row r="7" spans="1:21" ht="6" customHeight="1">
      <c r="A7"/>
      <c r="B7"/>
      <c r="C7"/>
      <c r="D7"/>
      <c r="E7"/>
      <c r="F7"/>
      <c r="G7"/>
      <c r="H7"/>
      <c r="I7"/>
      <c r="J7"/>
      <c r="K7"/>
      <c r="L7"/>
      <c r="M7"/>
      <c r="N7"/>
      <c r="O7"/>
      <c r="P7"/>
      <c r="Q7"/>
      <c r="R7"/>
      <c r="S7"/>
      <c r="T7"/>
      <c r="U7"/>
    </row>
    <row r="8" spans="1:21">
      <c r="B8" s="176" t="s">
        <v>358</v>
      </c>
    </row>
    <row r="10" spans="1:21">
      <c r="B10" s="438" t="s">
        <v>359</v>
      </c>
      <c r="C10" s="438"/>
      <c r="D10" s="438"/>
      <c r="F10" s="439" t="s">
        <v>360</v>
      </c>
      <c r="G10" s="439"/>
      <c r="I10" s="439" t="s">
        <v>361</v>
      </c>
      <c r="J10" s="439"/>
    </row>
    <row r="12" spans="1:21">
      <c r="B12" s="177" t="s">
        <v>362</v>
      </c>
      <c r="C12" s="178" t="s">
        <v>363</v>
      </c>
      <c r="D12" s="178" t="s">
        <v>364</v>
      </c>
      <c r="F12" s="178" t="s">
        <v>363</v>
      </c>
      <c r="G12" s="178" t="s">
        <v>364</v>
      </c>
      <c r="I12" s="179" t="s">
        <v>365</v>
      </c>
      <c r="J12" s="180">
        <f>M15</f>
        <v>1.3469551253460115</v>
      </c>
      <c r="L12" s="171" t="s">
        <v>366</v>
      </c>
      <c r="M12" s="180">
        <f>SLOPE(D14:D116,G14:G116)</f>
        <v>1.3469551253460119</v>
      </c>
    </row>
    <row r="13" spans="1:21">
      <c r="B13" s="181">
        <v>45158</v>
      </c>
      <c r="C13" s="145">
        <v>603.24</v>
      </c>
      <c r="F13" s="182">
        <v>19265.8</v>
      </c>
      <c r="I13" s="171" t="s">
        <v>367</v>
      </c>
      <c r="J13" s="183">
        <v>0.75</v>
      </c>
      <c r="L13" s="171" t="s">
        <v>368</v>
      </c>
      <c r="M13" s="180">
        <f>_xlfn.COVARIANCE.S(D13:D116,G13:G116)/_xlfn.VAR.S(G13:G116)</f>
        <v>1.3469551253460121</v>
      </c>
    </row>
    <row r="14" spans="1:21">
      <c r="B14" s="181">
        <v>45165</v>
      </c>
      <c r="C14" s="145">
        <v>609.32000000000005</v>
      </c>
      <c r="D14" s="183">
        <f>C14/C13-1</f>
        <v>1.0078907234268408E-2</v>
      </c>
      <c r="F14" s="182">
        <v>19435.3</v>
      </c>
      <c r="G14" s="183">
        <f>F14/F13-1</f>
        <v>8.7979736112697715E-3</v>
      </c>
    </row>
    <row r="15" spans="1:21">
      <c r="B15" s="181">
        <v>45172</v>
      </c>
      <c r="C15" s="145">
        <v>625.32000000000005</v>
      </c>
      <c r="D15" s="183">
        <f t="shared" ref="D15:D78" si="0">C15/C14-1</f>
        <v>2.6258780279656113E-2</v>
      </c>
      <c r="F15" s="182">
        <v>19819.95</v>
      </c>
      <c r="G15" s="183">
        <f t="shared" ref="G15:G78" si="1">F15/F14-1</f>
        <v>1.9791307569216876E-2</v>
      </c>
      <c r="I15" s="171" t="s">
        <v>369</v>
      </c>
      <c r="J15" s="180">
        <v>1</v>
      </c>
      <c r="K15" s="171"/>
      <c r="L15" s="171" t="s">
        <v>370</v>
      </c>
      <c r="M15" s="180">
        <f>J38</f>
        <v>1.3469551253460115</v>
      </c>
    </row>
    <row r="16" spans="1:21">
      <c r="B16" s="181">
        <v>45179</v>
      </c>
      <c r="C16" s="145">
        <v>632.29999999999995</v>
      </c>
      <c r="D16" s="183">
        <f t="shared" si="0"/>
        <v>1.116228491012583E-2</v>
      </c>
      <c r="F16" s="182">
        <v>20192.349999999999</v>
      </c>
      <c r="G16" s="183">
        <f t="shared" si="1"/>
        <v>1.8789149316723597E-2</v>
      </c>
      <c r="I16" s="171" t="s">
        <v>371</v>
      </c>
      <c r="J16" s="183">
        <v>0.25</v>
      </c>
    </row>
    <row r="17" spans="2:14">
      <c r="B17" s="181">
        <v>45186</v>
      </c>
      <c r="C17" s="145">
        <v>618.54</v>
      </c>
      <c r="D17" s="183">
        <f t="shared" si="0"/>
        <v>-2.1761821919974667E-2</v>
      </c>
      <c r="F17" s="182">
        <v>19674.25</v>
      </c>
      <c r="G17" s="183">
        <f t="shared" si="1"/>
        <v>-2.5658231954180599E-2</v>
      </c>
    </row>
    <row r="18" spans="2:14">
      <c r="B18" s="181">
        <v>45193</v>
      </c>
      <c r="C18" s="145">
        <v>628.26</v>
      </c>
      <c r="D18" s="183">
        <f t="shared" si="0"/>
        <v>1.5714424289455797E-2</v>
      </c>
      <c r="F18" s="182">
        <v>19638.3</v>
      </c>
      <c r="G18" s="183">
        <f t="shared" si="1"/>
        <v>-1.8272615220402688E-3</v>
      </c>
      <c r="I18" s="184" t="s">
        <v>372</v>
      </c>
      <c r="J18" s="185">
        <f>(J12*J13)+(J15*J16)</f>
        <v>1.2602163440095087</v>
      </c>
    </row>
    <row r="19" spans="2:14">
      <c r="B19" s="181">
        <v>45200</v>
      </c>
      <c r="C19" s="145">
        <v>620.53</v>
      </c>
      <c r="D19" s="183">
        <f t="shared" si="0"/>
        <v>-1.2303823257886926E-2</v>
      </c>
      <c r="F19" s="182">
        <v>19653.5</v>
      </c>
      <c r="G19" s="183">
        <f t="shared" si="1"/>
        <v>7.7399774929598486E-4</v>
      </c>
    </row>
    <row r="20" spans="2:14">
      <c r="B20" s="181">
        <v>45207</v>
      </c>
      <c r="C20" s="145">
        <v>665.05</v>
      </c>
      <c r="D20" s="183">
        <f t="shared" si="0"/>
        <v>7.1745121106151277E-2</v>
      </c>
      <c r="F20" s="182">
        <v>19751.05</v>
      </c>
      <c r="G20" s="183">
        <f t="shared" si="1"/>
        <v>4.9634925076957881E-3</v>
      </c>
    </row>
    <row r="21" spans="2:14">
      <c r="B21" s="181">
        <v>45214</v>
      </c>
      <c r="C21" s="145">
        <v>661.16</v>
      </c>
      <c r="D21" s="183">
        <f t="shared" si="0"/>
        <v>-5.8491842718592091E-3</v>
      </c>
      <c r="F21" s="182">
        <v>19542.650000000001</v>
      </c>
      <c r="G21" s="183">
        <f t="shared" si="1"/>
        <v>-1.0551337776978809E-2</v>
      </c>
      <c r="I21" s="145" t="s">
        <v>197</v>
      </c>
    </row>
    <row r="22" spans="2:14" ht="15" thickBot="1">
      <c r="B22" s="181">
        <v>45221</v>
      </c>
      <c r="C22" s="145">
        <v>639.08000000000004</v>
      </c>
      <c r="D22" s="183">
        <f t="shared" si="0"/>
        <v>-3.3395849718676152E-2</v>
      </c>
      <c r="F22" s="182">
        <v>19047.25</v>
      </c>
      <c r="G22" s="183">
        <f t="shared" si="1"/>
        <v>-2.5349683896503383E-2</v>
      </c>
    </row>
    <row r="23" spans="2:14">
      <c r="B23" s="181">
        <v>45228</v>
      </c>
      <c r="C23" s="145">
        <v>645.51</v>
      </c>
      <c r="D23" s="183">
        <f t="shared" si="0"/>
        <v>1.0061338173624534E-2</v>
      </c>
      <c r="F23" s="182">
        <v>19230.599999999999</v>
      </c>
      <c r="G23" s="183">
        <f t="shared" si="1"/>
        <v>9.6260615049414966E-3</v>
      </c>
      <c r="I23" s="186" t="s">
        <v>198</v>
      </c>
      <c r="J23" s="186"/>
    </row>
    <row r="24" spans="2:14">
      <c r="B24" s="181">
        <v>45235</v>
      </c>
      <c r="C24" s="145">
        <v>649.04999999999995</v>
      </c>
      <c r="D24" s="183">
        <f t="shared" si="0"/>
        <v>5.4840358786074628E-3</v>
      </c>
      <c r="F24" s="182">
        <v>19425.349999999999</v>
      </c>
      <c r="G24" s="183">
        <f t="shared" si="1"/>
        <v>1.0127089118384225E-2</v>
      </c>
      <c r="I24" s="145" t="s">
        <v>199</v>
      </c>
      <c r="J24" s="145">
        <v>0.56489404022794576</v>
      </c>
    </row>
    <row r="25" spans="2:14">
      <c r="B25" s="181">
        <v>45242</v>
      </c>
      <c r="C25" s="145">
        <v>679.45</v>
      </c>
      <c r="D25" s="183">
        <f t="shared" si="0"/>
        <v>4.6837685848547972E-2</v>
      </c>
      <c r="F25" s="182">
        <v>19731.8</v>
      </c>
      <c r="G25" s="183">
        <f t="shared" si="1"/>
        <v>1.5775777527818002E-2</v>
      </c>
      <c r="I25" s="145" t="s">
        <v>200</v>
      </c>
      <c r="J25" s="145">
        <v>0.31910527668505201</v>
      </c>
    </row>
    <row r="26" spans="2:14">
      <c r="B26" s="181">
        <v>45249</v>
      </c>
      <c r="C26" s="145">
        <v>671.63</v>
      </c>
      <c r="D26" s="183">
        <f t="shared" si="0"/>
        <v>-1.1509308999926526E-2</v>
      </c>
      <c r="F26" s="182">
        <v>19794.7</v>
      </c>
      <c r="G26" s="183">
        <f t="shared" si="1"/>
        <v>3.1877476966115648E-3</v>
      </c>
      <c r="I26" s="145" t="s">
        <v>201</v>
      </c>
      <c r="J26" s="145">
        <v>0.31236374477104262</v>
      </c>
    </row>
    <row r="27" spans="2:14">
      <c r="B27" s="181">
        <v>45256</v>
      </c>
      <c r="C27" s="145">
        <v>703.28</v>
      </c>
      <c r="D27" s="183">
        <f t="shared" si="0"/>
        <v>4.7124160624153255E-2</v>
      </c>
      <c r="F27" s="182">
        <v>20267.900000000001</v>
      </c>
      <c r="G27" s="183">
        <f t="shared" si="1"/>
        <v>2.3905388816198414E-2</v>
      </c>
      <c r="I27" s="145" t="s">
        <v>202</v>
      </c>
      <c r="J27" s="145">
        <v>3.4214372786113112E-2</v>
      </c>
    </row>
    <row r="28" spans="2:14" ht="15" thickBot="1">
      <c r="B28" s="181">
        <v>45263</v>
      </c>
      <c r="C28" s="145">
        <v>712.35</v>
      </c>
      <c r="D28" s="183">
        <f t="shared" si="0"/>
        <v>1.2896712546923039E-2</v>
      </c>
      <c r="F28" s="182">
        <v>20969.400000000001</v>
      </c>
      <c r="G28" s="183">
        <f t="shared" si="1"/>
        <v>3.4611380557433069E-2</v>
      </c>
      <c r="I28" s="187" t="s">
        <v>203</v>
      </c>
      <c r="J28" s="187">
        <v>103</v>
      </c>
    </row>
    <row r="29" spans="2:14">
      <c r="B29" s="181">
        <v>45270</v>
      </c>
      <c r="C29" s="145">
        <v>730.15</v>
      </c>
      <c r="D29" s="183">
        <f t="shared" si="0"/>
        <v>2.4987716712290275E-2</v>
      </c>
      <c r="F29" s="182">
        <v>21456.65</v>
      </c>
      <c r="G29" s="183">
        <f t="shared" si="1"/>
        <v>2.3236239472755438E-2</v>
      </c>
    </row>
    <row r="30" spans="2:14" ht="15" thickBot="1">
      <c r="B30" s="181">
        <v>45277</v>
      </c>
      <c r="C30" s="145">
        <v>722.47</v>
      </c>
      <c r="D30" s="183">
        <f t="shared" si="0"/>
        <v>-1.0518386632883625E-2</v>
      </c>
      <c r="F30" s="182">
        <v>21349.4</v>
      </c>
      <c r="G30" s="183">
        <f t="shared" si="1"/>
        <v>-4.9984503638732525E-3</v>
      </c>
      <c r="I30" s="145" t="s">
        <v>204</v>
      </c>
    </row>
    <row r="31" spans="2:14">
      <c r="B31" s="181">
        <v>45284</v>
      </c>
      <c r="C31" s="145">
        <v>777.55</v>
      </c>
      <c r="D31" s="183">
        <f t="shared" si="0"/>
        <v>7.6238459728431573E-2</v>
      </c>
      <c r="F31" s="182">
        <v>21731.4</v>
      </c>
      <c r="G31" s="183">
        <f t="shared" si="1"/>
        <v>1.7892774504201459E-2</v>
      </c>
      <c r="I31" s="188"/>
      <c r="J31" s="188" t="s">
        <v>208</v>
      </c>
      <c r="K31" s="188" t="s">
        <v>209</v>
      </c>
      <c r="L31" s="188" t="s">
        <v>210</v>
      </c>
      <c r="M31" s="188" t="s">
        <v>211</v>
      </c>
      <c r="N31" s="188" t="s">
        <v>212</v>
      </c>
    </row>
    <row r="32" spans="2:14">
      <c r="B32" s="181">
        <v>45291</v>
      </c>
      <c r="C32" s="145">
        <v>788.52</v>
      </c>
      <c r="D32" s="183">
        <f t="shared" si="0"/>
        <v>1.4108417465114709E-2</v>
      </c>
      <c r="F32" s="182">
        <v>21710.799999999999</v>
      </c>
      <c r="G32" s="183">
        <f t="shared" si="1"/>
        <v>-9.479370864280412E-4</v>
      </c>
      <c r="I32" s="145" t="s">
        <v>205</v>
      </c>
      <c r="J32" s="145">
        <v>1</v>
      </c>
      <c r="K32" s="145">
        <v>5.5410562235368638E-2</v>
      </c>
      <c r="L32" s="145">
        <v>5.5410562235368638E-2</v>
      </c>
      <c r="M32" s="145">
        <v>47.334238086439726</v>
      </c>
      <c r="N32" s="145">
        <v>5.1132252499330276E-10</v>
      </c>
    </row>
    <row r="33" spans="2:17">
      <c r="B33" s="181">
        <v>45298</v>
      </c>
      <c r="C33" s="145">
        <v>813.94</v>
      </c>
      <c r="D33" s="183">
        <f t="shared" si="0"/>
        <v>3.2237609699183434E-2</v>
      </c>
      <c r="F33" s="182">
        <v>21894.55</v>
      </c>
      <c r="G33" s="183">
        <f t="shared" si="1"/>
        <v>8.4635296718684749E-3</v>
      </c>
      <c r="I33" s="145" t="s">
        <v>206</v>
      </c>
      <c r="J33" s="145">
        <v>101</v>
      </c>
      <c r="K33" s="145">
        <v>0.11823295381985885</v>
      </c>
      <c r="L33" s="145">
        <v>1.1706233051471174E-3</v>
      </c>
    </row>
    <row r="34" spans="2:17" ht="15" thickBot="1">
      <c r="B34" s="181">
        <v>45305</v>
      </c>
      <c r="C34" s="145">
        <v>821.02</v>
      </c>
      <c r="D34" s="183">
        <f t="shared" si="0"/>
        <v>8.6984298596948229E-3</v>
      </c>
      <c r="F34" s="182">
        <v>21622.400000000001</v>
      </c>
      <c r="G34" s="183">
        <f t="shared" si="1"/>
        <v>-1.2430033958222397E-2</v>
      </c>
      <c r="I34" s="187" t="s">
        <v>26</v>
      </c>
      <c r="J34" s="187">
        <v>102</v>
      </c>
      <c r="K34" s="187">
        <v>0.17364351605522749</v>
      </c>
      <c r="L34" s="187"/>
      <c r="M34" s="187"/>
      <c r="N34" s="187"/>
    </row>
    <row r="35" spans="2:17">
      <c r="B35" s="181">
        <v>45312</v>
      </c>
      <c r="C35" s="145">
        <v>809.35</v>
      </c>
      <c r="D35" s="183">
        <f t="shared" si="0"/>
        <v>-1.4214026454897555E-2</v>
      </c>
      <c r="F35" s="182">
        <v>21352.6</v>
      </c>
      <c r="G35" s="183">
        <f t="shared" si="1"/>
        <v>-1.2477800799171379E-2</v>
      </c>
    </row>
    <row r="36" spans="2:17">
      <c r="B36" s="181">
        <v>45319</v>
      </c>
      <c r="C36" s="145">
        <v>876.05</v>
      </c>
      <c r="D36" s="183">
        <f t="shared" si="0"/>
        <v>8.2411811947859404E-2</v>
      </c>
      <c r="F36" s="182">
        <v>21853.8</v>
      </c>
      <c r="G36" s="183">
        <f t="shared" si="1"/>
        <v>2.3472551352060167E-2</v>
      </c>
      <c r="J36" s="145" t="s">
        <v>213</v>
      </c>
      <c r="K36" s="145" t="s">
        <v>202</v>
      </c>
      <c r="L36" s="145" t="s">
        <v>214</v>
      </c>
      <c r="M36" s="145" t="s">
        <v>215</v>
      </c>
      <c r="N36" s="145" t="s">
        <v>216</v>
      </c>
      <c r="O36" s="145" t="s">
        <v>217</v>
      </c>
      <c r="P36" s="145" t="s">
        <v>218</v>
      </c>
      <c r="Q36" s="145" t="s">
        <v>219</v>
      </c>
    </row>
    <row r="37" spans="2:17">
      <c r="B37" s="181">
        <v>45326</v>
      </c>
      <c r="C37" s="145">
        <v>912.18</v>
      </c>
      <c r="D37" s="183">
        <f t="shared" si="0"/>
        <v>4.1241938245534016E-2</v>
      </c>
      <c r="F37" s="182">
        <v>21782.5</v>
      </c>
      <c r="G37" s="183">
        <f t="shared" si="1"/>
        <v>-3.2625904876955047E-3</v>
      </c>
      <c r="I37" s="145" t="s">
        <v>207</v>
      </c>
      <c r="J37" s="145">
        <v>-1.6326182720820673E-3</v>
      </c>
      <c r="K37" s="145">
        <v>3.4076208668707641E-3</v>
      </c>
      <c r="L37" s="145">
        <v>-0.47910795709538812</v>
      </c>
      <c r="M37" s="145">
        <v>0.63289752588814729</v>
      </c>
      <c r="N37" s="145">
        <v>-8.3924214320120552E-3</v>
      </c>
      <c r="O37" s="145">
        <v>5.1271848878479201E-3</v>
      </c>
      <c r="P37" s="145">
        <v>-8.3924214320120552E-3</v>
      </c>
      <c r="Q37" s="145">
        <v>5.1271848878479201E-3</v>
      </c>
    </row>
    <row r="38" spans="2:17">
      <c r="B38" s="181">
        <v>45333</v>
      </c>
      <c r="C38" s="145">
        <v>935.71</v>
      </c>
      <c r="D38" s="183">
        <f t="shared" si="0"/>
        <v>2.5795347409502511E-2</v>
      </c>
      <c r="F38" s="182">
        <v>22040.7</v>
      </c>
      <c r="G38" s="183">
        <f t="shared" si="1"/>
        <v>1.1853552163433978E-2</v>
      </c>
      <c r="I38" s="145" t="s">
        <v>373</v>
      </c>
      <c r="J38" s="145">
        <v>1.3469551253460115</v>
      </c>
      <c r="K38" s="145">
        <v>0.19577869608586937</v>
      </c>
      <c r="L38" s="145">
        <v>6.8799882330160749</v>
      </c>
      <c r="M38" s="145">
        <v>5.1132252499331579E-10</v>
      </c>
      <c r="N38" s="145">
        <v>0.95858285620224937</v>
      </c>
      <c r="O38" s="145">
        <v>1.7353273944897736</v>
      </c>
      <c r="P38" s="145">
        <v>0.95858285620224937</v>
      </c>
      <c r="Q38" s="145">
        <v>1.7353273944897736</v>
      </c>
    </row>
    <row r="39" spans="2:17">
      <c r="B39" s="181">
        <v>45340</v>
      </c>
      <c r="C39" s="145">
        <v>934.52</v>
      </c>
      <c r="D39" s="183">
        <f t="shared" si="0"/>
        <v>-1.27176155005293E-3</v>
      </c>
      <c r="F39" s="182">
        <v>22212.7</v>
      </c>
      <c r="G39" s="183">
        <f t="shared" si="1"/>
        <v>7.8037448901351336E-3</v>
      </c>
    </row>
    <row r="40" spans="2:17">
      <c r="B40" s="181">
        <v>45347</v>
      </c>
      <c r="C40" s="145">
        <v>974.39</v>
      </c>
      <c r="D40" s="183">
        <f t="shared" si="0"/>
        <v>4.2663613405812706E-2</v>
      </c>
      <c r="F40" s="182">
        <v>22338.75</v>
      </c>
      <c r="G40" s="183">
        <f t="shared" si="1"/>
        <v>5.6746816010659895E-3</v>
      </c>
    </row>
    <row r="41" spans="2:17">
      <c r="B41" s="181">
        <v>45354</v>
      </c>
      <c r="C41" s="182">
        <v>1036.0999999999999</v>
      </c>
      <c r="D41" s="183">
        <f t="shared" si="0"/>
        <v>6.3331930746415521E-2</v>
      </c>
      <c r="F41" s="182">
        <v>22493.55</v>
      </c>
      <c r="G41" s="183">
        <f t="shared" si="1"/>
        <v>6.929662581836471E-3</v>
      </c>
    </row>
    <row r="42" spans="2:17">
      <c r="B42" s="181">
        <v>45361</v>
      </c>
      <c r="C42" s="145">
        <v>942.94</v>
      </c>
      <c r="D42" s="183">
        <f t="shared" si="0"/>
        <v>-8.9914100955506115E-2</v>
      </c>
      <c r="F42" s="182">
        <v>22023.35</v>
      </c>
      <c r="G42" s="183">
        <f t="shared" si="1"/>
        <v>-2.0903770191899484E-2</v>
      </c>
    </row>
    <row r="43" spans="2:17">
      <c r="B43" s="181">
        <v>45368</v>
      </c>
      <c r="C43" s="145">
        <v>976.79</v>
      </c>
      <c r="D43" s="183">
        <f t="shared" si="0"/>
        <v>3.5898360447112143E-2</v>
      </c>
      <c r="F43" s="182">
        <v>22096.75</v>
      </c>
      <c r="G43" s="183">
        <f t="shared" si="1"/>
        <v>3.3328262957270649E-3</v>
      </c>
    </row>
    <row r="44" spans="2:17">
      <c r="B44" s="181">
        <v>45375</v>
      </c>
      <c r="C44" s="145">
        <v>989.75</v>
      </c>
      <c r="D44" s="183">
        <f t="shared" si="0"/>
        <v>1.3267949098578091E-2</v>
      </c>
      <c r="F44" s="182">
        <v>22326.9</v>
      </c>
      <c r="G44" s="183">
        <f t="shared" si="1"/>
        <v>1.0415558849152129E-2</v>
      </c>
    </row>
    <row r="45" spans="2:17">
      <c r="B45" s="181">
        <v>45382</v>
      </c>
      <c r="C45" s="182">
        <v>1004</v>
      </c>
      <c r="D45" s="183">
        <f t="shared" si="0"/>
        <v>1.4397575145238761E-2</v>
      </c>
      <c r="F45" s="182">
        <v>22513.7</v>
      </c>
      <c r="G45" s="183">
        <f t="shared" si="1"/>
        <v>8.3665891816597782E-3</v>
      </c>
    </row>
    <row r="46" spans="2:17">
      <c r="B46" s="181">
        <v>45389</v>
      </c>
      <c r="C46" s="182">
        <v>1015.37</v>
      </c>
      <c r="D46" s="183">
        <f t="shared" si="0"/>
        <v>1.1324701195219111E-2</v>
      </c>
      <c r="F46" s="182">
        <v>22519.4</v>
      </c>
      <c r="G46" s="183">
        <f t="shared" si="1"/>
        <v>2.5317917534661838E-4</v>
      </c>
    </row>
    <row r="47" spans="2:17">
      <c r="B47" s="181">
        <v>45396</v>
      </c>
      <c r="C47" s="145">
        <v>960.24</v>
      </c>
      <c r="D47" s="183">
        <f t="shared" si="0"/>
        <v>-5.4295478495523741E-2</v>
      </c>
      <c r="F47" s="182">
        <v>22147</v>
      </c>
      <c r="G47" s="183">
        <f t="shared" si="1"/>
        <v>-1.6536852669254087E-2</v>
      </c>
    </row>
    <row r="48" spans="2:17">
      <c r="B48" s="181">
        <v>45403</v>
      </c>
      <c r="C48" s="145">
        <v>996.43</v>
      </c>
      <c r="D48" s="183">
        <f t="shared" si="0"/>
        <v>3.7688494543030915E-2</v>
      </c>
      <c r="F48" s="182">
        <v>22419.95</v>
      </c>
      <c r="G48" s="183">
        <f t="shared" si="1"/>
        <v>1.2324468325281002E-2</v>
      </c>
    </row>
    <row r="49" spans="2:7">
      <c r="B49" s="181">
        <v>45410</v>
      </c>
      <c r="C49" s="182">
        <v>1010.28</v>
      </c>
      <c r="D49" s="183">
        <f t="shared" si="0"/>
        <v>1.389962164928793E-2</v>
      </c>
      <c r="F49" s="182">
        <v>22475.85</v>
      </c>
      <c r="G49" s="183">
        <f t="shared" si="1"/>
        <v>2.4933151055197555E-3</v>
      </c>
    </row>
    <row r="50" spans="2:7">
      <c r="B50" s="181">
        <v>45417</v>
      </c>
      <c r="C50" s="182">
        <v>1043.43</v>
      </c>
      <c r="D50" s="183">
        <f t="shared" si="0"/>
        <v>3.2812685592113144E-2</v>
      </c>
      <c r="F50" s="182">
        <v>22055.200000000001</v>
      </c>
      <c r="G50" s="183">
        <f t="shared" si="1"/>
        <v>-1.8715643679771743E-2</v>
      </c>
    </row>
    <row r="51" spans="2:7">
      <c r="B51" s="181">
        <v>45424</v>
      </c>
      <c r="C51" s="145">
        <v>942.79</v>
      </c>
      <c r="D51" s="183">
        <f t="shared" si="0"/>
        <v>-9.6451127531315128E-2</v>
      </c>
      <c r="F51" s="182">
        <v>22466.1</v>
      </c>
      <c r="G51" s="183">
        <f t="shared" si="1"/>
        <v>1.8630527041241907E-2</v>
      </c>
    </row>
    <row r="52" spans="2:7">
      <c r="B52" s="181">
        <v>45431</v>
      </c>
      <c r="C52" s="145">
        <v>957.59</v>
      </c>
      <c r="D52" s="183">
        <f t="shared" si="0"/>
        <v>1.5698087591086152E-2</v>
      </c>
      <c r="F52" s="182">
        <v>22957.1</v>
      </c>
      <c r="G52" s="183">
        <f t="shared" si="1"/>
        <v>2.1855150649200406E-2</v>
      </c>
    </row>
    <row r="53" spans="2:7">
      <c r="B53" s="181">
        <v>45438</v>
      </c>
      <c r="C53" s="145">
        <v>920.16</v>
      </c>
      <c r="D53" s="183">
        <f t="shared" si="0"/>
        <v>-3.908770977140541E-2</v>
      </c>
      <c r="F53" s="182">
        <v>22530.7</v>
      </c>
      <c r="G53" s="183">
        <f t="shared" si="1"/>
        <v>-1.8573774562117951E-2</v>
      </c>
    </row>
    <row r="54" spans="2:7">
      <c r="B54" s="181">
        <v>45445</v>
      </c>
      <c r="C54" s="145">
        <v>967.52</v>
      </c>
      <c r="D54" s="183">
        <f t="shared" si="0"/>
        <v>5.146930968527208E-2</v>
      </c>
      <c r="F54" s="182">
        <v>23290.15</v>
      </c>
      <c r="G54" s="183">
        <f t="shared" si="1"/>
        <v>3.3707341538434354E-2</v>
      </c>
    </row>
    <row r="55" spans="2:7">
      <c r="B55" s="181">
        <v>45452</v>
      </c>
      <c r="C55" s="145">
        <v>993.4</v>
      </c>
      <c r="D55" s="183">
        <f t="shared" si="0"/>
        <v>2.674880105837607E-2</v>
      </c>
      <c r="F55" s="182">
        <v>23465.599999999999</v>
      </c>
      <c r="G55" s="183">
        <f t="shared" si="1"/>
        <v>7.5332275661599279E-3</v>
      </c>
    </row>
    <row r="56" spans="2:7">
      <c r="B56" s="181">
        <v>45459</v>
      </c>
      <c r="C56" s="145">
        <v>961.8</v>
      </c>
      <c r="D56" s="183">
        <f t="shared" si="0"/>
        <v>-3.1809945641232185E-2</v>
      </c>
      <c r="F56" s="182">
        <v>23501.1</v>
      </c>
      <c r="G56" s="183">
        <f t="shared" si="1"/>
        <v>1.5128528569481325E-3</v>
      </c>
    </row>
    <row r="57" spans="2:7">
      <c r="B57" s="181">
        <v>45466</v>
      </c>
      <c r="C57" s="145">
        <v>989.75</v>
      </c>
      <c r="D57" s="183">
        <f t="shared" si="0"/>
        <v>2.9060095653982154E-2</v>
      </c>
      <c r="F57" s="182">
        <v>24010.6</v>
      </c>
      <c r="G57" s="183">
        <f t="shared" si="1"/>
        <v>2.1679836262983532E-2</v>
      </c>
    </row>
    <row r="58" spans="2:7">
      <c r="B58" s="181">
        <v>45473</v>
      </c>
      <c r="C58" s="145">
        <v>993.65</v>
      </c>
      <c r="D58" s="183">
        <f t="shared" si="0"/>
        <v>3.9403889871179043E-3</v>
      </c>
      <c r="F58" s="182">
        <v>24323.85</v>
      </c>
      <c r="G58" s="183">
        <f t="shared" si="1"/>
        <v>1.3046321208133094E-2</v>
      </c>
    </row>
    <row r="59" spans="2:7">
      <c r="B59" s="181">
        <v>45480</v>
      </c>
      <c r="C59" s="182">
        <v>1016.75</v>
      </c>
      <c r="D59" s="183">
        <f t="shared" si="0"/>
        <v>2.324762240225442E-2</v>
      </c>
      <c r="F59" s="182">
        <v>24502.15</v>
      </c>
      <c r="G59" s="183">
        <f t="shared" si="1"/>
        <v>7.3302540510651326E-3</v>
      </c>
    </row>
    <row r="60" spans="2:7">
      <c r="B60" s="181">
        <v>45487</v>
      </c>
      <c r="C60" s="145">
        <v>990</v>
      </c>
      <c r="D60" s="183">
        <f t="shared" si="0"/>
        <v>-2.630931890828625E-2</v>
      </c>
      <c r="F60" s="182">
        <v>24530.9</v>
      </c>
      <c r="G60" s="183">
        <f t="shared" si="1"/>
        <v>1.1733664188653403E-3</v>
      </c>
    </row>
    <row r="61" spans="2:7">
      <c r="B61" s="181">
        <v>45494</v>
      </c>
      <c r="C61" s="182">
        <v>1118.3</v>
      </c>
      <c r="D61" s="183">
        <f t="shared" si="0"/>
        <v>0.12959595959595949</v>
      </c>
      <c r="F61" s="182">
        <v>24834.85</v>
      </c>
      <c r="G61" s="183">
        <f t="shared" si="1"/>
        <v>1.2390495252925682E-2</v>
      </c>
    </row>
    <row r="62" spans="2:7">
      <c r="B62" s="181">
        <v>45501</v>
      </c>
      <c r="C62" s="182">
        <v>1096.6500000000001</v>
      </c>
      <c r="D62" s="183">
        <f t="shared" si="0"/>
        <v>-1.9359742466243279E-2</v>
      </c>
      <c r="F62" s="182">
        <v>24717.7</v>
      </c>
      <c r="G62" s="183">
        <f t="shared" si="1"/>
        <v>-4.7171615693268887E-3</v>
      </c>
    </row>
    <row r="63" spans="2:7">
      <c r="B63" s="181">
        <v>45508</v>
      </c>
      <c r="C63" s="182">
        <v>1068.0999999999999</v>
      </c>
      <c r="D63" s="183">
        <f t="shared" si="0"/>
        <v>-2.6033830301372518E-2</v>
      </c>
      <c r="F63" s="182">
        <v>24367.5</v>
      </c>
      <c r="G63" s="183">
        <f t="shared" si="1"/>
        <v>-1.4167984885325113E-2</v>
      </c>
    </row>
    <row r="64" spans="2:7">
      <c r="B64" s="181">
        <v>45515</v>
      </c>
      <c r="C64" s="182">
        <v>1098.3499999999999</v>
      </c>
      <c r="D64" s="183">
        <f t="shared" si="0"/>
        <v>2.8321318228630377E-2</v>
      </c>
      <c r="F64" s="182">
        <v>24541.15</v>
      </c>
      <c r="G64" s="183">
        <f t="shared" si="1"/>
        <v>7.1262952703396998E-3</v>
      </c>
    </row>
    <row r="65" spans="2:7">
      <c r="B65" s="181">
        <v>45522</v>
      </c>
      <c r="C65" s="182">
        <v>1085.1500000000001</v>
      </c>
      <c r="D65" s="183">
        <f t="shared" si="0"/>
        <v>-1.2018027040560653E-2</v>
      </c>
      <c r="F65" s="182">
        <v>24823.15</v>
      </c>
      <c r="G65" s="183">
        <f t="shared" si="1"/>
        <v>1.1490904052988471E-2</v>
      </c>
    </row>
    <row r="66" spans="2:7">
      <c r="B66" s="181">
        <v>45529</v>
      </c>
      <c r="C66" s="182">
        <v>1111.3499999999999</v>
      </c>
      <c r="D66" s="183">
        <f t="shared" si="0"/>
        <v>2.4144127539971194E-2</v>
      </c>
      <c r="F66" s="182">
        <v>25235.9</v>
      </c>
      <c r="G66" s="183">
        <f t="shared" si="1"/>
        <v>1.6627623810837822E-2</v>
      </c>
    </row>
    <row r="67" spans="2:7">
      <c r="B67" s="181">
        <v>45536</v>
      </c>
      <c r="C67" s="182">
        <v>1049.3499999999999</v>
      </c>
      <c r="D67" s="183">
        <f t="shared" si="0"/>
        <v>-5.5788005578800592E-2</v>
      </c>
      <c r="F67" s="182">
        <v>24852.15</v>
      </c>
      <c r="G67" s="183">
        <f t="shared" si="1"/>
        <v>-1.5206511358818231E-2</v>
      </c>
    </row>
    <row r="68" spans="2:7">
      <c r="B68" s="181">
        <v>45543</v>
      </c>
      <c r="C68" s="145">
        <v>992.1</v>
      </c>
      <c r="D68" s="183">
        <f t="shared" si="0"/>
        <v>-5.4557583265831155E-2</v>
      </c>
      <c r="F68" s="182">
        <v>25356.5</v>
      </c>
      <c r="G68" s="183">
        <f t="shared" si="1"/>
        <v>2.0294018827344829E-2</v>
      </c>
    </row>
    <row r="69" spans="2:7">
      <c r="B69" s="181">
        <v>45550</v>
      </c>
      <c r="C69" s="145">
        <v>970.85</v>
      </c>
      <c r="D69" s="183">
        <f t="shared" si="0"/>
        <v>-2.1419211773006763E-2</v>
      </c>
      <c r="F69" s="182">
        <v>25790.95</v>
      </c>
      <c r="G69" s="183">
        <f t="shared" si="1"/>
        <v>1.7133673811448702E-2</v>
      </c>
    </row>
    <row r="70" spans="2:7">
      <c r="B70" s="181">
        <v>45557</v>
      </c>
      <c r="C70" s="145">
        <v>993</v>
      </c>
      <c r="D70" s="183">
        <f t="shared" si="0"/>
        <v>2.2815058968944646E-2</v>
      </c>
      <c r="F70" s="182">
        <v>26178.95</v>
      </c>
      <c r="G70" s="183">
        <f t="shared" si="1"/>
        <v>1.5044036764834123E-2</v>
      </c>
    </row>
    <row r="71" spans="2:7">
      <c r="B71" s="181">
        <v>45564</v>
      </c>
      <c r="C71" s="145">
        <v>930.75</v>
      </c>
      <c r="D71" s="183">
        <f t="shared" si="0"/>
        <v>-6.2688821752265866E-2</v>
      </c>
      <c r="F71" s="182">
        <v>25014.6</v>
      </c>
      <c r="G71" s="183">
        <f t="shared" si="1"/>
        <v>-4.4476573735768743E-2</v>
      </c>
    </row>
    <row r="72" spans="2:7">
      <c r="B72" s="181">
        <v>45571</v>
      </c>
      <c r="C72" s="145">
        <v>930.7</v>
      </c>
      <c r="D72" s="183">
        <f t="shared" si="0"/>
        <v>-5.3720118184164001E-5</v>
      </c>
      <c r="F72" s="182">
        <v>24964.25</v>
      </c>
      <c r="G72" s="183">
        <f t="shared" si="1"/>
        <v>-2.0128245104857889E-3</v>
      </c>
    </row>
    <row r="73" spans="2:7">
      <c r="B73" s="181">
        <v>45578</v>
      </c>
      <c r="C73" s="145">
        <v>910.15</v>
      </c>
      <c r="D73" s="183">
        <f t="shared" si="0"/>
        <v>-2.208015472225211E-2</v>
      </c>
      <c r="F73" s="182">
        <v>24854.05</v>
      </c>
      <c r="G73" s="183">
        <f t="shared" si="1"/>
        <v>-4.4143124668275524E-3</v>
      </c>
    </row>
    <row r="74" spans="2:7">
      <c r="B74" s="181">
        <v>45585</v>
      </c>
      <c r="C74" s="145">
        <v>864.3</v>
      </c>
      <c r="D74" s="183">
        <f t="shared" si="0"/>
        <v>-5.037631159698952E-2</v>
      </c>
      <c r="F74" s="182">
        <v>24180.799999999999</v>
      </c>
      <c r="G74" s="183">
        <f t="shared" si="1"/>
        <v>-2.7088140564616281E-2</v>
      </c>
    </row>
    <row r="75" spans="2:7">
      <c r="B75" s="181">
        <v>45592</v>
      </c>
      <c r="C75" s="145">
        <v>843.45</v>
      </c>
      <c r="D75" s="183">
        <f t="shared" si="0"/>
        <v>-2.4123568205484114E-2</v>
      </c>
      <c r="F75" s="182">
        <v>24304.35</v>
      </c>
      <c r="G75" s="183">
        <f t="shared" si="1"/>
        <v>5.1094256600276999E-3</v>
      </c>
    </row>
    <row r="76" spans="2:7">
      <c r="B76" s="181">
        <v>45599</v>
      </c>
      <c r="C76" s="145">
        <v>805.45</v>
      </c>
      <c r="D76" s="183">
        <f t="shared" si="0"/>
        <v>-4.5053055901357553E-2</v>
      </c>
      <c r="F76" s="182">
        <v>24148.2</v>
      </c>
      <c r="G76" s="183">
        <f t="shared" si="1"/>
        <v>-6.4247758117372822E-3</v>
      </c>
    </row>
    <row r="77" spans="2:7">
      <c r="B77" s="181">
        <v>45606</v>
      </c>
      <c r="C77" s="145">
        <v>774.3</v>
      </c>
      <c r="D77" s="183">
        <f t="shared" si="0"/>
        <v>-3.8674033149171394E-2</v>
      </c>
      <c r="F77" s="182">
        <v>23532.7</v>
      </c>
      <c r="G77" s="183">
        <f t="shared" si="1"/>
        <v>-2.5488442202731498E-2</v>
      </c>
    </row>
    <row r="78" spans="2:7">
      <c r="B78" s="181">
        <v>45613</v>
      </c>
      <c r="C78" s="145">
        <v>791</v>
      </c>
      <c r="D78" s="183">
        <f t="shared" si="0"/>
        <v>2.1567867751517644E-2</v>
      </c>
      <c r="F78" s="182">
        <v>23907.25</v>
      </c>
      <c r="G78" s="183">
        <f t="shared" si="1"/>
        <v>1.5916150717937061E-2</v>
      </c>
    </row>
    <row r="79" spans="2:7">
      <c r="B79" s="181">
        <v>45620</v>
      </c>
      <c r="C79" s="145">
        <v>786.45</v>
      </c>
      <c r="D79" s="183">
        <f t="shared" ref="D79:D116" si="2">C79/C78-1</f>
        <v>-5.7522123893805066E-3</v>
      </c>
      <c r="F79" s="182">
        <v>24131.1</v>
      </c>
      <c r="G79" s="183">
        <f t="shared" ref="G79:G116" si="3">F79/F78-1</f>
        <v>9.3632684645870157E-3</v>
      </c>
    </row>
    <row r="80" spans="2:7">
      <c r="B80" s="181">
        <v>45627</v>
      </c>
      <c r="C80" s="145">
        <v>816.8</v>
      </c>
      <c r="D80" s="183">
        <f t="shared" si="2"/>
        <v>3.8591137389535124E-2</v>
      </c>
      <c r="F80" s="182">
        <v>24677.8</v>
      </c>
      <c r="G80" s="183">
        <f t="shared" si="3"/>
        <v>2.2655411481449228E-2</v>
      </c>
    </row>
    <row r="81" spans="2:7">
      <c r="B81" s="181">
        <v>45634</v>
      </c>
      <c r="C81" s="145">
        <v>790.3</v>
      </c>
      <c r="D81" s="183">
        <f t="shared" si="2"/>
        <v>-3.244368266405484E-2</v>
      </c>
      <c r="F81" s="182">
        <v>24768.3</v>
      </c>
      <c r="G81" s="183">
        <f t="shared" si="3"/>
        <v>3.6672636944945491E-3</v>
      </c>
    </row>
    <row r="82" spans="2:7">
      <c r="B82" s="181">
        <v>45641</v>
      </c>
      <c r="C82" s="145">
        <v>724.05</v>
      </c>
      <c r="D82" s="183">
        <f t="shared" si="2"/>
        <v>-8.3828925724408476E-2</v>
      </c>
      <c r="F82" s="182">
        <v>23587.5</v>
      </c>
      <c r="G82" s="183">
        <f t="shared" si="3"/>
        <v>-4.7673841159869612E-2</v>
      </c>
    </row>
    <row r="83" spans="2:7">
      <c r="B83" s="181">
        <v>45648</v>
      </c>
      <c r="C83" s="145">
        <v>750.5</v>
      </c>
      <c r="D83" s="183">
        <f t="shared" si="2"/>
        <v>3.6530626337960115E-2</v>
      </c>
      <c r="F83" s="182">
        <v>23813.4</v>
      </c>
      <c r="G83" s="183">
        <f t="shared" si="3"/>
        <v>9.5771065182830295E-3</v>
      </c>
    </row>
    <row r="84" spans="2:7">
      <c r="B84" s="181">
        <v>45655</v>
      </c>
      <c r="C84" s="145">
        <v>790.4</v>
      </c>
      <c r="D84" s="183">
        <f t="shared" si="2"/>
        <v>5.3164556962025378E-2</v>
      </c>
      <c r="F84" s="182">
        <v>24004.75</v>
      </c>
      <c r="G84" s="183">
        <f t="shared" si="3"/>
        <v>8.035391838208783E-3</v>
      </c>
    </row>
    <row r="85" spans="2:7">
      <c r="B85" s="181">
        <v>45662</v>
      </c>
      <c r="C85" s="145">
        <v>774.65</v>
      </c>
      <c r="D85" s="183">
        <f t="shared" si="2"/>
        <v>-1.99266194331984E-2</v>
      </c>
      <c r="F85" s="182">
        <v>23431.5</v>
      </c>
      <c r="G85" s="183">
        <f t="shared" si="3"/>
        <v>-2.3880690280048689E-2</v>
      </c>
    </row>
    <row r="86" spans="2:7">
      <c r="B86" s="181">
        <v>45669</v>
      </c>
      <c r="C86" s="145">
        <v>779.75</v>
      </c>
      <c r="D86" s="183">
        <f t="shared" si="2"/>
        <v>6.5836184083134519E-3</v>
      </c>
      <c r="F86" s="182">
        <v>23203.200000000001</v>
      </c>
      <c r="G86" s="183">
        <f t="shared" si="3"/>
        <v>-9.7432942833365344E-3</v>
      </c>
    </row>
    <row r="87" spans="2:7">
      <c r="B87" s="181">
        <v>45676</v>
      </c>
      <c r="C87" s="145">
        <v>734.1</v>
      </c>
      <c r="D87" s="183">
        <f t="shared" si="2"/>
        <v>-5.8544405258095567E-2</v>
      </c>
      <c r="F87" s="182">
        <v>23092.2</v>
      </c>
      <c r="G87" s="183">
        <f t="shared" si="3"/>
        <v>-4.7838229209764549E-3</v>
      </c>
    </row>
    <row r="88" spans="2:7">
      <c r="B88" s="181">
        <v>45683</v>
      </c>
      <c r="C88" s="145">
        <v>716.1</v>
      </c>
      <c r="D88" s="183">
        <f t="shared" si="2"/>
        <v>-2.4519820187985264E-2</v>
      </c>
      <c r="F88" s="182">
        <v>23508.400000000001</v>
      </c>
      <c r="G88" s="183">
        <f t="shared" si="3"/>
        <v>1.8023401841314346E-2</v>
      </c>
    </row>
    <row r="89" spans="2:7">
      <c r="B89" s="181">
        <v>45690</v>
      </c>
      <c r="C89" s="145">
        <v>706.75</v>
      </c>
      <c r="D89" s="183">
        <f t="shared" si="2"/>
        <v>-1.3056835637480835E-2</v>
      </c>
      <c r="F89" s="182">
        <v>23559.95</v>
      </c>
      <c r="G89" s="183">
        <f t="shared" si="3"/>
        <v>2.1928332000475947E-3</v>
      </c>
    </row>
    <row r="90" spans="2:7">
      <c r="B90" s="181">
        <v>45697</v>
      </c>
      <c r="C90" s="145">
        <v>680.65</v>
      </c>
      <c r="D90" s="183">
        <f t="shared" si="2"/>
        <v>-3.6929607357622962E-2</v>
      </c>
      <c r="F90" s="182">
        <v>22929.25</v>
      </c>
      <c r="G90" s="183">
        <f t="shared" si="3"/>
        <v>-2.6770005878620329E-2</v>
      </c>
    </row>
    <row r="91" spans="2:7">
      <c r="B91" s="181">
        <v>45704</v>
      </c>
      <c r="C91" s="145">
        <v>673.2</v>
      </c>
      <c r="D91" s="183">
        <f t="shared" si="2"/>
        <v>-1.0945419819290314E-2</v>
      </c>
      <c r="F91" s="182">
        <v>22795.9</v>
      </c>
      <c r="G91" s="183">
        <f t="shared" si="3"/>
        <v>-5.8157157342695331E-3</v>
      </c>
    </row>
    <row r="92" spans="2:7">
      <c r="B92" s="181">
        <v>45711</v>
      </c>
      <c r="C92" s="145">
        <v>620.65</v>
      </c>
      <c r="D92" s="183">
        <f t="shared" si="2"/>
        <v>-7.8060011883541391E-2</v>
      </c>
      <c r="F92" s="182">
        <v>22124.7</v>
      </c>
      <c r="G92" s="183">
        <f t="shared" si="3"/>
        <v>-2.9443891226053842E-2</v>
      </c>
    </row>
    <row r="93" spans="2:7">
      <c r="B93" s="181">
        <v>45718</v>
      </c>
      <c r="C93" s="145">
        <v>648.29999999999995</v>
      </c>
      <c r="D93" s="183">
        <f t="shared" si="2"/>
        <v>4.4550068476597149E-2</v>
      </c>
      <c r="F93" s="182">
        <v>22552.5</v>
      </c>
      <c r="G93" s="183">
        <f t="shared" si="3"/>
        <v>1.9335855401429125E-2</v>
      </c>
    </row>
    <row r="94" spans="2:7">
      <c r="B94" s="181">
        <v>45725</v>
      </c>
      <c r="C94" s="145">
        <v>655.5</v>
      </c>
      <c r="D94" s="183">
        <f t="shared" si="2"/>
        <v>1.1105969458583997E-2</v>
      </c>
      <c r="F94" s="182">
        <v>22397.200000000001</v>
      </c>
      <c r="G94" s="183">
        <f t="shared" si="3"/>
        <v>-6.8861545283227521E-3</v>
      </c>
    </row>
    <row r="95" spans="2:7">
      <c r="B95" s="181">
        <v>45732</v>
      </c>
      <c r="C95" s="145">
        <v>702.95</v>
      </c>
      <c r="D95" s="183">
        <f t="shared" si="2"/>
        <v>7.2387490465293691E-2</v>
      </c>
      <c r="F95" s="182">
        <v>23350.400000000001</v>
      </c>
      <c r="G95" s="183">
        <f t="shared" si="3"/>
        <v>4.2558891289982803E-2</v>
      </c>
    </row>
    <row r="96" spans="2:7">
      <c r="B96" s="181">
        <v>45739</v>
      </c>
      <c r="C96" s="145">
        <v>674.45</v>
      </c>
      <c r="D96" s="183">
        <f t="shared" si="2"/>
        <v>-4.0543424141119555E-2</v>
      </c>
      <c r="F96" s="182">
        <v>23519.35</v>
      </c>
      <c r="G96" s="183">
        <f t="shared" si="3"/>
        <v>7.2354220912702605E-3</v>
      </c>
    </row>
    <row r="97" spans="2:7">
      <c r="B97" s="181">
        <v>45746</v>
      </c>
      <c r="C97" s="145">
        <v>613.85</v>
      </c>
      <c r="D97" s="183">
        <f t="shared" si="2"/>
        <v>-8.9850989695307359E-2</v>
      </c>
      <c r="F97" s="182">
        <v>22904.45</v>
      </c>
      <c r="G97" s="183">
        <f t="shared" si="3"/>
        <v>-2.6144430011883713E-2</v>
      </c>
    </row>
    <row r="98" spans="2:7">
      <c r="B98" s="181">
        <v>45753</v>
      </c>
      <c r="C98" s="145">
        <v>595.04999999999995</v>
      </c>
      <c r="D98" s="183">
        <f t="shared" si="2"/>
        <v>-3.0626374521462996E-2</v>
      </c>
      <c r="F98" s="182">
        <v>22828.55</v>
      </c>
      <c r="G98" s="183">
        <f t="shared" si="3"/>
        <v>-3.3137665388167648E-3</v>
      </c>
    </row>
    <row r="99" spans="2:7">
      <c r="B99" s="181">
        <v>45760</v>
      </c>
      <c r="C99" s="145">
        <v>621.54999999999995</v>
      </c>
      <c r="D99" s="183">
        <f t="shared" si="2"/>
        <v>4.4534072766994282E-2</v>
      </c>
      <c r="F99" s="182">
        <v>23851.65</v>
      </c>
      <c r="G99" s="183">
        <f t="shared" si="3"/>
        <v>4.4816687875489425E-2</v>
      </c>
    </row>
    <row r="100" spans="2:7">
      <c r="B100" s="181">
        <v>45767</v>
      </c>
      <c r="C100" s="145">
        <v>655.25</v>
      </c>
      <c r="D100" s="183">
        <f t="shared" si="2"/>
        <v>5.4219290483468852E-2</v>
      </c>
      <c r="F100" s="182">
        <v>24039.35</v>
      </c>
      <c r="G100" s="183">
        <f t="shared" si="3"/>
        <v>7.86947653516612E-3</v>
      </c>
    </row>
    <row r="101" spans="2:7">
      <c r="B101" s="181">
        <v>45774</v>
      </c>
      <c r="C101" s="145">
        <v>652</v>
      </c>
      <c r="D101" s="183">
        <f t="shared" si="2"/>
        <v>-4.9599389545974537E-3</v>
      </c>
      <c r="F101" s="182">
        <v>24346.7</v>
      </c>
      <c r="G101" s="183">
        <f t="shared" si="3"/>
        <v>1.2785287455775673E-2</v>
      </c>
    </row>
    <row r="102" spans="2:7">
      <c r="B102" s="181">
        <v>45781</v>
      </c>
      <c r="C102" s="145">
        <v>708.5</v>
      </c>
      <c r="D102" s="183">
        <f t="shared" si="2"/>
        <v>8.6656441717791521E-2</v>
      </c>
      <c r="F102" s="182">
        <v>24008</v>
      </c>
      <c r="G102" s="183">
        <f t="shared" si="3"/>
        <v>-1.391153626569519E-2</v>
      </c>
    </row>
    <row r="103" spans="2:7">
      <c r="B103" s="181">
        <v>45788</v>
      </c>
      <c r="C103" s="145">
        <v>730.7</v>
      </c>
      <c r="D103" s="183">
        <f t="shared" si="2"/>
        <v>3.1333803810868144E-2</v>
      </c>
      <c r="F103" s="182">
        <v>25019.8</v>
      </c>
      <c r="G103" s="183">
        <f t="shared" si="3"/>
        <v>4.2144285238253865E-2</v>
      </c>
    </row>
    <row r="104" spans="2:7">
      <c r="B104" s="181">
        <v>45795</v>
      </c>
      <c r="C104" s="145">
        <v>718.25</v>
      </c>
      <c r="D104" s="183">
        <f t="shared" si="2"/>
        <v>-1.7038456274805047E-2</v>
      </c>
      <c r="F104" s="182">
        <v>24853.15</v>
      </c>
      <c r="G104" s="183">
        <f t="shared" si="3"/>
        <v>-6.660724706032739E-3</v>
      </c>
    </row>
    <row r="105" spans="2:7">
      <c r="B105" s="181">
        <v>45802</v>
      </c>
      <c r="C105" s="145">
        <v>719.5</v>
      </c>
      <c r="D105" s="183">
        <f t="shared" si="2"/>
        <v>1.7403411068568353E-3</v>
      </c>
      <c r="F105" s="182">
        <v>24750.7</v>
      </c>
      <c r="G105" s="183">
        <f t="shared" si="3"/>
        <v>-4.1222138843567402E-3</v>
      </c>
    </row>
    <row r="106" spans="2:7">
      <c r="B106" s="181">
        <v>45809</v>
      </c>
      <c r="C106" s="145">
        <v>711</v>
      </c>
      <c r="D106" s="183">
        <f t="shared" si="2"/>
        <v>-1.1813759555246661E-2</v>
      </c>
      <c r="F106" s="182">
        <v>25003.05</v>
      </c>
      <c r="G106" s="183">
        <f t="shared" si="3"/>
        <v>1.0195671233540704E-2</v>
      </c>
    </row>
    <row r="107" spans="2:7">
      <c r="B107" s="181">
        <v>45816</v>
      </c>
      <c r="C107" s="145">
        <v>712.05</v>
      </c>
      <c r="D107" s="183">
        <f t="shared" si="2"/>
        <v>1.4767932489450075E-3</v>
      </c>
      <c r="F107" s="182">
        <v>24718.6</v>
      </c>
      <c r="G107" s="183">
        <f t="shared" si="3"/>
        <v>-1.1376612053329516E-2</v>
      </c>
    </row>
    <row r="108" spans="2:7">
      <c r="B108" s="181">
        <v>45823</v>
      </c>
      <c r="C108" s="145">
        <v>676.2</v>
      </c>
      <c r="D108" s="183">
        <f t="shared" si="2"/>
        <v>-5.0347587950284267E-2</v>
      </c>
      <c r="F108" s="182">
        <v>25112.400000000001</v>
      </c>
      <c r="G108" s="183">
        <f t="shared" si="3"/>
        <v>1.5931322971365791E-2</v>
      </c>
    </row>
    <row r="109" spans="2:7">
      <c r="B109" s="181">
        <v>45830</v>
      </c>
      <c r="C109" s="145">
        <v>686.9</v>
      </c>
      <c r="D109" s="183">
        <f t="shared" si="2"/>
        <v>1.5823720792664808E-2</v>
      </c>
      <c r="F109" s="182">
        <v>25637.8</v>
      </c>
      <c r="G109" s="183">
        <f t="shared" si="3"/>
        <v>2.092193498032846E-2</v>
      </c>
    </row>
    <row r="110" spans="2:7">
      <c r="B110" s="181">
        <v>45837</v>
      </c>
      <c r="C110" s="145">
        <v>689.05</v>
      </c>
      <c r="D110" s="183">
        <f t="shared" si="2"/>
        <v>3.130004367447814E-3</v>
      </c>
      <c r="F110" s="182">
        <v>25461</v>
      </c>
      <c r="G110" s="183">
        <f t="shared" si="3"/>
        <v>-6.8960675252947023E-3</v>
      </c>
    </row>
    <row r="111" spans="2:7">
      <c r="B111" s="181">
        <v>45844</v>
      </c>
      <c r="C111" s="145">
        <v>681.8</v>
      </c>
      <c r="D111" s="183">
        <f t="shared" si="2"/>
        <v>-1.0521732820550023E-2</v>
      </c>
      <c r="F111" s="182">
        <v>25149.85</v>
      </c>
      <c r="G111" s="183">
        <f t="shared" si="3"/>
        <v>-1.2220651192019205E-2</v>
      </c>
    </row>
    <row r="112" spans="2:7">
      <c r="B112" s="181">
        <v>45851</v>
      </c>
      <c r="C112" s="145">
        <v>680.25</v>
      </c>
      <c r="D112" s="183">
        <f t="shared" si="2"/>
        <v>-2.2733939571720763E-3</v>
      </c>
      <c r="F112" s="182">
        <v>24968.400000000001</v>
      </c>
      <c r="G112" s="183">
        <f t="shared" si="3"/>
        <v>-7.214754759968578E-3</v>
      </c>
    </row>
    <row r="113" spans="2:7">
      <c r="B113" s="181">
        <v>45858</v>
      </c>
      <c r="C113" s="145">
        <v>687.4</v>
      </c>
      <c r="D113" s="183">
        <f t="shared" si="2"/>
        <v>1.051084160235205E-2</v>
      </c>
      <c r="F113" s="182">
        <v>24837</v>
      </c>
      <c r="G113" s="183">
        <f t="shared" si="3"/>
        <v>-5.2626519921180615E-3</v>
      </c>
    </row>
    <row r="114" spans="2:7">
      <c r="B114" s="181">
        <v>45865</v>
      </c>
      <c r="C114" s="145">
        <v>648.85</v>
      </c>
      <c r="D114" s="183">
        <f t="shared" si="2"/>
        <v>-5.6080884492289762E-2</v>
      </c>
      <c r="F114" s="182">
        <v>24565.35</v>
      </c>
      <c r="G114" s="183">
        <f t="shared" si="3"/>
        <v>-1.0937311269477057E-2</v>
      </c>
    </row>
    <row r="115" spans="2:7">
      <c r="B115" s="181">
        <v>45872</v>
      </c>
      <c r="C115" s="145">
        <v>633.70000000000005</v>
      </c>
      <c r="D115" s="183">
        <f t="shared" si="2"/>
        <v>-2.3349002080604087E-2</v>
      </c>
      <c r="F115" s="182">
        <v>24363.3</v>
      </c>
      <c r="G115" s="183">
        <f t="shared" si="3"/>
        <v>-8.2249998473459263E-3</v>
      </c>
    </row>
    <row r="116" spans="2:7">
      <c r="B116" s="181">
        <v>45879</v>
      </c>
      <c r="C116" s="145">
        <v>664.6</v>
      </c>
      <c r="D116" s="183">
        <f t="shared" si="2"/>
        <v>4.8761243490610617E-2</v>
      </c>
      <c r="F116" s="182">
        <v>24631.3</v>
      </c>
      <c r="G116" s="183">
        <f t="shared" si="3"/>
        <v>1.100015186776826E-2</v>
      </c>
    </row>
  </sheetData>
  <autoFilter ref="B12:D12" xr:uid="{1BD98370-262A-4D8E-B08A-1A94291CDBAC}">
    <sortState xmlns:xlrd2="http://schemas.microsoft.com/office/spreadsheetml/2017/richdata2" ref="B13:D116">
      <sortCondition ref="B12"/>
    </sortState>
  </autoFilter>
  <mergeCells count="3">
    <mergeCell ref="B10:D10"/>
    <mergeCell ref="F10:G10"/>
    <mergeCell ref="I10:J10"/>
  </mergeCells>
  <pageMargins left="0.7" right="0.7" top="0.75" bottom="0.75" header="0.3" footer="0.3"/>
  <pageSetup scale="4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05BFC-B9DE-4132-AA2F-698306AB59B0}">
  <sheetPr codeName="Sheet22"/>
  <dimension ref="B2:T110"/>
  <sheetViews>
    <sheetView showGridLines="0" workbookViewId="0">
      <selection activeCell="H20" sqref="H20"/>
    </sheetView>
  </sheetViews>
  <sheetFormatPr defaultRowHeight="14.5"/>
  <cols>
    <col min="1" max="1" width="1.90625" style="145" customWidth="1"/>
    <col min="2" max="2" width="11.08984375" style="145" customWidth="1"/>
    <col min="3" max="3" width="11.26953125" style="145" bestFit="1" customWidth="1"/>
    <col min="4" max="5" width="8.7265625" style="145"/>
    <col min="6" max="6" width="11.26953125" style="145" bestFit="1" customWidth="1"/>
    <col min="7" max="7" width="9.26953125" style="145" customWidth="1"/>
    <col min="8" max="8" width="8.7265625" style="145"/>
    <col min="9" max="9" width="17.54296875" style="145" bestFit="1" customWidth="1"/>
    <col min="10" max="11" width="8.7265625" style="145"/>
    <col min="12" max="12" width="17.26953125" style="145" bestFit="1" customWidth="1"/>
    <col min="13" max="13" width="11.81640625" style="145" bestFit="1" customWidth="1"/>
    <col min="14" max="14" width="13.54296875" style="145" bestFit="1" customWidth="1"/>
    <col min="15" max="16" width="11.81640625" style="145" bestFit="1" customWidth="1"/>
    <col min="17" max="17" width="12.453125" style="145" bestFit="1" customWidth="1"/>
    <col min="18" max="18" width="11.81640625" style="145" bestFit="1" customWidth="1"/>
    <col min="19" max="19" width="12.453125" style="145" bestFit="1" customWidth="1"/>
    <col min="20" max="20" width="12" style="145" bestFit="1" customWidth="1"/>
    <col min="21" max="16384" width="8.7265625" style="145"/>
  </cols>
  <sheetData>
    <row r="2" spans="2:13">
      <c r="B2" s="176" t="s">
        <v>358</v>
      </c>
    </row>
    <row r="4" spans="2:13">
      <c r="B4" s="438" t="s">
        <v>374</v>
      </c>
      <c r="C4" s="438"/>
      <c r="D4" s="438"/>
      <c r="F4" s="439" t="s">
        <v>360</v>
      </c>
      <c r="G4" s="439"/>
      <c r="I4" s="439" t="s">
        <v>361</v>
      </c>
      <c r="J4" s="439"/>
    </row>
    <row r="6" spans="2:13">
      <c r="B6" s="177" t="s">
        <v>362</v>
      </c>
      <c r="C6" s="178" t="s">
        <v>363</v>
      </c>
      <c r="D6" s="178" t="s">
        <v>364</v>
      </c>
      <c r="F6" s="178" t="s">
        <v>363</v>
      </c>
      <c r="G6" s="178" t="s">
        <v>364</v>
      </c>
      <c r="I6" s="179" t="s">
        <v>365</v>
      </c>
      <c r="J6" s="180">
        <f>M9</f>
        <v>1.6350323039908099</v>
      </c>
      <c r="L6" s="171" t="s">
        <v>366</v>
      </c>
      <c r="M6" s="180">
        <f>SLOPE(D8:D110,G8:G110)</f>
        <v>1.6350323039908097</v>
      </c>
    </row>
    <row r="7" spans="2:13">
      <c r="B7" s="181">
        <v>45158</v>
      </c>
      <c r="C7" s="182">
        <v>1520.05</v>
      </c>
      <c r="F7" s="182">
        <v>19265.8</v>
      </c>
      <c r="I7" s="171" t="s">
        <v>367</v>
      </c>
      <c r="J7" s="183">
        <v>0.75</v>
      </c>
      <c r="L7" s="171" t="s">
        <v>368</v>
      </c>
      <c r="M7" s="180">
        <f>_xlfn.COVARIANCE.S(D7:D110,G7:G110)/_xlfn.VAR.S(G7:G110)</f>
        <v>1.6350323039908103</v>
      </c>
    </row>
    <row r="8" spans="2:13">
      <c r="B8" s="181">
        <v>45165</v>
      </c>
      <c r="C8" s="182">
        <v>1591.95</v>
      </c>
      <c r="D8" s="183">
        <f>C8/C7-1</f>
        <v>4.7301075622512512E-2</v>
      </c>
      <c r="F8" s="182">
        <v>19435.3</v>
      </c>
      <c r="G8" s="183">
        <f>F8/F7-1</f>
        <v>8.7979736112697715E-3</v>
      </c>
    </row>
    <row r="9" spans="2:13">
      <c r="B9" s="181">
        <v>45172</v>
      </c>
      <c r="C9" s="182">
        <v>1567.55</v>
      </c>
      <c r="D9" s="183">
        <f t="shared" ref="D9:D72" si="0">C9/C8-1</f>
        <v>-1.5327114545054865E-2</v>
      </c>
      <c r="F9" s="182">
        <v>19819.95</v>
      </c>
      <c r="G9" s="183">
        <f t="shared" ref="G9:G72" si="1">F9/F8-1</f>
        <v>1.9791307569216876E-2</v>
      </c>
      <c r="I9" s="171" t="s">
        <v>369</v>
      </c>
      <c r="J9" s="180">
        <v>1</v>
      </c>
      <c r="K9" s="171"/>
      <c r="L9" s="171" t="s">
        <v>370</v>
      </c>
      <c r="M9" s="180">
        <f>M28</f>
        <v>1.6350323039908099</v>
      </c>
    </row>
    <row r="10" spans="2:13">
      <c r="B10" s="181">
        <v>45179</v>
      </c>
      <c r="C10" s="182">
        <v>1601.1</v>
      </c>
      <c r="D10" s="183">
        <f t="shared" si="0"/>
        <v>2.1402826066154068E-2</v>
      </c>
      <c r="F10" s="182">
        <v>20192.349999999999</v>
      </c>
      <c r="G10" s="183">
        <f t="shared" si="1"/>
        <v>1.8789149316723597E-2</v>
      </c>
      <c r="I10" s="171" t="s">
        <v>371</v>
      </c>
      <c r="J10" s="183">
        <v>0.25</v>
      </c>
    </row>
    <row r="11" spans="2:13">
      <c r="B11" s="181">
        <v>45186</v>
      </c>
      <c r="C11" s="182">
        <v>1607.15</v>
      </c>
      <c r="D11" s="183">
        <f t="shared" si="0"/>
        <v>3.7786521766287606E-3</v>
      </c>
      <c r="F11" s="182">
        <v>19674.25</v>
      </c>
      <c r="G11" s="183">
        <f t="shared" si="1"/>
        <v>-2.5658231954180599E-2</v>
      </c>
      <c r="L11" s="145" t="s">
        <v>197</v>
      </c>
    </row>
    <row r="12" spans="2:13" ht="15" thickBot="1">
      <c r="B12" s="181">
        <v>45193</v>
      </c>
      <c r="C12" s="182">
        <v>1554.25</v>
      </c>
      <c r="D12" s="183">
        <f t="shared" si="0"/>
        <v>-3.2915409264847817E-2</v>
      </c>
      <c r="F12" s="182">
        <v>19638.3</v>
      </c>
      <c r="G12" s="183">
        <f t="shared" si="1"/>
        <v>-1.8272615220402688E-3</v>
      </c>
      <c r="I12" s="184" t="s">
        <v>372</v>
      </c>
      <c r="J12" s="185">
        <f>(J6*J7)+(J9*J10)</f>
        <v>1.4762742279931074</v>
      </c>
    </row>
    <row r="13" spans="2:13">
      <c r="B13" s="181">
        <v>45200</v>
      </c>
      <c r="C13" s="182">
        <v>1548.85</v>
      </c>
      <c r="D13" s="183">
        <f t="shared" si="0"/>
        <v>-3.4743445391668404E-3</v>
      </c>
      <c r="F13" s="182">
        <v>19653.5</v>
      </c>
      <c r="G13" s="183">
        <f t="shared" si="1"/>
        <v>7.7399774929598486E-4</v>
      </c>
      <c r="L13" s="186" t="s">
        <v>198</v>
      </c>
      <c r="M13" s="186"/>
    </row>
    <row r="14" spans="2:13">
      <c r="B14" s="181">
        <v>45207</v>
      </c>
      <c r="C14" s="182">
        <v>1562.45</v>
      </c>
      <c r="D14" s="183">
        <f t="shared" si="0"/>
        <v>8.7807082674242753E-3</v>
      </c>
      <c r="F14" s="182">
        <v>19751.05</v>
      </c>
      <c r="G14" s="183">
        <f t="shared" si="1"/>
        <v>4.9634925076957881E-3</v>
      </c>
      <c r="L14" s="145" t="s">
        <v>199</v>
      </c>
      <c r="M14" s="145">
        <v>0.61314102897468425</v>
      </c>
    </row>
    <row r="15" spans="2:13">
      <c r="B15" s="181">
        <v>45214</v>
      </c>
      <c r="C15" s="182">
        <v>1558.25</v>
      </c>
      <c r="D15" s="183">
        <f t="shared" si="0"/>
        <v>-2.688086018752589E-3</v>
      </c>
      <c r="F15" s="182">
        <v>19542.650000000001</v>
      </c>
      <c r="G15" s="183">
        <f t="shared" si="1"/>
        <v>-1.0551337776978809E-2</v>
      </c>
      <c r="L15" s="145" t="s">
        <v>200</v>
      </c>
      <c r="M15" s="145">
        <v>0.37594192141213462</v>
      </c>
    </row>
    <row r="16" spans="2:13">
      <c r="B16" s="181">
        <v>45221</v>
      </c>
      <c r="C16" s="182">
        <v>1510.8</v>
      </c>
      <c r="D16" s="183">
        <f t="shared" si="0"/>
        <v>-3.0450826247392926E-2</v>
      </c>
      <c r="F16" s="182">
        <v>19047.25</v>
      </c>
      <c r="G16" s="183">
        <f t="shared" si="1"/>
        <v>-2.5349683896503383E-2</v>
      </c>
      <c r="L16" s="145" t="s">
        <v>201</v>
      </c>
      <c r="M16" s="145">
        <v>0.36976312855482901</v>
      </c>
    </row>
    <row r="17" spans="2:20">
      <c r="B17" s="181">
        <v>45228</v>
      </c>
      <c r="C17" s="182">
        <v>1469</v>
      </c>
      <c r="D17" s="183">
        <f t="shared" si="0"/>
        <v>-2.7667460947842226E-2</v>
      </c>
      <c r="F17" s="182">
        <v>19230.599999999999</v>
      </c>
      <c r="G17" s="183">
        <f t="shared" si="1"/>
        <v>9.6260615049414966E-3</v>
      </c>
      <c r="L17" s="145" t="s">
        <v>202</v>
      </c>
      <c r="M17" s="145">
        <v>3.6632025126428915E-2</v>
      </c>
    </row>
    <row r="18" spans="2:20" ht="15" thickBot="1">
      <c r="B18" s="181">
        <v>45235</v>
      </c>
      <c r="C18" s="182">
        <v>1524.1</v>
      </c>
      <c r="D18" s="183">
        <f t="shared" si="0"/>
        <v>3.7508509189924988E-2</v>
      </c>
      <c r="F18" s="182">
        <v>19425.349999999999</v>
      </c>
      <c r="G18" s="183">
        <f t="shared" si="1"/>
        <v>1.0127089118384225E-2</v>
      </c>
      <c r="L18" s="187" t="s">
        <v>203</v>
      </c>
      <c r="M18" s="187">
        <v>103</v>
      </c>
    </row>
    <row r="19" spans="2:20">
      <c r="B19" s="181">
        <v>45242</v>
      </c>
      <c r="C19" s="182">
        <v>1584.55</v>
      </c>
      <c r="D19" s="183">
        <f t="shared" si="0"/>
        <v>3.9662751787940431E-2</v>
      </c>
      <c r="F19" s="182">
        <v>19731.8</v>
      </c>
      <c r="G19" s="183">
        <f t="shared" si="1"/>
        <v>1.5775777527818002E-2</v>
      </c>
    </row>
    <row r="20" spans="2:20" ht="15" thickBot="1">
      <c r="B20" s="181">
        <v>45249</v>
      </c>
      <c r="C20" s="182">
        <v>1553.2</v>
      </c>
      <c r="D20" s="183">
        <f t="shared" si="0"/>
        <v>-1.9784796945504945E-2</v>
      </c>
      <c r="F20" s="182">
        <v>19794.7</v>
      </c>
      <c r="G20" s="183">
        <f t="shared" si="1"/>
        <v>3.1877476966115648E-3</v>
      </c>
      <c r="L20" s="145" t="s">
        <v>204</v>
      </c>
    </row>
    <row r="21" spans="2:20">
      <c r="B21" s="181">
        <v>45256</v>
      </c>
      <c r="C21" s="182">
        <v>1625.5</v>
      </c>
      <c r="D21" s="183">
        <f t="shared" si="0"/>
        <v>4.6549060005150578E-2</v>
      </c>
      <c r="F21" s="182">
        <v>20267.900000000001</v>
      </c>
      <c r="G21" s="183">
        <f t="shared" si="1"/>
        <v>2.3905388816198414E-2</v>
      </c>
      <c r="L21" s="188"/>
      <c r="M21" s="188" t="s">
        <v>208</v>
      </c>
      <c r="N21" s="188" t="s">
        <v>209</v>
      </c>
      <c r="O21" s="188" t="s">
        <v>210</v>
      </c>
      <c r="P21" s="188" t="s">
        <v>211</v>
      </c>
      <c r="Q21" s="188" t="s">
        <v>212</v>
      </c>
    </row>
    <row r="22" spans="2:20">
      <c r="B22" s="181">
        <v>45263</v>
      </c>
      <c r="C22" s="182">
        <v>1668.55</v>
      </c>
      <c r="D22" s="183">
        <f t="shared" si="0"/>
        <v>2.6484158720393669E-2</v>
      </c>
      <c r="F22" s="182">
        <v>20969.400000000001</v>
      </c>
      <c r="G22" s="183">
        <f t="shared" si="1"/>
        <v>3.4611380557433069E-2</v>
      </c>
      <c r="L22" s="145" t="s">
        <v>205</v>
      </c>
      <c r="M22" s="145">
        <v>1</v>
      </c>
      <c r="N22" s="145">
        <v>8.1646764226655899E-2</v>
      </c>
      <c r="O22" s="145">
        <v>8.1646764226655899E-2</v>
      </c>
      <c r="P22" s="145">
        <v>60.843910791997736</v>
      </c>
      <c r="Q22" s="145">
        <v>5.7978146948874194E-12</v>
      </c>
    </row>
    <row r="23" spans="2:20">
      <c r="B23" s="181">
        <v>45270</v>
      </c>
      <c r="C23" s="182">
        <v>1724.95</v>
      </c>
      <c r="D23" s="183">
        <f t="shared" si="0"/>
        <v>3.3801803961523547E-2</v>
      </c>
      <c r="F23" s="182">
        <v>21456.65</v>
      </c>
      <c r="G23" s="183">
        <f t="shared" si="1"/>
        <v>2.3236239472755438E-2</v>
      </c>
      <c r="L23" s="145" t="s">
        <v>206</v>
      </c>
      <c r="M23" s="145">
        <v>101</v>
      </c>
      <c r="N23" s="145">
        <v>0.13553243175119525</v>
      </c>
      <c r="O23" s="145">
        <v>1.3419052648633194E-3</v>
      </c>
    </row>
    <row r="24" spans="2:20" ht="15" thickBot="1">
      <c r="B24" s="181">
        <v>45277</v>
      </c>
      <c r="C24" s="182">
        <v>1634.25</v>
      </c>
      <c r="D24" s="183">
        <f t="shared" si="0"/>
        <v>-5.2581234238673558E-2</v>
      </c>
      <c r="F24" s="182">
        <v>21349.4</v>
      </c>
      <c r="G24" s="183">
        <f t="shared" si="1"/>
        <v>-4.9984503638732525E-3</v>
      </c>
      <c r="L24" s="187" t="s">
        <v>26</v>
      </c>
      <c r="M24" s="187">
        <v>102</v>
      </c>
      <c r="N24" s="187">
        <v>0.21717919597785115</v>
      </c>
      <c r="O24" s="187"/>
      <c r="P24" s="187"/>
      <c r="Q24" s="187"/>
    </row>
    <row r="25" spans="2:20" ht="15" thickBot="1">
      <c r="B25" s="181">
        <v>45284</v>
      </c>
      <c r="C25" s="182">
        <v>1729.4</v>
      </c>
      <c r="D25" s="183">
        <f t="shared" si="0"/>
        <v>5.8222426189383558E-2</v>
      </c>
      <c r="F25" s="182">
        <v>21731.4</v>
      </c>
      <c r="G25" s="183">
        <f t="shared" si="1"/>
        <v>1.7892774504201459E-2</v>
      </c>
    </row>
    <row r="26" spans="2:20">
      <c r="B26" s="181">
        <v>45291</v>
      </c>
      <c r="C26" s="182">
        <v>1642</v>
      </c>
      <c r="D26" s="183">
        <f t="shared" si="0"/>
        <v>-5.0537758760263674E-2</v>
      </c>
      <c r="F26" s="182">
        <v>21710.799999999999</v>
      </c>
      <c r="G26" s="183">
        <f t="shared" si="1"/>
        <v>-9.479370864280412E-4</v>
      </c>
      <c r="L26" s="188"/>
      <c r="M26" s="188" t="s">
        <v>213</v>
      </c>
      <c r="N26" s="188" t="s">
        <v>202</v>
      </c>
      <c r="O26" s="188" t="s">
        <v>214</v>
      </c>
      <c r="P26" s="188" t="s">
        <v>215</v>
      </c>
      <c r="Q26" s="188" t="s">
        <v>216</v>
      </c>
      <c r="R26" s="188" t="s">
        <v>217</v>
      </c>
      <c r="S26" s="188" t="s">
        <v>218</v>
      </c>
      <c r="T26" s="188" t="s">
        <v>219</v>
      </c>
    </row>
    <row r="27" spans="2:20">
      <c r="B27" s="181">
        <v>45298</v>
      </c>
      <c r="C27" s="182">
        <v>1624.45</v>
      </c>
      <c r="D27" s="183">
        <f t="shared" si="0"/>
        <v>-1.0688185140073081E-2</v>
      </c>
      <c r="F27" s="182">
        <v>21894.55</v>
      </c>
      <c r="G27" s="183">
        <f t="shared" si="1"/>
        <v>8.4635296718684749E-3</v>
      </c>
      <c r="L27" s="145" t="s">
        <v>207</v>
      </c>
      <c r="M27" s="145">
        <v>4.3423702147551155E-3</v>
      </c>
      <c r="N27" s="145">
        <v>3.6484098070977463E-3</v>
      </c>
      <c r="O27" s="145">
        <v>1.1902090073070504</v>
      </c>
      <c r="P27" s="145">
        <v>0.23675433380065569</v>
      </c>
      <c r="Q27" s="145">
        <v>-2.8950934310719607E-3</v>
      </c>
      <c r="R27" s="145">
        <v>1.1579833860582192E-2</v>
      </c>
      <c r="S27" s="145">
        <v>-2.8950934310719607E-3</v>
      </c>
      <c r="T27" s="145">
        <v>1.1579833860582192E-2</v>
      </c>
    </row>
    <row r="28" spans="2:20" ht="15" thickBot="1">
      <c r="B28" s="181">
        <v>45305</v>
      </c>
      <c r="C28" s="182">
        <v>1655.55</v>
      </c>
      <c r="D28" s="183">
        <f t="shared" si="0"/>
        <v>1.9144941364769519E-2</v>
      </c>
      <c r="F28" s="182">
        <v>21622.400000000001</v>
      </c>
      <c r="G28" s="183">
        <f t="shared" si="1"/>
        <v>-1.2430033958222397E-2</v>
      </c>
      <c r="L28" s="187" t="s">
        <v>373</v>
      </c>
      <c r="M28" s="187">
        <v>1.6350323039908099</v>
      </c>
      <c r="N28" s="187">
        <v>0.20961278931139507</v>
      </c>
      <c r="O28" s="187">
        <v>7.8002506877662423</v>
      </c>
      <c r="P28" s="187">
        <v>5.7978146948874194E-12</v>
      </c>
      <c r="Q28" s="187">
        <v>1.2192169152177943</v>
      </c>
      <c r="R28" s="187">
        <v>2.0508476927638255</v>
      </c>
      <c r="S28" s="187">
        <v>1.2192169152177943</v>
      </c>
      <c r="T28" s="187">
        <v>2.0508476927638255</v>
      </c>
    </row>
    <row r="29" spans="2:20">
      <c r="B29" s="181">
        <v>45312</v>
      </c>
      <c r="C29" s="182">
        <v>1635.5</v>
      </c>
      <c r="D29" s="183">
        <f t="shared" si="0"/>
        <v>-1.2110778895231156E-2</v>
      </c>
      <c r="F29" s="182">
        <v>21352.6</v>
      </c>
      <c r="G29" s="183">
        <f t="shared" si="1"/>
        <v>-1.2477800799171379E-2</v>
      </c>
    </row>
    <row r="30" spans="2:20">
      <c r="B30" s="181">
        <v>45319</v>
      </c>
      <c r="C30" s="182">
        <v>1660.75</v>
      </c>
      <c r="D30" s="183">
        <f t="shared" si="0"/>
        <v>1.5438703760317862E-2</v>
      </c>
      <c r="F30" s="182">
        <v>21853.8</v>
      </c>
      <c r="G30" s="183">
        <f t="shared" si="1"/>
        <v>2.3472551352060167E-2</v>
      </c>
    </row>
    <row r="31" spans="2:20">
      <c r="B31" s="181">
        <v>45326</v>
      </c>
      <c r="C31" s="182">
        <v>1646.4</v>
      </c>
      <c r="D31" s="183">
        <f t="shared" si="0"/>
        <v>-8.6406743940989905E-3</v>
      </c>
      <c r="F31" s="182">
        <v>21782.5</v>
      </c>
      <c r="G31" s="183">
        <f t="shared" si="1"/>
        <v>-3.2625904876955047E-3</v>
      </c>
    </row>
    <row r="32" spans="2:20">
      <c r="B32" s="181">
        <v>45333</v>
      </c>
      <c r="C32" s="182">
        <v>1835.55</v>
      </c>
      <c r="D32" s="183">
        <f t="shared" si="0"/>
        <v>0.11488702623906688</v>
      </c>
      <c r="F32" s="182">
        <v>22040.7</v>
      </c>
      <c r="G32" s="183">
        <f t="shared" si="1"/>
        <v>1.1853552163433978E-2</v>
      </c>
    </row>
    <row r="33" spans="2:7">
      <c r="B33" s="181">
        <v>45340</v>
      </c>
      <c r="C33" s="182">
        <v>1929.95</v>
      </c>
      <c r="D33" s="183">
        <f t="shared" si="0"/>
        <v>5.1428727084525061E-2</v>
      </c>
      <c r="F33" s="182">
        <v>22212.7</v>
      </c>
      <c r="G33" s="183">
        <f t="shared" si="1"/>
        <v>7.8037448901351336E-3</v>
      </c>
    </row>
    <row r="34" spans="2:7">
      <c r="B34" s="181">
        <v>45347</v>
      </c>
      <c r="C34" s="182">
        <v>1972.95</v>
      </c>
      <c r="D34" s="183">
        <f t="shared" si="0"/>
        <v>2.228036995777094E-2</v>
      </c>
      <c r="F34" s="182">
        <v>22338.75</v>
      </c>
      <c r="G34" s="183">
        <f t="shared" si="1"/>
        <v>5.6746816010659895E-3</v>
      </c>
    </row>
    <row r="35" spans="2:7">
      <c r="B35" s="181">
        <v>45354</v>
      </c>
      <c r="C35" s="182">
        <v>1897.55</v>
      </c>
      <c r="D35" s="183">
        <f t="shared" si="0"/>
        <v>-3.8216883347271913E-2</v>
      </c>
      <c r="F35" s="182">
        <v>22493.55</v>
      </c>
      <c r="G35" s="183">
        <f t="shared" si="1"/>
        <v>6.929662581836471E-3</v>
      </c>
    </row>
    <row r="36" spans="2:7">
      <c r="B36" s="181">
        <v>45361</v>
      </c>
      <c r="C36" s="182">
        <v>1799.5</v>
      </c>
      <c r="D36" s="183">
        <f t="shared" si="0"/>
        <v>-5.16718927037495E-2</v>
      </c>
      <c r="F36" s="182">
        <v>22023.35</v>
      </c>
      <c r="G36" s="183">
        <f t="shared" si="1"/>
        <v>-2.0903770191899484E-2</v>
      </c>
    </row>
    <row r="37" spans="2:7">
      <c r="B37" s="181">
        <v>45368</v>
      </c>
      <c r="C37" s="182">
        <v>1878.8</v>
      </c>
      <c r="D37" s="183">
        <f t="shared" si="0"/>
        <v>4.4067796610169463E-2</v>
      </c>
      <c r="F37" s="182">
        <v>22096.75</v>
      </c>
      <c r="G37" s="183">
        <f t="shared" si="1"/>
        <v>3.3328262957270649E-3</v>
      </c>
    </row>
    <row r="38" spans="2:7">
      <c r="B38" s="181">
        <v>45375</v>
      </c>
      <c r="C38" s="182">
        <v>1921.35</v>
      </c>
      <c r="D38" s="183">
        <f t="shared" si="0"/>
        <v>2.2647434532680366E-2</v>
      </c>
      <c r="F38" s="182">
        <v>22326.9</v>
      </c>
      <c r="G38" s="183">
        <f t="shared" si="1"/>
        <v>1.0415558849152129E-2</v>
      </c>
    </row>
    <row r="39" spans="2:7">
      <c r="B39" s="181">
        <v>45382</v>
      </c>
      <c r="C39" s="182">
        <v>2013.3</v>
      </c>
      <c r="D39" s="183">
        <f t="shared" si="0"/>
        <v>4.7856975564056548E-2</v>
      </c>
      <c r="F39" s="182">
        <v>22513.7</v>
      </c>
      <c r="G39" s="183">
        <f t="shared" si="1"/>
        <v>8.3665891816597782E-3</v>
      </c>
    </row>
    <row r="40" spans="2:7">
      <c r="B40" s="181">
        <v>45389</v>
      </c>
      <c r="C40" s="182">
        <v>2070.9499999999998</v>
      </c>
      <c r="D40" s="183">
        <f t="shared" si="0"/>
        <v>2.8634580042715907E-2</v>
      </c>
      <c r="F40" s="182">
        <v>22519.4</v>
      </c>
      <c r="G40" s="183">
        <f t="shared" si="1"/>
        <v>2.5317917534661838E-4</v>
      </c>
    </row>
    <row r="41" spans="2:7">
      <c r="B41" s="181">
        <v>45396</v>
      </c>
      <c r="C41" s="182">
        <v>2082.9</v>
      </c>
      <c r="D41" s="183">
        <f t="shared" si="0"/>
        <v>5.7702986552066182E-3</v>
      </c>
      <c r="F41" s="182">
        <v>22147</v>
      </c>
      <c r="G41" s="183">
        <f t="shared" si="1"/>
        <v>-1.6536852669254087E-2</v>
      </c>
    </row>
    <row r="42" spans="2:7">
      <c r="B42" s="181">
        <v>45403</v>
      </c>
      <c r="C42" s="182">
        <v>2044.9</v>
      </c>
      <c r="D42" s="183">
        <f t="shared" si="0"/>
        <v>-1.8243794709299488E-2</v>
      </c>
      <c r="F42" s="182">
        <v>22419.95</v>
      </c>
      <c r="G42" s="183">
        <f t="shared" si="1"/>
        <v>1.2324468325281002E-2</v>
      </c>
    </row>
    <row r="43" spans="2:7">
      <c r="B43" s="181">
        <v>45410</v>
      </c>
      <c r="C43" s="182">
        <v>2193</v>
      </c>
      <c r="D43" s="183">
        <f t="shared" si="0"/>
        <v>7.2424079417086284E-2</v>
      </c>
      <c r="F43" s="182">
        <v>22475.85</v>
      </c>
      <c r="G43" s="183">
        <f t="shared" si="1"/>
        <v>2.4933151055197555E-3</v>
      </c>
    </row>
    <row r="44" spans="2:7">
      <c r="B44" s="181">
        <v>45417</v>
      </c>
      <c r="C44" s="182">
        <v>2193.0500000000002</v>
      </c>
      <c r="D44" s="183">
        <f t="shared" si="0"/>
        <v>2.279981760144878E-5</v>
      </c>
      <c r="F44" s="182">
        <v>22055.200000000001</v>
      </c>
      <c r="G44" s="183">
        <f t="shared" si="1"/>
        <v>-1.8715643679771743E-2</v>
      </c>
    </row>
    <row r="45" spans="2:7">
      <c r="B45" s="181">
        <v>45424</v>
      </c>
      <c r="C45" s="182">
        <v>2514.6</v>
      </c>
      <c r="D45" s="183">
        <f t="shared" si="0"/>
        <v>0.14662228403365152</v>
      </c>
      <c r="F45" s="182">
        <v>22466.1</v>
      </c>
      <c r="G45" s="183">
        <f t="shared" si="1"/>
        <v>1.8630527041241907E-2</v>
      </c>
    </row>
    <row r="46" spans="2:7">
      <c r="B46" s="181">
        <v>45431</v>
      </c>
      <c r="C46" s="182">
        <v>2579.75</v>
      </c>
      <c r="D46" s="183">
        <f t="shared" si="0"/>
        <v>2.5908693231528002E-2</v>
      </c>
      <c r="F46" s="182">
        <v>22957.1</v>
      </c>
      <c r="G46" s="183">
        <f t="shared" si="1"/>
        <v>2.1855150649200406E-2</v>
      </c>
    </row>
    <row r="47" spans="2:7">
      <c r="B47" s="181">
        <v>45438</v>
      </c>
      <c r="C47" s="182">
        <v>2506.25</v>
      </c>
      <c r="D47" s="183">
        <f t="shared" si="0"/>
        <v>-2.8491132861711455E-2</v>
      </c>
      <c r="F47" s="182">
        <v>22530.7</v>
      </c>
      <c r="G47" s="183">
        <f t="shared" si="1"/>
        <v>-1.8573774562117951E-2</v>
      </c>
    </row>
    <row r="48" spans="2:7">
      <c r="B48" s="181">
        <v>45445</v>
      </c>
      <c r="C48" s="182">
        <v>2857.45</v>
      </c>
      <c r="D48" s="183">
        <f t="shared" si="0"/>
        <v>0.14012967581047375</v>
      </c>
      <c r="F48" s="182">
        <v>23290.15</v>
      </c>
      <c r="G48" s="183">
        <f t="shared" si="1"/>
        <v>3.3707341538434354E-2</v>
      </c>
    </row>
    <row r="49" spans="2:7">
      <c r="B49" s="181">
        <v>45452</v>
      </c>
      <c r="C49" s="182">
        <v>2928.6</v>
      </c>
      <c r="D49" s="183">
        <f t="shared" si="0"/>
        <v>2.4899823268998533E-2</v>
      </c>
      <c r="F49" s="182">
        <v>23465.599999999999</v>
      </c>
      <c r="G49" s="183">
        <f t="shared" si="1"/>
        <v>7.5332275661599279E-3</v>
      </c>
    </row>
    <row r="50" spans="2:7">
      <c r="B50" s="181">
        <v>45459</v>
      </c>
      <c r="C50" s="182">
        <v>2839.95</v>
      </c>
      <c r="D50" s="183">
        <f t="shared" si="0"/>
        <v>-3.0270436385986477E-2</v>
      </c>
      <c r="F50" s="182">
        <v>23501.1</v>
      </c>
      <c r="G50" s="183">
        <f t="shared" si="1"/>
        <v>1.5128528569481325E-3</v>
      </c>
    </row>
    <row r="51" spans="2:7">
      <c r="B51" s="181">
        <v>45466</v>
      </c>
      <c r="C51" s="182">
        <v>2866.65</v>
      </c>
      <c r="D51" s="183">
        <f t="shared" si="0"/>
        <v>9.4015739713728674E-3</v>
      </c>
      <c r="F51" s="182">
        <v>24010.6</v>
      </c>
      <c r="G51" s="183">
        <f t="shared" si="1"/>
        <v>2.1679836262983532E-2</v>
      </c>
    </row>
    <row r="52" spans="2:7">
      <c r="B52" s="181">
        <v>45473</v>
      </c>
      <c r="C52" s="182">
        <v>2880.6</v>
      </c>
      <c r="D52" s="183">
        <f t="shared" si="0"/>
        <v>4.8663073622521313E-3</v>
      </c>
      <c r="F52" s="182">
        <v>24323.85</v>
      </c>
      <c r="G52" s="183">
        <f t="shared" si="1"/>
        <v>1.3046321208133094E-2</v>
      </c>
    </row>
    <row r="53" spans="2:7">
      <c r="B53" s="181">
        <v>45480</v>
      </c>
      <c r="C53" s="182">
        <v>2703.95</v>
      </c>
      <c r="D53" s="183">
        <f t="shared" si="0"/>
        <v>-6.1324029716031458E-2</v>
      </c>
      <c r="F53" s="182">
        <v>24502.15</v>
      </c>
      <c r="G53" s="183">
        <f t="shared" si="1"/>
        <v>7.3302540510651326E-3</v>
      </c>
    </row>
    <row r="54" spans="2:7">
      <c r="B54" s="181">
        <v>45487</v>
      </c>
      <c r="C54" s="182">
        <v>2749.3</v>
      </c>
      <c r="D54" s="183">
        <f t="shared" si="0"/>
        <v>1.6771759832837185E-2</v>
      </c>
      <c r="F54" s="182">
        <v>24530.9</v>
      </c>
      <c r="G54" s="183">
        <f t="shared" si="1"/>
        <v>1.1733664188653403E-3</v>
      </c>
    </row>
    <row r="55" spans="2:7">
      <c r="B55" s="181">
        <v>45494</v>
      </c>
      <c r="C55" s="182">
        <v>2887.8</v>
      </c>
      <c r="D55" s="183">
        <f t="shared" si="0"/>
        <v>5.037645946240854E-2</v>
      </c>
      <c r="F55" s="182">
        <v>24834.85</v>
      </c>
      <c r="G55" s="183">
        <f t="shared" si="1"/>
        <v>1.2390495252925682E-2</v>
      </c>
    </row>
    <row r="56" spans="2:7">
      <c r="B56" s="181">
        <v>45501</v>
      </c>
      <c r="C56" s="182">
        <v>2749.65</v>
      </c>
      <c r="D56" s="183">
        <f t="shared" si="0"/>
        <v>-4.7839185539164775E-2</v>
      </c>
      <c r="F56" s="182">
        <v>24717.7</v>
      </c>
      <c r="G56" s="183">
        <f t="shared" si="1"/>
        <v>-4.7171615693268887E-3</v>
      </c>
    </row>
    <row r="57" spans="2:7">
      <c r="B57" s="181">
        <v>45508</v>
      </c>
      <c r="C57" s="182">
        <v>2749.15</v>
      </c>
      <c r="D57" s="183">
        <f t="shared" si="0"/>
        <v>-1.8184132525955743E-4</v>
      </c>
      <c r="F57" s="182">
        <v>24367.5</v>
      </c>
      <c r="G57" s="183">
        <f t="shared" si="1"/>
        <v>-1.4167984885325113E-2</v>
      </c>
    </row>
    <row r="58" spans="2:7">
      <c r="B58" s="181">
        <v>45515</v>
      </c>
      <c r="C58" s="182">
        <v>2840.45</v>
      </c>
      <c r="D58" s="183">
        <f t="shared" si="0"/>
        <v>3.3210264990997107E-2</v>
      </c>
      <c r="F58" s="182">
        <v>24541.15</v>
      </c>
      <c r="G58" s="183">
        <f t="shared" si="1"/>
        <v>7.1262952703396998E-3</v>
      </c>
    </row>
    <row r="59" spans="2:7">
      <c r="B59" s="181">
        <v>45522</v>
      </c>
      <c r="C59" s="182">
        <v>2759</v>
      </c>
      <c r="D59" s="183">
        <f t="shared" si="0"/>
        <v>-2.8675033885475876E-2</v>
      </c>
      <c r="F59" s="182">
        <v>24823.15</v>
      </c>
      <c r="G59" s="183">
        <f t="shared" si="1"/>
        <v>1.1490904052988471E-2</v>
      </c>
    </row>
    <row r="60" spans="2:7">
      <c r="B60" s="181">
        <v>45529</v>
      </c>
      <c r="C60" s="182">
        <v>2805.4</v>
      </c>
      <c r="D60" s="183">
        <f t="shared" si="0"/>
        <v>1.6817687567959538E-2</v>
      </c>
      <c r="F60" s="182">
        <v>25235.9</v>
      </c>
      <c r="G60" s="183">
        <f t="shared" si="1"/>
        <v>1.6627623810837822E-2</v>
      </c>
    </row>
    <row r="61" spans="2:7">
      <c r="B61" s="181">
        <v>45536</v>
      </c>
      <c r="C61" s="182">
        <v>2698.1</v>
      </c>
      <c r="D61" s="183">
        <f t="shared" si="0"/>
        <v>-3.824766521708145E-2</v>
      </c>
      <c r="F61" s="182">
        <v>24852.15</v>
      </c>
      <c r="G61" s="183">
        <f t="shared" si="1"/>
        <v>-1.5206511358818231E-2</v>
      </c>
    </row>
    <row r="62" spans="2:7">
      <c r="B62" s="181">
        <v>45543</v>
      </c>
      <c r="C62" s="182">
        <v>2739.1</v>
      </c>
      <c r="D62" s="183">
        <f t="shared" si="0"/>
        <v>1.5195878581223843E-2</v>
      </c>
      <c r="F62" s="182">
        <v>25356.5</v>
      </c>
      <c r="G62" s="183">
        <f t="shared" si="1"/>
        <v>2.0294018827344829E-2</v>
      </c>
    </row>
    <row r="63" spans="2:7">
      <c r="B63" s="181">
        <v>45550</v>
      </c>
      <c r="C63" s="182">
        <v>2950.85</v>
      </c>
      <c r="D63" s="183">
        <f t="shared" si="0"/>
        <v>7.7306414515716737E-2</v>
      </c>
      <c r="F63" s="182">
        <v>25790.95</v>
      </c>
      <c r="G63" s="183">
        <f t="shared" si="1"/>
        <v>1.7133673811448702E-2</v>
      </c>
    </row>
    <row r="64" spans="2:7">
      <c r="B64" s="181">
        <v>45557</v>
      </c>
      <c r="C64" s="182">
        <v>3183.65</v>
      </c>
      <c r="D64" s="183">
        <f t="shared" si="0"/>
        <v>7.8892522493518857E-2</v>
      </c>
      <c r="F64" s="182">
        <v>26178.95</v>
      </c>
      <c r="G64" s="183">
        <f t="shared" si="1"/>
        <v>1.5044036764834123E-2</v>
      </c>
    </row>
    <row r="65" spans="2:7">
      <c r="B65" s="181">
        <v>45564</v>
      </c>
      <c r="C65" s="182">
        <v>3017.45</v>
      </c>
      <c r="D65" s="183">
        <f t="shared" si="0"/>
        <v>-5.2204230992728529E-2</v>
      </c>
      <c r="F65" s="182">
        <v>25014.6</v>
      </c>
      <c r="G65" s="183">
        <f t="shared" si="1"/>
        <v>-4.4476573735768743E-2</v>
      </c>
    </row>
    <row r="66" spans="2:7">
      <c r="B66" s="181">
        <v>45571</v>
      </c>
      <c r="C66" s="182">
        <v>3134.35</v>
      </c>
      <c r="D66" s="183">
        <f t="shared" si="0"/>
        <v>3.8741321314354815E-2</v>
      </c>
      <c r="F66" s="182">
        <v>24964.25</v>
      </c>
      <c r="G66" s="183">
        <f t="shared" si="1"/>
        <v>-2.0128245104857889E-3</v>
      </c>
    </row>
    <row r="67" spans="2:7">
      <c r="B67" s="181">
        <v>45578</v>
      </c>
      <c r="C67" s="182">
        <v>2964.25</v>
      </c>
      <c r="D67" s="183">
        <f t="shared" si="0"/>
        <v>-5.4269625281158751E-2</v>
      </c>
      <c r="F67" s="182">
        <v>24854.05</v>
      </c>
      <c r="G67" s="183">
        <f t="shared" si="1"/>
        <v>-4.4143124668275524E-3</v>
      </c>
    </row>
    <row r="68" spans="2:7">
      <c r="B68" s="181">
        <v>45585</v>
      </c>
      <c r="C68" s="182">
        <v>2720.85</v>
      </c>
      <c r="D68" s="183">
        <f t="shared" si="0"/>
        <v>-8.211183267268285E-2</v>
      </c>
      <c r="F68" s="182">
        <v>24180.799999999999</v>
      </c>
      <c r="G68" s="183">
        <f t="shared" si="1"/>
        <v>-2.7088140564616281E-2</v>
      </c>
    </row>
    <row r="69" spans="2:7">
      <c r="B69" s="181">
        <v>45592</v>
      </c>
      <c r="C69" s="182">
        <v>2817.65</v>
      </c>
      <c r="D69" s="183">
        <f t="shared" si="0"/>
        <v>3.5577117444916206E-2</v>
      </c>
      <c r="F69" s="182">
        <v>24304.35</v>
      </c>
      <c r="G69" s="183">
        <f t="shared" si="1"/>
        <v>5.1094256600276999E-3</v>
      </c>
    </row>
    <row r="70" spans="2:7">
      <c r="B70" s="181">
        <v>45599</v>
      </c>
      <c r="C70" s="182">
        <v>2974.9</v>
      </c>
      <c r="D70" s="183">
        <f t="shared" si="0"/>
        <v>5.5808918779834293E-2</v>
      </c>
      <c r="F70" s="182">
        <v>24148.2</v>
      </c>
      <c r="G70" s="183">
        <f t="shared" si="1"/>
        <v>-6.4247758117372822E-3</v>
      </c>
    </row>
    <row r="71" spans="2:7">
      <c r="B71" s="181">
        <v>45606</v>
      </c>
      <c r="C71" s="182">
        <v>2807.2</v>
      </c>
      <c r="D71" s="183">
        <f t="shared" si="0"/>
        <v>-5.637164274429407E-2</v>
      </c>
      <c r="F71" s="182">
        <v>23532.7</v>
      </c>
      <c r="G71" s="183">
        <f t="shared" si="1"/>
        <v>-2.5488442202731498E-2</v>
      </c>
    </row>
    <row r="72" spans="2:7">
      <c r="B72" s="181">
        <v>45613</v>
      </c>
      <c r="C72" s="182">
        <v>3012.95</v>
      </c>
      <c r="D72" s="183">
        <f t="shared" si="0"/>
        <v>7.3293673411228166E-2</v>
      </c>
      <c r="F72" s="182">
        <v>23907.25</v>
      </c>
      <c r="G72" s="183">
        <f t="shared" si="1"/>
        <v>1.5916150717937061E-2</v>
      </c>
    </row>
    <row r="73" spans="2:7">
      <c r="B73" s="181">
        <v>45620</v>
      </c>
      <c r="C73" s="182">
        <v>2966.1</v>
      </c>
      <c r="D73" s="183">
        <f t="shared" ref="D73:D110" si="2">C73/C72-1</f>
        <v>-1.5549544466386789E-2</v>
      </c>
      <c r="F73" s="182">
        <v>24131.1</v>
      </c>
      <c r="G73" s="183">
        <f t="shared" ref="G73:G110" si="3">F73/F72-1</f>
        <v>9.3632684645870157E-3</v>
      </c>
    </row>
    <row r="74" spans="2:7">
      <c r="B74" s="181">
        <v>45627</v>
      </c>
      <c r="C74" s="182">
        <v>3073</v>
      </c>
      <c r="D74" s="183">
        <f t="shared" si="2"/>
        <v>3.6040592023195428E-2</v>
      </c>
      <c r="F74" s="182">
        <v>24677.8</v>
      </c>
      <c r="G74" s="183">
        <f t="shared" si="3"/>
        <v>2.2655411481449228E-2</v>
      </c>
    </row>
    <row r="75" spans="2:7">
      <c r="B75" s="181">
        <v>45634</v>
      </c>
      <c r="C75" s="182">
        <v>3081.4</v>
      </c>
      <c r="D75" s="183">
        <f t="shared" si="2"/>
        <v>2.7334851936218207E-3</v>
      </c>
      <c r="F75" s="182">
        <v>24768.3</v>
      </c>
      <c r="G75" s="183">
        <f t="shared" si="3"/>
        <v>3.6672636944945491E-3</v>
      </c>
    </row>
    <row r="76" spans="2:7">
      <c r="B76" s="181">
        <v>45641</v>
      </c>
      <c r="C76" s="182">
        <v>2906.35</v>
      </c>
      <c r="D76" s="183">
        <f t="shared" si="2"/>
        <v>-5.6808593496462723E-2</v>
      </c>
      <c r="F76" s="182">
        <v>23587.5</v>
      </c>
      <c r="G76" s="183">
        <f t="shared" si="3"/>
        <v>-4.7673841159869612E-2</v>
      </c>
    </row>
    <row r="77" spans="2:7">
      <c r="B77" s="181">
        <v>45648</v>
      </c>
      <c r="C77" s="182">
        <v>3049.45</v>
      </c>
      <c r="D77" s="183">
        <f t="shared" si="2"/>
        <v>4.9237015500541936E-2</v>
      </c>
      <c r="F77" s="182">
        <v>23813.4</v>
      </c>
      <c r="G77" s="183">
        <f t="shared" si="3"/>
        <v>9.5771065182830295E-3</v>
      </c>
    </row>
    <row r="78" spans="2:7">
      <c r="B78" s="181">
        <v>45655</v>
      </c>
      <c r="C78" s="182">
        <v>3190.55</v>
      </c>
      <c r="D78" s="183">
        <f t="shared" si="2"/>
        <v>4.6270638967682798E-2</v>
      </c>
      <c r="F78" s="182">
        <v>24004.75</v>
      </c>
      <c r="G78" s="183">
        <f t="shared" si="3"/>
        <v>8.035391838208783E-3</v>
      </c>
    </row>
    <row r="79" spans="2:7">
      <c r="B79" s="181">
        <v>45662</v>
      </c>
      <c r="C79" s="182">
        <v>3092.85</v>
      </c>
      <c r="D79" s="183">
        <f t="shared" si="2"/>
        <v>-3.0621679647709676E-2</v>
      </c>
      <c r="F79" s="182">
        <v>23431.5</v>
      </c>
      <c r="G79" s="183">
        <f t="shared" si="3"/>
        <v>-2.3880690280048689E-2</v>
      </c>
    </row>
    <row r="80" spans="2:7">
      <c r="B80" s="181">
        <v>45669</v>
      </c>
      <c r="C80" s="182">
        <v>2917.35</v>
      </c>
      <c r="D80" s="183">
        <f t="shared" si="2"/>
        <v>-5.6743780008729816E-2</v>
      </c>
      <c r="F80" s="182">
        <v>23203.200000000001</v>
      </c>
      <c r="G80" s="183">
        <f t="shared" si="3"/>
        <v>-9.7432942833365344E-3</v>
      </c>
    </row>
    <row r="81" spans="2:7">
      <c r="B81" s="181">
        <v>45676</v>
      </c>
      <c r="C81" s="182">
        <v>2801.4</v>
      </c>
      <c r="D81" s="183">
        <f t="shared" si="2"/>
        <v>-3.9744974034654712E-2</v>
      </c>
      <c r="F81" s="182">
        <v>23092.2</v>
      </c>
      <c r="G81" s="183">
        <f t="shared" si="3"/>
        <v>-4.7838229209764549E-3</v>
      </c>
    </row>
    <row r="82" spans="2:7">
      <c r="B82" s="181">
        <v>45683</v>
      </c>
      <c r="C82" s="182">
        <v>2989.85</v>
      </c>
      <c r="D82" s="183">
        <f t="shared" si="2"/>
        <v>6.7269936460341295E-2</v>
      </c>
      <c r="F82" s="182">
        <v>23508.400000000001</v>
      </c>
      <c r="G82" s="183">
        <f t="shared" si="3"/>
        <v>1.8023401841314346E-2</v>
      </c>
    </row>
    <row r="83" spans="2:7">
      <c r="B83" s="181">
        <v>45690</v>
      </c>
      <c r="C83" s="182">
        <v>3198.45</v>
      </c>
      <c r="D83" s="183">
        <f t="shared" si="2"/>
        <v>6.9769386424068047E-2</v>
      </c>
      <c r="F83" s="182">
        <v>23559.95</v>
      </c>
      <c r="G83" s="183">
        <f t="shared" si="3"/>
        <v>2.1928332000475947E-3</v>
      </c>
    </row>
    <row r="84" spans="2:7">
      <c r="B84" s="181">
        <v>45697</v>
      </c>
      <c r="C84" s="182">
        <v>2942.6</v>
      </c>
      <c r="D84" s="183">
        <f t="shared" si="2"/>
        <v>-7.9991871062545905E-2</v>
      </c>
      <c r="F84" s="182">
        <v>22929.25</v>
      </c>
      <c r="G84" s="183">
        <f t="shared" si="3"/>
        <v>-2.6770005878620329E-2</v>
      </c>
    </row>
    <row r="85" spans="2:7">
      <c r="B85" s="181">
        <v>45704</v>
      </c>
      <c r="C85" s="182">
        <v>2669.35</v>
      </c>
      <c r="D85" s="183">
        <f t="shared" si="2"/>
        <v>-9.2860055733025249E-2</v>
      </c>
      <c r="F85" s="182">
        <v>22795.9</v>
      </c>
      <c r="G85" s="183">
        <f t="shared" si="3"/>
        <v>-5.8157157342695331E-3</v>
      </c>
    </row>
    <row r="86" spans="2:7">
      <c r="B86" s="181">
        <v>45711</v>
      </c>
      <c r="C86" s="182">
        <v>2585.1</v>
      </c>
      <c r="D86" s="183">
        <f t="shared" si="2"/>
        <v>-3.1561990746810986E-2</v>
      </c>
      <c r="F86" s="182">
        <v>22124.7</v>
      </c>
      <c r="G86" s="183">
        <f t="shared" si="3"/>
        <v>-2.9443891226053842E-2</v>
      </c>
    </row>
    <row r="87" spans="2:7">
      <c r="B87" s="181">
        <v>45718</v>
      </c>
      <c r="C87" s="182">
        <v>2727.85</v>
      </c>
      <c r="D87" s="183">
        <f t="shared" si="2"/>
        <v>5.5220300955475699E-2</v>
      </c>
      <c r="F87" s="182">
        <v>22552.5</v>
      </c>
      <c r="G87" s="183">
        <f t="shared" si="3"/>
        <v>1.9335855401429125E-2</v>
      </c>
    </row>
    <row r="88" spans="2:7">
      <c r="B88" s="181">
        <v>45725</v>
      </c>
      <c r="C88" s="182">
        <v>2643.5</v>
      </c>
      <c r="D88" s="183">
        <f t="shared" si="2"/>
        <v>-3.0921788221493052E-2</v>
      </c>
      <c r="F88" s="182">
        <v>22397.200000000001</v>
      </c>
      <c r="G88" s="183">
        <f t="shared" si="3"/>
        <v>-6.8861545283227521E-3</v>
      </c>
    </row>
    <row r="89" spans="2:7">
      <c r="B89" s="181">
        <v>45732</v>
      </c>
      <c r="C89" s="182">
        <v>2801.85</v>
      </c>
      <c r="D89" s="183">
        <f t="shared" si="2"/>
        <v>5.9901645545678006E-2</v>
      </c>
      <c r="F89" s="182">
        <v>23350.400000000001</v>
      </c>
      <c r="G89" s="183">
        <f t="shared" si="3"/>
        <v>4.2558891289982803E-2</v>
      </c>
    </row>
    <row r="90" spans="2:7">
      <c r="B90" s="181">
        <v>45739</v>
      </c>
      <c r="C90" s="182">
        <v>2665.8</v>
      </c>
      <c r="D90" s="183">
        <f t="shared" si="2"/>
        <v>-4.8557203276406558E-2</v>
      </c>
      <c r="F90" s="182">
        <v>23519.35</v>
      </c>
      <c r="G90" s="183">
        <f t="shared" si="3"/>
        <v>7.2354220912702605E-3</v>
      </c>
    </row>
    <row r="91" spans="2:7">
      <c r="B91" s="181">
        <v>45746</v>
      </c>
      <c r="C91" s="182">
        <v>2596.5500000000002</v>
      </c>
      <c r="D91" s="183">
        <f t="shared" si="2"/>
        <v>-2.5977192587591014E-2</v>
      </c>
      <c r="F91" s="182">
        <v>22904.45</v>
      </c>
      <c r="G91" s="183">
        <f t="shared" si="3"/>
        <v>-2.6144430011883713E-2</v>
      </c>
    </row>
    <row r="92" spans="2:7">
      <c r="B92" s="181">
        <v>45753</v>
      </c>
      <c r="C92" s="182">
        <v>2580.35</v>
      </c>
      <c r="D92" s="183">
        <f t="shared" si="2"/>
        <v>-6.2390479674954147E-3</v>
      </c>
      <c r="F92" s="182">
        <v>22828.55</v>
      </c>
      <c r="G92" s="183">
        <f t="shared" si="3"/>
        <v>-3.3137665388167648E-3</v>
      </c>
    </row>
    <row r="93" spans="2:7">
      <c r="B93" s="181">
        <v>45760</v>
      </c>
      <c r="C93" s="182">
        <v>2679.4</v>
      </c>
      <c r="D93" s="183">
        <f t="shared" si="2"/>
        <v>3.8386265429108501E-2</v>
      </c>
      <c r="F93" s="182">
        <v>23851.65</v>
      </c>
      <c r="G93" s="183">
        <f t="shared" si="3"/>
        <v>4.4816687875489425E-2</v>
      </c>
    </row>
    <row r="94" spans="2:7">
      <c r="B94" s="181">
        <v>45767</v>
      </c>
      <c r="C94" s="182">
        <v>2864.2</v>
      </c>
      <c r="D94" s="183">
        <f t="shared" si="2"/>
        <v>6.8970665074270299E-2</v>
      </c>
      <c r="F94" s="182">
        <v>24039.35</v>
      </c>
      <c r="G94" s="183">
        <f t="shared" si="3"/>
        <v>7.86947653516612E-3</v>
      </c>
    </row>
    <row r="95" spans="2:7">
      <c r="B95" s="181">
        <v>45774</v>
      </c>
      <c r="C95" s="182">
        <v>2926.2</v>
      </c>
      <c r="D95" s="183">
        <f t="shared" si="2"/>
        <v>2.1646533063333528E-2</v>
      </c>
      <c r="F95" s="182">
        <v>24346.7</v>
      </c>
      <c r="G95" s="183">
        <f t="shared" si="3"/>
        <v>1.2785287455775673E-2</v>
      </c>
    </row>
    <row r="96" spans="2:7">
      <c r="B96" s="181">
        <v>45781</v>
      </c>
      <c r="C96" s="182">
        <v>2982.1</v>
      </c>
      <c r="D96" s="183">
        <f t="shared" si="2"/>
        <v>1.9103273870548776E-2</v>
      </c>
      <c r="F96" s="182">
        <v>24008</v>
      </c>
      <c r="G96" s="183">
        <f t="shared" si="3"/>
        <v>-1.391153626569519E-2</v>
      </c>
    </row>
    <row r="97" spans="2:7">
      <c r="B97" s="181">
        <v>45788</v>
      </c>
      <c r="C97" s="182">
        <v>3135.6</v>
      </c>
      <c r="D97" s="183">
        <f t="shared" si="2"/>
        <v>5.1473793635357534E-2</v>
      </c>
      <c r="F97" s="182">
        <v>25019.8</v>
      </c>
      <c r="G97" s="183">
        <f t="shared" si="3"/>
        <v>4.2144285238253865E-2</v>
      </c>
    </row>
    <row r="98" spans="2:7">
      <c r="B98" s="181">
        <v>45795</v>
      </c>
      <c r="C98" s="182">
        <v>3012.7</v>
      </c>
      <c r="D98" s="183">
        <f t="shared" si="2"/>
        <v>-3.9195050389080222E-2</v>
      </c>
      <c r="F98" s="182">
        <v>24853.15</v>
      </c>
      <c r="G98" s="183">
        <f t="shared" si="3"/>
        <v>-6.660724706032739E-3</v>
      </c>
    </row>
    <row r="99" spans="2:7">
      <c r="B99" s="181">
        <v>45802</v>
      </c>
      <c r="C99" s="182">
        <v>2976.8</v>
      </c>
      <c r="D99" s="183">
        <f t="shared" si="2"/>
        <v>-1.1916221329704157E-2</v>
      </c>
      <c r="F99" s="182">
        <v>24750.7</v>
      </c>
      <c r="G99" s="183">
        <f t="shared" si="3"/>
        <v>-4.1222138843567402E-3</v>
      </c>
    </row>
    <row r="100" spans="2:7">
      <c r="B100" s="181">
        <v>45809</v>
      </c>
      <c r="C100" s="182">
        <v>3106.5</v>
      </c>
      <c r="D100" s="183">
        <f t="shared" si="2"/>
        <v>4.3570276807309849E-2</v>
      </c>
      <c r="F100" s="182">
        <v>25003.05</v>
      </c>
      <c r="G100" s="183">
        <f t="shared" si="3"/>
        <v>1.0195671233540704E-2</v>
      </c>
    </row>
    <row r="101" spans="2:7">
      <c r="B101" s="181">
        <v>45816</v>
      </c>
      <c r="C101" s="182">
        <v>3006</v>
      </c>
      <c r="D101" s="183">
        <f t="shared" si="2"/>
        <v>-3.2351521004345685E-2</v>
      </c>
      <c r="F101" s="182">
        <v>24718.6</v>
      </c>
      <c r="G101" s="183">
        <f t="shared" si="3"/>
        <v>-1.1376612053329516E-2</v>
      </c>
    </row>
    <row r="102" spans="2:7">
      <c r="B102" s="181">
        <v>45823</v>
      </c>
      <c r="C102" s="182">
        <v>3184.4</v>
      </c>
      <c r="D102" s="183">
        <f t="shared" si="2"/>
        <v>5.9347970725216248E-2</v>
      </c>
      <c r="F102" s="182">
        <v>25112.400000000001</v>
      </c>
      <c r="G102" s="183">
        <f t="shared" si="3"/>
        <v>1.5931322971365791E-2</v>
      </c>
    </row>
    <row r="103" spans="2:7">
      <c r="B103" s="181">
        <v>45830</v>
      </c>
      <c r="C103" s="182">
        <v>3203.3</v>
      </c>
      <c r="D103" s="183">
        <f t="shared" si="2"/>
        <v>5.9351840221077978E-3</v>
      </c>
      <c r="F103" s="182">
        <v>25637.8</v>
      </c>
      <c r="G103" s="183">
        <f t="shared" si="3"/>
        <v>2.092193498032846E-2</v>
      </c>
    </row>
    <row r="104" spans="2:7">
      <c r="B104" s="181">
        <v>45837</v>
      </c>
      <c r="C104" s="182">
        <v>3162.5</v>
      </c>
      <c r="D104" s="183">
        <f t="shared" si="2"/>
        <v>-1.2736865107857542E-2</v>
      </c>
      <c r="F104" s="182">
        <v>25461</v>
      </c>
      <c r="G104" s="183">
        <f t="shared" si="3"/>
        <v>-6.8960675252947023E-3</v>
      </c>
    </row>
    <row r="105" spans="2:7">
      <c r="B105" s="181">
        <v>45844</v>
      </c>
      <c r="C105" s="182">
        <v>3073.2</v>
      </c>
      <c r="D105" s="183">
        <f t="shared" si="2"/>
        <v>-2.8237154150197674E-2</v>
      </c>
      <c r="F105" s="182">
        <v>25149.85</v>
      </c>
      <c r="G105" s="183">
        <f t="shared" si="3"/>
        <v>-1.2220651192019205E-2</v>
      </c>
    </row>
    <row r="106" spans="2:7">
      <c r="B106" s="181">
        <v>45851</v>
      </c>
      <c r="C106" s="182">
        <v>3192.4</v>
      </c>
      <c r="D106" s="183">
        <f t="shared" si="2"/>
        <v>3.8786932187947487E-2</v>
      </c>
      <c r="F106" s="182">
        <v>24968.400000000001</v>
      </c>
      <c r="G106" s="183">
        <f t="shared" si="3"/>
        <v>-7.214754759968578E-3</v>
      </c>
    </row>
    <row r="107" spans="2:7">
      <c r="B107" s="181">
        <v>45858</v>
      </c>
      <c r="C107" s="182">
        <v>3246.4</v>
      </c>
      <c r="D107" s="183">
        <f t="shared" si="2"/>
        <v>1.6915173537150663E-2</v>
      </c>
      <c r="F107" s="182">
        <v>24837</v>
      </c>
      <c r="G107" s="183">
        <f t="shared" si="3"/>
        <v>-5.2626519921180615E-3</v>
      </c>
    </row>
    <row r="108" spans="2:7">
      <c r="B108" s="181">
        <v>45865</v>
      </c>
      <c r="C108" s="182">
        <v>3159.3</v>
      </c>
      <c r="D108" s="183">
        <f t="shared" si="2"/>
        <v>-2.6829719073435121E-2</v>
      </c>
      <c r="F108" s="182">
        <v>24565.35</v>
      </c>
      <c r="G108" s="183">
        <f t="shared" si="3"/>
        <v>-1.0937311269477057E-2</v>
      </c>
    </row>
    <row r="109" spans="2:7">
      <c r="B109" s="181">
        <v>45872</v>
      </c>
      <c r="C109" s="182">
        <v>3144.2</v>
      </c>
      <c r="D109" s="183">
        <f t="shared" si="2"/>
        <v>-4.7795397714684995E-3</v>
      </c>
      <c r="F109" s="182">
        <v>24363.3</v>
      </c>
      <c r="G109" s="183">
        <f t="shared" si="3"/>
        <v>-8.2249998473459263E-3</v>
      </c>
    </row>
    <row r="110" spans="2:7">
      <c r="B110" s="181">
        <v>45879</v>
      </c>
      <c r="C110" s="182">
        <v>3265.4</v>
      </c>
      <c r="D110" s="183">
        <f t="shared" si="2"/>
        <v>3.8547166210801009E-2</v>
      </c>
      <c r="F110" s="182">
        <v>24631.3</v>
      </c>
      <c r="G110" s="183">
        <f t="shared" si="3"/>
        <v>1.100015186776826E-2</v>
      </c>
    </row>
  </sheetData>
  <mergeCells count="3">
    <mergeCell ref="B4:D4"/>
    <mergeCell ref="F4:G4"/>
    <mergeCell ref="I4:J4"/>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7B8D7-D4A6-4032-A3F6-873B28F5E645}">
  <sheetPr codeName="Sheet23"/>
  <dimension ref="B2:T1000"/>
  <sheetViews>
    <sheetView showGridLines="0" zoomScaleNormal="100" workbookViewId="0">
      <selection activeCell="J12" sqref="J12"/>
    </sheetView>
  </sheetViews>
  <sheetFormatPr defaultColWidth="14.453125" defaultRowHeight="15" customHeight="1"/>
  <cols>
    <col min="1" max="1" width="1.90625" style="145" customWidth="1"/>
    <col min="2" max="2" width="10.7265625" style="145" customWidth="1"/>
    <col min="3" max="3" width="11.26953125" style="145" bestFit="1" customWidth="1"/>
    <col min="4" max="4" width="9.6328125" style="145" customWidth="1"/>
    <col min="5" max="5" width="8.7265625" style="145" customWidth="1"/>
    <col min="6" max="6" width="11.26953125" style="145" bestFit="1" customWidth="1"/>
    <col min="7" max="7" width="9.453125" style="145" customWidth="1"/>
    <col min="8" max="8" width="8.7265625" style="145" customWidth="1"/>
    <col min="9" max="9" width="17.54296875" style="145" bestFit="1" customWidth="1"/>
    <col min="10" max="10" width="10.54296875" style="145" customWidth="1"/>
    <col min="11" max="26" width="8.7265625" style="145" customWidth="1"/>
    <col min="27" max="16384" width="14.453125" style="145"/>
  </cols>
  <sheetData>
    <row r="2" spans="2:13" ht="15" customHeight="1">
      <c r="B2" s="176" t="s">
        <v>358</v>
      </c>
    </row>
    <row r="4" spans="2:13" ht="15" customHeight="1">
      <c r="B4" s="438" t="s">
        <v>375</v>
      </c>
      <c r="C4" s="438"/>
      <c r="D4" s="438"/>
      <c r="F4" s="439" t="s">
        <v>360</v>
      </c>
      <c r="G4" s="439"/>
      <c r="I4" s="439" t="s">
        <v>361</v>
      </c>
      <c r="J4" s="439"/>
    </row>
    <row r="6" spans="2:13" ht="15" customHeight="1">
      <c r="B6" s="177" t="s">
        <v>362</v>
      </c>
      <c r="C6" s="178" t="s">
        <v>363</v>
      </c>
      <c r="D6" s="178" t="s">
        <v>364</v>
      </c>
      <c r="F6" s="178" t="s">
        <v>363</v>
      </c>
      <c r="G6" s="178" t="s">
        <v>364</v>
      </c>
      <c r="I6" s="179" t="s">
        <v>365</v>
      </c>
      <c r="J6" s="180">
        <f>M9</f>
        <v>0.78443697839347581</v>
      </c>
      <c r="L6" s="171" t="s">
        <v>366</v>
      </c>
      <c r="M6" s="180">
        <f>SLOPE(D8:D110,G8:G110)</f>
        <v>0.78443697839347548</v>
      </c>
    </row>
    <row r="7" spans="2:13" ht="15" customHeight="1">
      <c r="B7" s="181">
        <v>45158</v>
      </c>
      <c r="C7" s="182">
        <v>9505.7000000000007</v>
      </c>
      <c r="F7" s="182">
        <v>19265.8</v>
      </c>
      <c r="I7" s="171" t="s">
        <v>367</v>
      </c>
      <c r="J7" s="183">
        <v>0.75</v>
      </c>
      <c r="L7" s="171" t="s">
        <v>368</v>
      </c>
      <c r="M7" s="180">
        <f>_xlfn.COVARIANCE.S(D7:D110,G7:G110)/_xlfn.VAR.S(G7:G110)</f>
        <v>0.7844369783934757</v>
      </c>
    </row>
    <row r="8" spans="2:13" ht="15" customHeight="1">
      <c r="B8" s="181">
        <v>45165</v>
      </c>
      <c r="C8" s="182">
        <v>10331.25</v>
      </c>
      <c r="D8" s="183">
        <f t="shared" ref="D8:D71" si="0">C8/C7-1</f>
        <v>8.684789126524084E-2</v>
      </c>
      <c r="F8" s="182">
        <v>19435.3</v>
      </c>
      <c r="G8" s="183">
        <f>F8/F7-1</f>
        <v>8.7979736112697715E-3</v>
      </c>
    </row>
    <row r="9" spans="2:13" ht="15" customHeight="1">
      <c r="B9" s="181">
        <v>45172</v>
      </c>
      <c r="C9" s="182">
        <v>10332</v>
      </c>
      <c r="D9" s="183">
        <f t="shared" si="0"/>
        <v>7.2595281306764292E-5</v>
      </c>
      <c r="F9" s="182">
        <v>19819.95</v>
      </c>
      <c r="G9" s="183">
        <f t="shared" ref="G9:G72" si="1">F9/F8-1</f>
        <v>1.9791307569216876E-2</v>
      </c>
      <c r="I9" s="171" t="s">
        <v>369</v>
      </c>
      <c r="J9" s="180">
        <v>1</v>
      </c>
      <c r="K9" s="171"/>
      <c r="L9" s="171" t="s">
        <v>370</v>
      </c>
      <c r="M9" s="180">
        <f>M28</f>
        <v>0.78443697839347581</v>
      </c>
    </row>
    <row r="10" spans="2:13" ht="15" customHeight="1">
      <c r="B10" s="181">
        <v>45179</v>
      </c>
      <c r="C10" s="182">
        <v>10525.25</v>
      </c>
      <c r="D10" s="183">
        <f t="shared" si="0"/>
        <v>1.8704026325977452E-2</v>
      </c>
      <c r="F10" s="182">
        <v>20192.349999999999</v>
      </c>
      <c r="G10" s="183">
        <f t="shared" si="1"/>
        <v>1.8789149316723597E-2</v>
      </c>
      <c r="I10" s="171" t="s">
        <v>371</v>
      </c>
      <c r="J10" s="183">
        <v>0.25</v>
      </c>
    </row>
    <row r="11" spans="2:13" ht="15" customHeight="1">
      <c r="B11" s="181">
        <v>45186</v>
      </c>
      <c r="C11" s="182">
        <v>10535.15</v>
      </c>
      <c r="D11" s="183">
        <f t="shared" si="0"/>
        <v>9.4059523526746069E-4</v>
      </c>
      <c r="F11" s="182">
        <v>19674.25</v>
      </c>
      <c r="G11" s="183">
        <f t="shared" si="1"/>
        <v>-2.5658231954180599E-2</v>
      </c>
      <c r="L11" s="145" t="s">
        <v>197</v>
      </c>
    </row>
    <row r="12" spans="2:13" ht="15" customHeight="1" thickBot="1">
      <c r="B12" s="181">
        <v>45193</v>
      </c>
      <c r="C12" s="182">
        <v>10610.6</v>
      </c>
      <c r="D12" s="183">
        <f t="shared" si="0"/>
        <v>7.1617395101162273E-3</v>
      </c>
      <c r="F12" s="182">
        <v>19638.3</v>
      </c>
      <c r="G12" s="183">
        <f t="shared" si="1"/>
        <v>-1.8272615220402688E-3</v>
      </c>
      <c r="I12" s="184" t="s">
        <v>372</v>
      </c>
      <c r="J12" s="185">
        <f>(J6*J7)+(J9*J10)</f>
        <v>0.83832773379510683</v>
      </c>
    </row>
    <row r="13" spans="2:13" ht="15" customHeight="1">
      <c r="B13" s="181">
        <v>45200</v>
      </c>
      <c r="C13" s="182">
        <v>10302.049999999999</v>
      </c>
      <c r="D13" s="183">
        <f t="shared" si="0"/>
        <v>-2.9079411154882995E-2</v>
      </c>
      <c r="F13" s="182">
        <v>19653.5</v>
      </c>
      <c r="G13" s="183">
        <f t="shared" si="1"/>
        <v>7.7399774929598486E-4</v>
      </c>
      <c r="L13" s="186" t="s">
        <v>198</v>
      </c>
      <c r="M13" s="186"/>
    </row>
    <row r="14" spans="2:13" ht="15" customHeight="1">
      <c r="B14" s="181">
        <v>45207</v>
      </c>
      <c r="C14" s="182">
        <v>10727.55</v>
      </c>
      <c r="D14" s="183">
        <f t="shared" si="0"/>
        <v>4.1302459219281662E-2</v>
      </c>
      <c r="F14" s="182">
        <v>19751.05</v>
      </c>
      <c r="G14" s="183">
        <f t="shared" si="1"/>
        <v>4.9634925076957881E-3</v>
      </c>
      <c r="L14" s="145" t="s">
        <v>199</v>
      </c>
      <c r="M14" s="145">
        <v>0.45104610497696934</v>
      </c>
    </row>
    <row r="15" spans="2:13" ht="15" customHeight="1">
      <c r="B15" s="181">
        <v>45214</v>
      </c>
      <c r="C15" s="182">
        <v>10725.65</v>
      </c>
      <c r="D15" s="183">
        <f t="shared" si="0"/>
        <v>-1.7711406611942149E-4</v>
      </c>
      <c r="F15" s="182">
        <v>19542.650000000001</v>
      </c>
      <c r="G15" s="183">
        <f t="shared" si="1"/>
        <v>-1.0551337776978809E-2</v>
      </c>
      <c r="L15" s="145" t="s">
        <v>200</v>
      </c>
      <c r="M15" s="145">
        <v>0.20344258881489524</v>
      </c>
    </row>
    <row r="16" spans="2:13" ht="15" customHeight="1">
      <c r="B16" s="181">
        <v>45221</v>
      </c>
      <c r="C16" s="182">
        <v>10560.7</v>
      </c>
      <c r="D16" s="183">
        <f t="shared" si="0"/>
        <v>-1.5379021318055242E-2</v>
      </c>
      <c r="F16" s="182">
        <v>19047.25</v>
      </c>
      <c r="G16" s="183">
        <f t="shared" si="1"/>
        <v>-2.5349683896503383E-2</v>
      </c>
      <c r="L16" s="145" t="s">
        <v>201</v>
      </c>
      <c r="M16" s="145">
        <v>0.19555588177345856</v>
      </c>
    </row>
    <row r="17" spans="2:20" ht="15" customHeight="1">
      <c r="B17" s="181">
        <v>45228</v>
      </c>
      <c r="C17" s="182">
        <v>10276.299999999999</v>
      </c>
      <c r="D17" s="183">
        <f t="shared" si="0"/>
        <v>-2.6930033047051993E-2</v>
      </c>
      <c r="F17" s="182">
        <v>19230.599999999999</v>
      </c>
      <c r="G17" s="183">
        <f t="shared" si="1"/>
        <v>9.6260615049414966E-3</v>
      </c>
      <c r="L17" s="145" t="s">
        <v>202</v>
      </c>
      <c r="M17" s="145">
        <v>2.6991568783388289E-2</v>
      </c>
    </row>
    <row r="18" spans="2:20" ht="15" customHeight="1" thickBot="1">
      <c r="B18" s="181">
        <v>45235</v>
      </c>
      <c r="C18" s="182">
        <v>10388.799999999999</v>
      </c>
      <c r="D18" s="183">
        <f t="shared" si="0"/>
        <v>1.0947520021797663E-2</v>
      </c>
      <c r="F18" s="182">
        <v>19425.349999999999</v>
      </c>
      <c r="G18" s="183">
        <f t="shared" si="1"/>
        <v>1.0127089118384225E-2</v>
      </c>
      <c r="L18" s="187" t="s">
        <v>203</v>
      </c>
      <c r="M18" s="187">
        <v>103</v>
      </c>
    </row>
    <row r="19" spans="2:20" ht="15" customHeight="1">
      <c r="B19" s="181">
        <v>45242</v>
      </c>
      <c r="C19" s="182">
        <v>10523.5</v>
      </c>
      <c r="D19" s="183">
        <f t="shared" si="0"/>
        <v>1.2965886339134425E-2</v>
      </c>
      <c r="F19" s="182">
        <v>19731.8</v>
      </c>
      <c r="G19" s="183">
        <f t="shared" si="1"/>
        <v>1.5775777527818002E-2</v>
      </c>
    </row>
    <row r="20" spans="2:20" ht="15" customHeight="1" thickBot="1">
      <c r="B20" s="181">
        <v>45249</v>
      </c>
      <c r="C20" s="182">
        <v>10515.65</v>
      </c>
      <c r="D20" s="183">
        <f t="shared" si="0"/>
        <v>-7.4594954150242199E-4</v>
      </c>
      <c r="F20" s="182">
        <v>19794.7</v>
      </c>
      <c r="G20" s="183">
        <f t="shared" si="1"/>
        <v>3.1877476966115648E-3</v>
      </c>
      <c r="L20" s="145" t="s">
        <v>204</v>
      </c>
    </row>
    <row r="21" spans="2:20" ht="15.75" customHeight="1">
      <c r="B21" s="181">
        <v>45256</v>
      </c>
      <c r="C21" s="182">
        <v>10585.7</v>
      </c>
      <c r="D21" s="183">
        <f t="shared" si="0"/>
        <v>6.6614997646365914E-3</v>
      </c>
      <c r="F21" s="182">
        <v>20267.900000000001</v>
      </c>
      <c r="G21" s="183">
        <f t="shared" si="1"/>
        <v>2.3905388816198414E-2</v>
      </c>
      <c r="L21" s="188"/>
      <c r="M21" s="188" t="s">
        <v>208</v>
      </c>
      <c r="N21" s="188" t="s">
        <v>209</v>
      </c>
      <c r="O21" s="188" t="s">
        <v>210</v>
      </c>
      <c r="P21" s="188" t="s">
        <v>211</v>
      </c>
      <c r="Q21" s="188" t="s">
        <v>212</v>
      </c>
    </row>
    <row r="22" spans="2:20" ht="15.75" customHeight="1">
      <c r="B22" s="181">
        <v>45263</v>
      </c>
      <c r="C22" s="182">
        <v>10618.55</v>
      </c>
      <c r="D22" s="183">
        <f t="shared" si="0"/>
        <v>3.1032430543089795E-3</v>
      </c>
      <c r="F22" s="182">
        <v>20969.400000000001</v>
      </c>
      <c r="G22" s="183">
        <f t="shared" si="1"/>
        <v>3.4611380557433069E-2</v>
      </c>
      <c r="L22" s="145" t="s">
        <v>205</v>
      </c>
      <c r="M22" s="145">
        <v>1</v>
      </c>
      <c r="N22" s="145">
        <v>1.879327283595976E-2</v>
      </c>
      <c r="O22" s="145">
        <v>1.879327283595976E-2</v>
      </c>
      <c r="P22" s="145">
        <v>25.795631528597411</v>
      </c>
      <c r="Q22" s="145">
        <v>1.7407980347138336E-6</v>
      </c>
    </row>
    <row r="23" spans="2:20" ht="15.75" customHeight="1">
      <c r="B23" s="181">
        <v>45270</v>
      </c>
      <c r="C23" s="182">
        <v>10286.4</v>
      </c>
      <c r="D23" s="183">
        <f t="shared" si="0"/>
        <v>-3.1280165370978108E-2</v>
      </c>
      <c r="F23" s="182">
        <v>21456.65</v>
      </c>
      <c r="G23" s="183">
        <f t="shared" si="1"/>
        <v>2.3236239472755438E-2</v>
      </c>
      <c r="L23" s="145" t="s">
        <v>206</v>
      </c>
      <c r="M23" s="145">
        <v>101</v>
      </c>
      <c r="N23" s="145">
        <v>7.3583023324226504E-2</v>
      </c>
      <c r="O23" s="145">
        <v>7.285447853883812E-4</v>
      </c>
    </row>
    <row r="24" spans="2:20" ht="15.75" customHeight="1" thickBot="1">
      <c r="B24" s="181">
        <v>45277</v>
      </c>
      <c r="C24" s="182">
        <v>10217.15</v>
      </c>
      <c r="D24" s="183">
        <f t="shared" si="0"/>
        <v>-6.7321900762171705E-3</v>
      </c>
      <c r="F24" s="182">
        <v>21349.4</v>
      </c>
      <c r="G24" s="183">
        <f t="shared" si="1"/>
        <v>-4.9984503638732525E-3</v>
      </c>
      <c r="L24" s="187" t="s">
        <v>26</v>
      </c>
      <c r="M24" s="187">
        <v>102</v>
      </c>
      <c r="N24" s="187">
        <v>9.2376296160186264E-2</v>
      </c>
      <c r="O24" s="187"/>
      <c r="P24" s="187"/>
      <c r="Q24" s="187"/>
    </row>
    <row r="25" spans="2:20" ht="15.75" customHeight="1" thickBot="1">
      <c r="B25" s="181">
        <v>45284</v>
      </c>
      <c r="C25" s="182">
        <v>10302.35</v>
      </c>
      <c r="D25" s="183">
        <f t="shared" si="0"/>
        <v>8.3389203447146176E-3</v>
      </c>
      <c r="F25" s="182">
        <v>21731.4</v>
      </c>
      <c r="G25" s="183">
        <f t="shared" si="1"/>
        <v>1.7892774504201459E-2</v>
      </c>
    </row>
    <row r="26" spans="2:20" ht="15.75" customHeight="1">
      <c r="B26" s="181">
        <v>45291</v>
      </c>
      <c r="C26" s="182">
        <v>10017</v>
      </c>
      <c r="D26" s="183">
        <f t="shared" si="0"/>
        <v>-2.7697564147985743E-2</v>
      </c>
      <c r="F26" s="182">
        <v>21710.799999999999</v>
      </c>
      <c r="G26" s="183">
        <f t="shared" si="1"/>
        <v>-9.479370864280412E-4</v>
      </c>
      <c r="L26" s="188"/>
      <c r="M26" s="188" t="s">
        <v>213</v>
      </c>
      <c r="N26" s="188" t="s">
        <v>202</v>
      </c>
      <c r="O26" s="188" t="s">
        <v>214</v>
      </c>
      <c r="P26" s="188" t="s">
        <v>215</v>
      </c>
      <c r="Q26" s="188" t="s">
        <v>216</v>
      </c>
      <c r="R26" s="188" t="s">
        <v>217</v>
      </c>
      <c r="S26" s="188" t="s">
        <v>218</v>
      </c>
      <c r="T26" s="188" t="s">
        <v>219</v>
      </c>
    </row>
    <row r="27" spans="2:20" ht="15.75" customHeight="1">
      <c r="B27" s="181">
        <v>45298</v>
      </c>
      <c r="C27" s="182">
        <v>9965.65</v>
      </c>
      <c r="D27" s="183">
        <f t="shared" si="0"/>
        <v>-5.1262853149646181E-3</v>
      </c>
      <c r="F27" s="182">
        <v>21894.55</v>
      </c>
      <c r="G27" s="183">
        <f t="shared" si="1"/>
        <v>8.4635296718684749E-3</v>
      </c>
      <c r="L27" s="145" t="s">
        <v>207</v>
      </c>
      <c r="M27" s="145">
        <v>1.4479828233954885E-3</v>
      </c>
      <c r="N27" s="145">
        <v>2.6882571716522301E-3</v>
      </c>
      <c r="O27" s="145">
        <v>0.53863255296573564</v>
      </c>
      <c r="P27" s="145">
        <v>0.59132561059276123</v>
      </c>
      <c r="Q27" s="145">
        <v>-3.884796271928787E-3</v>
      </c>
      <c r="R27" s="145">
        <v>6.7807619187197641E-3</v>
      </c>
      <c r="S27" s="145">
        <v>-3.884796271928787E-3</v>
      </c>
      <c r="T27" s="145">
        <v>6.7807619187197641E-3</v>
      </c>
    </row>
    <row r="28" spans="2:20" ht="15.75" customHeight="1" thickBot="1">
      <c r="B28" s="181">
        <v>45305</v>
      </c>
      <c r="C28" s="182">
        <v>10037.700000000001</v>
      </c>
      <c r="D28" s="183">
        <f t="shared" si="0"/>
        <v>7.2298344814438753E-3</v>
      </c>
      <c r="F28" s="182">
        <v>21622.400000000001</v>
      </c>
      <c r="G28" s="183">
        <f t="shared" si="1"/>
        <v>-1.2430033958222397E-2</v>
      </c>
      <c r="L28" s="187" t="s">
        <v>373</v>
      </c>
      <c r="M28" s="187">
        <v>0.78443697839347581</v>
      </c>
      <c r="N28" s="187">
        <v>0.15444895555322385</v>
      </c>
      <c r="O28" s="187">
        <v>5.0789400004919756</v>
      </c>
      <c r="P28" s="187">
        <v>1.7407980347138336E-6</v>
      </c>
      <c r="Q28" s="187">
        <v>0.47805179688843347</v>
      </c>
      <c r="R28" s="187">
        <v>1.0908221598985182</v>
      </c>
      <c r="S28" s="187">
        <v>0.47805179688843347</v>
      </c>
      <c r="T28" s="187">
        <v>1.0908221598985182</v>
      </c>
    </row>
    <row r="29" spans="2:20" ht="15.75" customHeight="1">
      <c r="B29" s="181">
        <v>45312</v>
      </c>
      <c r="C29" s="182">
        <v>9881</v>
      </c>
      <c r="D29" s="183">
        <f t="shared" si="0"/>
        <v>-1.5611145979656738E-2</v>
      </c>
      <c r="F29" s="182">
        <v>21352.6</v>
      </c>
      <c r="G29" s="183">
        <f t="shared" si="1"/>
        <v>-1.2477800799171379E-2</v>
      </c>
    </row>
    <row r="30" spans="2:20" ht="15.75" customHeight="1">
      <c r="B30" s="181">
        <v>45319</v>
      </c>
      <c r="C30" s="182">
        <v>10655.45</v>
      </c>
      <c r="D30" s="183">
        <f t="shared" si="0"/>
        <v>7.8377694565327394E-2</v>
      </c>
      <c r="F30" s="182">
        <v>21853.8</v>
      </c>
      <c r="G30" s="183">
        <f t="shared" si="1"/>
        <v>2.3472551352060167E-2</v>
      </c>
    </row>
    <row r="31" spans="2:20" ht="15.75" customHeight="1">
      <c r="B31" s="181">
        <v>45326</v>
      </c>
      <c r="C31" s="182">
        <v>10732.85</v>
      </c>
      <c r="D31" s="183">
        <f t="shared" si="0"/>
        <v>7.263888432679888E-3</v>
      </c>
      <c r="F31" s="182">
        <v>21782.5</v>
      </c>
      <c r="G31" s="183">
        <f t="shared" si="1"/>
        <v>-3.2625904876955047E-3</v>
      </c>
    </row>
    <row r="32" spans="2:20" ht="15.75" customHeight="1">
      <c r="B32" s="181">
        <v>45333</v>
      </c>
      <c r="C32" s="182">
        <v>11380.4</v>
      </c>
      <c r="D32" s="183">
        <f t="shared" si="0"/>
        <v>6.0333462221124901E-2</v>
      </c>
      <c r="F32" s="182">
        <v>22040.7</v>
      </c>
      <c r="G32" s="183">
        <f t="shared" si="1"/>
        <v>1.1853552163433978E-2</v>
      </c>
    </row>
    <row r="33" spans="2:7" ht="15.75" customHeight="1">
      <c r="B33" s="181">
        <v>45340</v>
      </c>
      <c r="C33" s="182">
        <v>11535.6</v>
      </c>
      <c r="D33" s="183">
        <f t="shared" si="0"/>
        <v>1.3637481986573441E-2</v>
      </c>
      <c r="F33" s="182">
        <v>22212.7</v>
      </c>
      <c r="G33" s="183">
        <f t="shared" si="1"/>
        <v>7.8037448901351336E-3</v>
      </c>
    </row>
    <row r="34" spans="2:7" ht="15.75" customHeight="1">
      <c r="B34" s="181">
        <v>45347</v>
      </c>
      <c r="C34" s="182">
        <v>11620.95</v>
      </c>
      <c r="D34" s="183">
        <f t="shared" si="0"/>
        <v>7.3988349110580831E-3</v>
      </c>
      <c r="F34" s="182">
        <v>22338.75</v>
      </c>
      <c r="G34" s="183">
        <f t="shared" si="1"/>
        <v>5.6746816010659895E-3</v>
      </c>
    </row>
    <row r="35" spans="2:7" ht="15.75" customHeight="1">
      <c r="B35" s="181">
        <v>45354</v>
      </c>
      <c r="C35" s="182">
        <v>11510.05</v>
      </c>
      <c r="D35" s="183">
        <f t="shared" si="0"/>
        <v>-9.5431096424992701E-3</v>
      </c>
      <c r="F35" s="182">
        <v>22493.55</v>
      </c>
      <c r="G35" s="183">
        <f t="shared" si="1"/>
        <v>6.929662581836471E-3</v>
      </c>
    </row>
    <row r="36" spans="2:7" ht="15.75" customHeight="1">
      <c r="B36" s="181">
        <v>45361</v>
      </c>
      <c r="C36" s="182">
        <v>11476.65</v>
      </c>
      <c r="D36" s="183">
        <f t="shared" si="0"/>
        <v>-2.9018118948223037E-3</v>
      </c>
      <c r="F36" s="182">
        <v>22023.35</v>
      </c>
      <c r="G36" s="183">
        <f t="shared" si="1"/>
        <v>-2.0903770191899484E-2</v>
      </c>
    </row>
    <row r="37" spans="2:7" ht="15.75" customHeight="1">
      <c r="B37" s="181">
        <v>45368</v>
      </c>
      <c r="C37" s="182">
        <v>12337.7</v>
      </c>
      <c r="D37" s="183">
        <f t="shared" si="0"/>
        <v>7.5026248948953045E-2</v>
      </c>
      <c r="F37" s="182">
        <v>22096.75</v>
      </c>
      <c r="G37" s="183">
        <f t="shared" si="1"/>
        <v>3.3328262957270649E-3</v>
      </c>
    </row>
    <row r="38" spans="2:7" ht="15.75" customHeight="1">
      <c r="B38" s="181">
        <v>45375</v>
      </c>
      <c r="C38" s="182">
        <v>12600.35</v>
      </c>
      <c r="D38" s="183">
        <f t="shared" si="0"/>
        <v>2.1288408698541872E-2</v>
      </c>
      <c r="F38" s="182">
        <v>22326.9</v>
      </c>
      <c r="G38" s="183">
        <f t="shared" si="1"/>
        <v>1.0415558849152129E-2</v>
      </c>
    </row>
    <row r="39" spans="2:7" ht="15.75" customHeight="1">
      <c r="B39" s="181">
        <v>45382</v>
      </c>
      <c r="C39" s="182">
        <v>12421.6</v>
      </c>
      <c r="D39" s="183">
        <f t="shared" si="0"/>
        <v>-1.4186113877789119E-2</v>
      </c>
      <c r="F39" s="182">
        <v>22513.7</v>
      </c>
      <c r="G39" s="183">
        <f t="shared" si="1"/>
        <v>8.3665891816597782E-3</v>
      </c>
    </row>
    <row r="40" spans="2:7" ht="15.75" customHeight="1">
      <c r="B40" s="181">
        <v>45389</v>
      </c>
      <c r="C40" s="182">
        <v>12266.55</v>
      </c>
      <c r="D40" s="183">
        <f t="shared" si="0"/>
        <v>-1.2482288916081719E-2</v>
      </c>
      <c r="F40" s="182">
        <v>22519.4</v>
      </c>
      <c r="G40" s="183">
        <f t="shared" si="1"/>
        <v>2.5317917534661838E-4</v>
      </c>
    </row>
    <row r="41" spans="2:7" ht="15.75" customHeight="1">
      <c r="B41" s="181">
        <v>45396</v>
      </c>
      <c r="C41" s="182">
        <v>12710.95</v>
      </c>
      <c r="D41" s="183">
        <f t="shared" si="0"/>
        <v>3.6228605435106198E-2</v>
      </c>
      <c r="F41" s="182">
        <v>22147</v>
      </c>
      <c r="G41" s="183">
        <f t="shared" si="1"/>
        <v>-1.6536852669254087E-2</v>
      </c>
    </row>
    <row r="42" spans="2:7" ht="15.75" customHeight="1">
      <c r="B42" s="181">
        <v>45403</v>
      </c>
      <c r="C42" s="182">
        <v>12703.35</v>
      </c>
      <c r="D42" s="183">
        <f t="shared" si="0"/>
        <v>-5.9790967630279912E-4</v>
      </c>
      <c r="F42" s="182">
        <v>22419.95</v>
      </c>
      <c r="G42" s="183">
        <f t="shared" si="1"/>
        <v>1.2324468325281002E-2</v>
      </c>
    </row>
    <row r="43" spans="2:7" ht="15.75" customHeight="1">
      <c r="B43" s="181">
        <v>45410</v>
      </c>
      <c r="C43" s="182">
        <v>12492.15</v>
      </c>
      <c r="D43" s="183">
        <f t="shared" si="0"/>
        <v>-1.6625535783868051E-2</v>
      </c>
      <c r="F43" s="182">
        <v>22475.85</v>
      </c>
      <c r="G43" s="183">
        <f t="shared" si="1"/>
        <v>2.4933151055197555E-3</v>
      </c>
    </row>
    <row r="44" spans="2:7" ht="15.75" customHeight="1">
      <c r="B44" s="181">
        <v>45417</v>
      </c>
      <c r="C44" s="182">
        <v>12675.5</v>
      </c>
      <c r="D44" s="183">
        <f t="shared" si="0"/>
        <v>1.4677217292459632E-2</v>
      </c>
      <c r="F44" s="182">
        <v>22055.200000000001</v>
      </c>
      <c r="G44" s="183">
        <f t="shared" si="1"/>
        <v>-1.8715643679771743E-2</v>
      </c>
    </row>
    <row r="45" spans="2:7" ht="15.75" customHeight="1">
      <c r="B45" s="181">
        <v>45424</v>
      </c>
      <c r="C45" s="182">
        <v>12641.5</v>
      </c>
      <c r="D45" s="183">
        <f t="shared" si="0"/>
        <v>-2.6823399471421761E-3</v>
      </c>
      <c r="F45" s="182">
        <v>22466.1</v>
      </c>
      <c r="G45" s="183">
        <f t="shared" si="1"/>
        <v>1.8630527041241907E-2</v>
      </c>
    </row>
    <row r="46" spans="2:7" ht="15.75" customHeight="1">
      <c r="B46" s="181">
        <v>45431</v>
      </c>
      <c r="C46" s="182">
        <v>13000.45</v>
      </c>
      <c r="D46" s="183">
        <f t="shared" si="0"/>
        <v>2.8394573428786263E-2</v>
      </c>
      <c r="F46" s="182">
        <v>22957.1</v>
      </c>
      <c r="G46" s="183">
        <f t="shared" si="1"/>
        <v>2.1855150649200406E-2</v>
      </c>
    </row>
    <row r="47" spans="2:7" ht="15.75" customHeight="1">
      <c r="B47" s="181">
        <v>45438</v>
      </c>
      <c r="C47" s="182">
        <v>12399.3</v>
      </c>
      <c r="D47" s="183">
        <f t="shared" si="0"/>
        <v>-4.6240707052448315E-2</v>
      </c>
      <c r="F47" s="182">
        <v>22530.7</v>
      </c>
      <c r="G47" s="183">
        <f t="shared" si="1"/>
        <v>-1.8573774562117951E-2</v>
      </c>
    </row>
    <row r="48" spans="2:7" ht="15.75" customHeight="1">
      <c r="B48" s="181">
        <v>45445</v>
      </c>
      <c r="C48" s="182">
        <v>12810.9</v>
      </c>
      <c r="D48" s="183">
        <f t="shared" si="0"/>
        <v>3.3195422322227941E-2</v>
      </c>
      <c r="F48" s="182">
        <v>23290.15</v>
      </c>
      <c r="G48" s="183">
        <f t="shared" si="1"/>
        <v>3.3707341538434354E-2</v>
      </c>
    </row>
    <row r="49" spans="2:7" ht="15.75" customHeight="1">
      <c r="B49" s="181">
        <v>45452</v>
      </c>
      <c r="C49" s="182">
        <v>12845.2</v>
      </c>
      <c r="D49" s="183">
        <f t="shared" si="0"/>
        <v>2.6774075201587699E-3</v>
      </c>
      <c r="F49" s="182">
        <v>23465.599999999999</v>
      </c>
      <c r="G49" s="183">
        <f t="shared" si="1"/>
        <v>7.5332275661599279E-3</v>
      </c>
    </row>
    <row r="50" spans="2:7" ht="15.75" customHeight="1">
      <c r="B50" s="181">
        <v>45459</v>
      </c>
      <c r="C50" s="182">
        <v>12201.5</v>
      </c>
      <c r="D50" s="183">
        <f t="shared" si="0"/>
        <v>-5.0112104132282953E-2</v>
      </c>
      <c r="F50" s="182">
        <v>23501.1</v>
      </c>
      <c r="G50" s="183">
        <f t="shared" si="1"/>
        <v>1.5128528569481325E-3</v>
      </c>
    </row>
    <row r="51" spans="2:7" ht="15.75" customHeight="1">
      <c r="B51" s="181">
        <v>45466</v>
      </c>
      <c r="C51" s="182">
        <v>12033.85</v>
      </c>
      <c r="D51" s="183">
        <f t="shared" si="0"/>
        <v>-1.3740113920419628E-2</v>
      </c>
      <c r="F51" s="182">
        <v>24010.6</v>
      </c>
      <c r="G51" s="183">
        <f t="shared" si="1"/>
        <v>2.1679836262983532E-2</v>
      </c>
    </row>
    <row r="52" spans="2:7" ht="15.75" customHeight="1">
      <c r="B52" s="181">
        <v>45473</v>
      </c>
      <c r="C52" s="182">
        <v>12104.05</v>
      </c>
      <c r="D52" s="183">
        <f t="shared" si="0"/>
        <v>5.8335445431012545E-3</v>
      </c>
      <c r="F52" s="182">
        <v>24323.85</v>
      </c>
      <c r="G52" s="183">
        <f t="shared" si="1"/>
        <v>1.3046321208133094E-2</v>
      </c>
    </row>
    <row r="53" spans="2:7" ht="15.75" customHeight="1">
      <c r="B53" s="181">
        <v>45480</v>
      </c>
      <c r="C53" s="182">
        <v>12562.5</v>
      </c>
      <c r="D53" s="183">
        <f t="shared" si="0"/>
        <v>3.7875752330831514E-2</v>
      </c>
      <c r="F53" s="182">
        <v>24502.15</v>
      </c>
      <c r="G53" s="183">
        <f t="shared" si="1"/>
        <v>7.3302540510651326E-3</v>
      </c>
    </row>
    <row r="54" spans="2:7" ht="15.75" customHeight="1">
      <c r="B54" s="181">
        <v>45487</v>
      </c>
      <c r="C54" s="182">
        <v>12524.3</v>
      </c>
      <c r="D54" s="183">
        <f t="shared" si="0"/>
        <v>-3.0407960199005934E-3</v>
      </c>
      <c r="F54" s="182">
        <v>24530.9</v>
      </c>
      <c r="G54" s="183">
        <f t="shared" si="1"/>
        <v>1.1733664188653403E-3</v>
      </c>
    </row>
    <row r="55" spans="2:7" ht="15.75" customHeight="1">
      <c r="B55" s="181">
        <v>45494</v>
      </c>
      <c r="C55" s="182">
        <v>12663.7</v>
      </c>
      <c r="D55" s="183">
        <f t="shared" si="0"/>
        <v>1.1130362575153985E-2</v>
      </c>
      <c r="F55" s="182">
        <v>24834.85</v>
      </c>
      <c r="G55" s="183">
        <f t="shared" si="1"/>
        <v>1.2390495252925682E-2</v>
      </c>
    </row>
    <row r="56" spans="2:7" ht="15.75" customHeight="1">
      <c r="B56" s="181">
        <v>45501</v>
      </c>
      <c r="C56" s="182">
        <v>12726.4</v>
      </c>
      <c r="D56" s="183">
        <f t="shared" si="0"/>
        <v>4.9511596136988523E-3</v>
      </c>
      <c r="F56" s="182">
        <v>24717.7</v>
      </c>
      <c r="G56" s="183">
        <f t="shared" si="1"/>
        <v>-4.7171615693268887E-3</v>
      </c>
    </row>
    <row r="57" spans="2:7" ht="15.75" customHeight="1">
      <c r="B57" s="181">
        <v>45508</v>
      </c>
      <c r="C57" s="182">
        <v>12224.2</v>
      </c>
      <c r="D57" s="183">
        <f t="shared" si="0"/>
        <v>-3.9461277344732149E-2</v>
      </c>
      <c r="F57" s="182">
        <v>24367.5</v>
      </c>
      <c r="G57" s="183">
        <f t="shared" si="1"/>
        <v>-1.4167984885325113E-2</v>
      </c>
    </row>
    <row r="58" spans="2:7" ht="15.75" customHeight="1">
      <c r="B58" s="181">
        <v>45515</v>
      </c>
      <c r="C58" s="182">
        <v>12213.3</v>
      </c>
      <c r="D58" s="183">
        <f t="shared" si="0"/>
        <v>-8.9167389277022835E-4</v>
      </c>
      <c r="F58" s="182">
        <v>24541.15</v>
      </c>
      <c r="G58" s="183">
        <f t="shared" si="1"/>
        <v>7.1262952703396998E-3</v>
      </c>
    </row>
    <row r="59" spans="2:7" ht="15.75" customHeight="1">
      <c r="B59" s="181">
        <v>45522</v>
      </c>
      <c r="C59" s="182">
        <v>12302.3</v>
      </c>
      <c r="D59" s="183">
        <f t="shared" si="0"/>
        <v>7.2871377924066394E-3</v>
      </c>
      <c r="F59" s="182">
        <v>24823.15</v>
      </c>
      <c r="G59" s="183">
        <f t="shared" si="1"/>
        <v>1.1490904052988471E-2</v>
      </c>
    </row>
    <row r="60" spans="2:7" ht="15.75" customHeight="1">
      <c r="B60" s="181">
        <v>45529</v>
      </c>
      <c r="C60" s="182">
        <v>12403</v>
      </c>
      <c r="D60" s="183">
        <f t="shared" si="0"/>
        <v>8.1854612552125783E-3</v>
      </c>
      <c r="F60" s="182">
        <v>25235.9</v>
      </c>
      <c r="G60" s="183">
        <f t="shared" si="1"/>
        <v>1.6627623810837822E-2</v>
      </c>
    </row>
    <row r="61" spans="2:7" ht="15.75" customHeight="1">
      <c r="B61" s="181">
        <v>45536</v>
      </c>
      <c r="C61" s="182">
        <v>12186.15</v>
      </c>
      <c r="D61" s="183">
        <f t="shared" si="0"/>
        <v>-1.7483673304845682E-2</v>
      </c>
      <c r="F61" s="182">
        <v>24852.15</v>
      </c>
      <c r="G61" s="183">
        <f t="shared" si="1"/>
        <v>-1.5206511358818231E-2</v>
      </c>
    </row>
    <row r="62" spans="2:7" ht="15.75" customHeight="1">
      <c r="B62" s="181">
        <v>45543</v>
      </c>
      <c r="C62" s="182">
        <v>12316.05</v>
      </c>
      <c r="D62" s="183">
        <f t="shared" si="0"/>
        <v>1.06596422988392E-2</v>
      </c>
      <c r="F62" s="182">
        <v>25356.5</v>
      </c>
      <c r="G62" s="183">
        <f t="shared" si="1"/>
        <v>2.0294018827344829E-2</v>
      </c>
    </row>
    <row r="63" spans="2:7" ht="15.75" customHeight="1">
      <c r="B63" s="181">
        <v>45550</v>
      </c>
      <c r="C63" s="182">
        <v>12614.5</v>
      </c>
      <c r="D63" s="183">
        <f t="shared" si="0"/>
        <v>2.4232607045278298E-2</v>
      </c>
      <c r="F63" s="182">
        <v>25790.95</v>
      </c>
      <c r="G63" s="183">
        <f t="shared" si="1"/>
        <v>1.7133673811448702E-2</v>
      </c>
    </row>
    <row r="64" spans="2:7" ht="15.75" customHeight="1">
      <c r="B64" s="181">
        <v>45557</v>
      </c>
      <c r="C64" s="182">
        <v>13495.6</v>
      </c>
      <c r="D64" s="183">
        <f t="shared" si="0"/>
        <v>6.9848190574339108E-2</v>
      </c>
      <c r="F64" s="182">
        <v>26178.95</v>
      </c>
      <c r="G64" s="183">
        <f t="shared" si="1"/>
        <v>1.5044036764834123E-2</v>
      </c>
    </row>
    <row r="65" spans="2:7" ht="15.75" customHeight="1">
      <c r="B65" s="181">
        <v>45564</v>
      </c>
      <c r="C65" s="182">
        <v>12605.75</v>
      </c>
      <c r="D65" s="183">
        <f t="shared" si="0"/>
        <v>-6.5936305166128251E-2</v>
      </c>
      <c r="F65" s="182">
        <v>25014.6</v>
      </c>
      <c r="G65" s="183">
        <f t="shared" si="1"/>
        <v>-4.4476573735768743E-2</v>
      </c>
    </row>
    <row r="66" spans="2:7" ht="15.75" customHeight="1">
      <c r="B66" s="181">
        <v>45571</v>
      </c>
      <c r="C66" s="182">
        <v>12776.65</v>
      </c>
      <c r="D66" s="183">
        <f t="shared" si="0"/>
        <v>1.3557305198024672E-2</v>
      </c>
      <c r="F66" s="182">
        <v>24964.25</v>
      </c>
      <c r="G66" s="183">
        <f t="shared" si="1"/>
        <v>-2.0128245104857889E-3</v>
      </c>
    </row>
    <row r="67" spans="2:7" ht="15.75" customHeight="1">
      <c r="B67" s="181">
        <v>45578</v>
      </c>
      <c r="C67" s="182">
        <v>12105.1</v>
      </c>
      <c r="D67" s="183">
        <f t="shared" si="0"/>
        <v>-5.2560726011904424E-2</v>
      </c>
      <c r="F67" s="182">
        <v>24854.05</v>
      </c>
      <c r="G67" s="183">
        <f t="shared" si="1"/>
        <v>-4.4143124668275524E-3</v>
      </c>
    </row>
    <row r="68" spans="2:7" ht="15.75" customHeight="1">
      <c r="B68" s="181">
        <v>45585</v>
      </c>
      <c r="C68" s="182">
        <v>11502.85</v>
      </c>
      <c r="D68" s="183">
        <f t="shared" si="0"/>
        <v>-4.9751757523688322E-2</v>
      </c>
      <c r="F68" s="182">
        <v>24180.799999999999</v>
      </c>
      <c r="G68" s="183">
        <f t="shared" si="1"/>
        <v>-2.7088140564616281E-2</v>
      </c>
    </row>
    <row r="69" spans="2:7" ht="15.75" customHeight="1">
      <c r="B69" s="181">
        <v>45592</v>
      </c>
      <c r="C69" s="182">
        <v>11110</v>
      </c>
      <c r="D69" s="183">
        <f t="shared" si="0"/>
        <v>-3.4152405708150591E-2</v>
      </c>
      <c r="F69" s="182">
        <v>24304.35</v>
      </c>
      <c r="G69" s="183">
        <f t="shared" si="1"/>
        <v>5.1094256600276999E-3</v>
      </c>
    </row>
    <row r="70" spans="2:7" ht="15.75" customHeight="1">
      <c r="B70" s="181">
        <v>45599</v>
      </c>
      <c r="C70" s="182">
        <v>11303</v>
      </c>
      <c r="D70" s="183">
        <f t="shared" si="0"/>
        <v>1.7371737173717428E-2</v>
      </c>
      <c r="F70" s="182">
        <v>24148.2</v>
      </c>
      <c r="G70" s="183">
        <f t="shared" si="1"/>
        <v>-6.4247758117372822E-3</v>
      </c>
    </row>
    <row r="71" spans="2:7" ht="15.75" customHeight="1">
      <c r="B71" s="181">
        <v>45606</v>
      </c>
      <c r="C71" s="182">
        <v>11006.05</v>
      </c>
      <c r="D71" s="183">
        <f t="shared" si="0"/>
        <v>-2.6271786251437779E-2</v>
      </c>
      <c r="F71" s="182">
        <v>23532.7</v>
      </c>
      <c r="G71" s="183">
        <f t="shared" si="1"/>
        <v>-2.5488442202731498E-2</v>
      </c>
    </row>
    <row r="72" spans="2:7" ht="15.75" customHeight="1">
      <c r="B72" s="181">
        <v>45613</v>
      </c>
      <c r="C72" s="182">
        <v>11063.6</v>
      </c>
      <c r="D72" s="183">
        <f t="shared" ref="D72:D110" si="2">C72/C71-1</f>
        <v>5.2289422635733995E-3</v>
      </c>
      <c r="F72" s="182">
        <v>23907.25</v>
      </c>
      <c r="G72" s="183">
        <f t="shared" si="1"/>
        <v>1.5916150717937061E-2</v>
      </c>
    </row>
    <row r="73" spans="2:7" ht="15.75" customHeight="1">
      <c r="B73" s="181">
        <v>45620</v>
      </c>
      <c r="C73" s="182">
        <v>11074.2</v>
      </c>
      <c r="D73" s="183">
        <f t="shared" si="2"/>
        <v>9.5809682201086765E-4</v>
      </c>
      <c r="F73" s="182">
        <v>24131.1</v>
      </c>
      <c r="G73" s="183">
        <f t="shared" ref="G73:G110" si="3">F73/F72-1</f>
        <v>9.3632684645870157E-3</v>
      </c>
    </row>
    <row r="74" spans="2:7" ht="15.75" customHeight="1">
      <c r="B74" s="181">
        <v>45627</v>
      </c>
      <c r="C74" s="182">
        <v>11317.95</v>
      </c>
      <c r="D74" s="183">
        <f t="shared" si="2"/>
        <v>2.2010619277238908E-2</v>
      </c>
      <c r="F74" s="182">
        <v>24677.8</v>
      </c>
      <c r="G74" s="183">
        <f t="shared" si="3"/>
        <v>2.2655411481449228E-2</v>
      </c>
    </row>
    <row r="75" spans="2:7" ht="15.75" customHeight="1">
      <c r="B75" s="181">
        <v>45634</v>
      </c>
      <c r="C75" s="182">
        <v>11272.55</v>
      </c>
      <c r="D75" s="183">
        <f t="shared" si="2"/>
        <v>-4.0113271396322592E-3</v>
      </c>
      <c r="F75" s="182">
        <v>24768.3</v>
      </c>
      <c r="G75" s="183">
        <f t="shared" si="3"/>
        <v>3.6672636944945491E-3</v>
      </c>
    </row>
    <row r="76" spans="2:7" ht="15.75" customHeight="1">
      <c r="B76" s="181">
        <v>45641</v>
      </c>
      <c r="C76" s="182">
        <v>10901.05</v>
      </c>
      <c r="D76" s="183">
        <f t="shared" si="2"/>
        <v>-3.2956163423537688E-2</v>
      </c>
      <c r="F76" s="182">
        <v>23587.5</v>
      </c>
      <c r="G76" s="183">
        <f t="shared" si="3"/>
        <v>-4.7673841159869612E-2</v>
      </c>
    </row>
    <row r="77" spans="2:7" ht="15.75" customHeight="1">
      <c r="B77" s="181">
        <v>45648</v>
      </c>
      <c r="C77" s="182">
        <v>10941.05</v>
      </c>
      <c r="D77" s="183">
        <f t="shared" si="2"/>
        <v>3.6693712990949479E-3</v>
      </c>
      <c r="F77" s="182">
        <v>23813.4</v>
      </c>
      <c r="G77" s="183">
        <f t="shared" si="3"/>
        <v>9.5771065182830295E-3</v>
      </c>
    </row>
    <row r="78" spans="2:7" ht="15.75" customHeight="1">
      <c r="B78" s="181">
        <v>45655</v>
      </c>
      <c r="C78" s="182">
        <v>11934.25</v>
      </c>
      <c r="D78" s="183">
        <f t="shared" si="2"/>
        <v>9.0777393394601225E-2</v>
      </c>
      <c r="F78" s="182">
        <v>24004.75</v>
      </c>
      <c r="G78" s="183">
        <f t="shared" si="3"/>
        <v>8.035391838208783E-3</v>
      </c>
    </row>
    <row r="79" spans="2:7" ht="15.75" customHeight="1">
      <c r="B79" s="181">
        <v>45662</v>
      </c>
      <c r="C79" s="182">
        <v>11631.1</v>
      </c>
      <c r="D79" s="183">
        <f t="shared" si="2"/>
        <v>-2.5401680038544483E-2</v>
      </c>
      <c r="F79" s="182">
        <v>23431.5</v>
      </c>
      <c r="G79" s="183">
        <f t="shared" si="3"/>
        <v>-2.3880690280048689E-2</v>
      </c>
    </row>
    <row r="80" spans="2:7" ht="15.75" customHeight="1">
      <c r="B80" s="181">
        <v>45669</v>
      </c>
      <c r="C80" s="182">
        <v>12136.35</v>
      </c>
      <c r="D80" s="183">
        <f t="shared" si="2"/>
        <v>4.3439571493667728E-2</v>
      </c>
      <c r="F80" s="182">
        <v>23203.200000000001</v>
      </c>
      <c r="G80" s="183">
        <f t="shared" si="3"/>
        <v>-9.7432942833365344E-3</v>
      </c>
    </row>
    <row r="81" spans="2:7" ht="15.75" customHeight="1">
      <c r="B81" s="181">
        <v>45676</v>
      </c>
      <c r="C81" s="182">
        <v>11967.9</v>
      </c>
      <c r="D81" s="183">
        <f t="shared" si="2"/>
        <v>-1.3879790876169529E-2</v>
      </c>
      <c r="F81" s="182">
        <v>23092.2</v>
      </c>
      <c r="G81" s="183">
        <f t="shared" si="3"/>
        <v>-4.7838229209764549E-3</v>
      </c>
    </row>
    <row r="82" spans="2:7" ht="15.75" customHeight="1">
      <c r="B82" s="181">
        <v>45683</v>
      </c>
      <c r="C82" s="182">
        <v>12310.65</v>
      </c>
      <c r="D82" s="183">
        <f t="shared" si="2"/>
        <v>2.8639109618228797E-2</v>
      </c>
      <c r="F82" s="182">
        <v>23508.400000000001</v>
      </c>
      <c r="G82" s="183">
        <f t="shared" si="3"/>
        <v>1.8023401841314346E-2</v>
      </c>
    </row>
    <row r="83" spans="2:7" ht="15.75" customHeight="1">
      <c r="B83" s="181">
        <v>45690</v>
      </c>
      <c r="C83" s="182">
        <v>13049.5</v>
      </c>
      <c r="D83" s="183">
        <f t="shared" si="2"/>
        <v>6.0017139631132421E-2</v>
      </c>
      <c r="F83" s="182">
        <v>23559.95</v>
      </c>
      <c r="G83" s="183">
        <f t="shared" si="3"/>
        <v>2.1928332000475947E-3</v>
      </c>
    </row>
    <row r="84" spans="2:7" ht="15.75" customHeight="1">
      <c r="B84" s="181">
        <v>45697</v>
      </c>
      <c r="C84" s="182">
        <v>12680.25</v>
      </c>
      <c r="D84" s="183">
        <f t="shared" si="2"/>
        <v>-2.8296103298977027E-2</v>
      </c>
      <c r="F84" s="182">
        <v>22929.25</v>
      </c>
      <c r="G84" s="183">
        <f t="shared" si="3"/>
        <v>-2.6770005878620329E-2</v>
      </c>
    </row>
    <row r="85" spans="2:7" ht="15.75" customHeight="1">
      <c r="B85" s="181">
        <v>45704</v>
      </c>
      <c r="C85" s="182">
        <v>12323.45</v>
      </c>
      <c r="D85" s="183">
        <f t="shared" si="2"/>
        <v>-2.8138246485676532E-2</v>
      </c>
      <c r="F85" s="182">
        <v>22795.9</v>
      </c>
      <c r="G85" s="183">
        <f t="shared" si="3"/>
        <v>-5.8157157342695331E-3</v>
      </c>
    </row>
    <row r="86" spans="2:7" ht="15.75" customHeight="1">
      <c r="B86" s="181">
        <v>45711</v>
      </c>
      <c r="C86" s="182">
        <v>11945.85</v>
      </c>
      <c r="D86" s="183">
        <f t="shared" si="2"/>
        <v>-3.0640770238853587E-2</v>
      </c>
      <c r="F86" s="182">
        <v>22124.7</v>
      </c>
      <c r="G86" s="183">
        <f t="shared" si="3"/>
        <v>-2.9443891226053842E-2</v>
      </c>
    </row>
    <row r="87" spans="2:7" ht="15.75" customHeight="1">
      <c r="B87" s="181">
        <v>45718</v>
      </c>
      <c r="C87" s="182">
        <v>11664.15</v>
      </c>
      <c r="D87" s="183">
        <f t="shared" si="2"/>
        <v>-2.3581411117668538E-2</v>
      </c>
      <c r="F87" s="182">
        <v>22552.5</v>
      </c>
      <c r="G87" s="183">
        <f t="shared" si="3"/>
        <v>1.9335855401429125E-2</v>
      </c>
    </row>
    <row r="88" spans="2:7" ht="15.75" customHeight="1">
      <c r="B88" s="181">
        <v>45725</v>
      </c>
      <c r="C88" s="182">
        <v>11513.8</v>
      </c>
      <c r="D88" s="183">
        <f t="shared" si="2"/>
        <v>-1.2889923397761516E-2</v>
      </c>
      <c r="F88" s="182">
        <v>22397.200000000001</v>
      </c>
      <c r="G88" s="183">
        <f t="shared" si="3"/>
        <v>-6.8861545283227521E-3</v>
      </c>
    </row>
    <row r="89" spans="2:7" ht="15.75" customHeight="1">
      <c r="B89" s="181">
        <v>45732</v>
      </c>
      <c r="C89" s="182">
        <v>11732.8</v>
      </c>
      <c r="D89" s="183">
        <f t="shared" si="2"/>
        <v>1.9020653476697458E-2</v>
      </c>
      <c r="F89" s="182">
        <v>23350.400000000001</v>
      </c>
      <c r="G89" s="183">
        <f t="shared" si="3"/>
        <v>4.2558891289982803E-2</v>
      </c>
    </row>
    <row r="90" spans="2:7" ht="15.75" customHeight="1">
      <c r="B90" s="181">
        <v>45739</v>
      </c>
      <c r="C90" s="182">
        <v>11522.15</v>
      </c>
      <c r="D90" s="183">
        <f t="shared" si="2"/>
        <v>-1.7953941088231229E-2</v>
      </c>
      <c r="F90" s="182">
        <v>23519.35</v>
      </c>
      <c r="G90" s="183">
        <f t="shared" si="3"/>
        <v>7.2354220912702605E-3</v>
      </c>
    </row>
    <row r="91" spans="2:7" ht="15.75" customHeight="1">
      <c r="B91" s="181">
        <v>45746</v>
      </c>
      <c r="C91" s="182">
        <v>11482</v>
      </c>
      <c r="D91" s="183">
        <f t="shared" si="2"/>
        <v>-3.4845927192407311E-3</v>
      </c>
      <c r="F91" s="182">
        <v>22904.45</v>
      </c>
      <c r="G91" s="183">
        <f t="shared" si="3"/>
        <v>-2.6144430011883713E-2</v>
      </c>
    </row>
    <row r="92" spans="2:7" ht="15.75" customHeight="1">
      <c r="B92" s="181">
        <v>45753</v>
      </c>
      <c r="C92" s="182">
        <v>11599.05</v>
      </c>
      <c r="D92" s="183">
        <f t="shared" si="2"/>
        <v>1.0194217035359721E-2</v>
      </c>
      <c r="F92" s="182">
        <v>22828.55</v>
      </c>
      <c r="G92" s="183">
        <f t="shared" si="3"/>
        <v>-3.3137665388167648E-3</v>
      </c>
    </row>
    <row r="93" spans="2:7" ht="15.75" customHeight="1">
      <c r="B93" s="181">
        <v>45760</v>
      </c>
      <c r="C93" s="182">
        <v>11695</v>
      </c>
      <c r="D93" s="183">
        <f t="shared" si="2"/>
        <v>8.2722291911838663E-3</v>
      </c>
      <c r="F93" s="182">
        <v>23851.65</v>
      </c>
      <c r="G93" s="183">
        <f t="shared" si="3"/>
        <v>4.4816687875489425E-2</v>
      </c>
    </row>
    <row r="94" spans="2:7" ht="15.75" customHeight="1">
      <c r="B94" s="181">
        <v>45767</v>
      </c>
      <c r="C94" s="182">
        <v>11698</v>
      </c>
      <c r="D94" s="183">
        <f t="shared" si="2"/>
        <v>2.5651988029062878E-4</v>
      </c>
      <c r="F94" s="182">
        <v>24039.35</v>
      </c>
      <c r="G94" s="183">
        <f t="shared" si="3"/>
        <v>7.86947653516612E-3</v>
      </c>
    </row>
    <row r="95" spans="2:7" ht="15.75" customHeight="1">
      <c r="B95" s="181">
        <v>45774</v>
      </c>
      <c r="C95" s="182">
        <v>12406</v>
      </c>
      <c r="D95" s="183">
        <f t="shared" si="2"/>
        <v>6.0523166353222857E-2</v>
      </c>
      <c r="F95" s="182">
        <v>24346.7</v>
      </c>
      <c r="G95" s="183">
        <f t="shared" si="3"/>
        <v>1.2785287455775673E-2</v>
      </c>
    </row>
    <row r="96" spans="2:7" ht="15.75" customHeight="1">
      <c r="B96" s="181">
        <v>45781</v>
      </c>
      <c r="C96" s="182">
        <v>12250</v>
      </c>
      <c r="D96" s="183">
        <f t="shared" si="2"/>
        <v>-1.2574560696437254E-2</v>
      </c>
      <c r="F96" s="182">
        <v>24008</v>
      </c>
      <c r="G96" s="183">
        <f t="shared" si="3"/>
        <v>-1.391153626569519E-2</v>
      </c>
    </row>
    <row r="97" spans="2:7" ht="15.75" customHeight="1">
      <c r="B97" s="181">
        <v>45788</v>
      </c>
      <c r="C97" s="182">
        <v>12995</v>
      </c>
      <c r="D97" s="183">
        <f t="shared" si="2"/>
        <v>6.0816326530612308E-2</v>
      </c>
      <c r="F97" s="182">
        <v>25019.8</v>
      </c>
      <c r="G97" s="183">
        <f t="shared" si="3"/>
        <v>4.2144285238253865E-2</v>
      </c>
    </row>
    <row r="98" spans="2:7" ht="15.75" customHeight="1">
      <c r="B98" s="181">
        <v>45795</v>
      </c>
      <c r="C98" s="182">
        <v>12453</v>
      </c>
      <c r="D98" s="183">
        <f t="shared" si="2"/>
        <v>-4.1708349365140451E-2</v>
      </c>
      <c r="F98" s="182">
        <v>24853.15</v>
      </c>
      <c r="G98" s="183">
        <f t="shared" si="3"/>
        <v>-6.660724706032739E-3</v>
      </c>
    </row>
    <row r="99" spans="2:7" ht="15.75" customHeight="1">
      <c r="B99" s="181">
        <v>45802</v>
      </c>
      <c r="C99" s="182">
        <v>12319</v>
      </c>
      <c r="D99" s="183">
        <f t="shared" si="2"/>
        <v>-1.0760459327069816E-2</v>
      </c>
      <c r="F99" s="182">
        <v>24750.7</v>
      </c>
      <c r="G99" s="183">
        <f t="shared" si="3"/>
        <v>-4.1222138843567402E-3</v>
      </c>
    </row>
    <row r="100" spans="2:7" ht="15.75" customHeight="1">
      <c r="B100" s="181">
        <v>45809</v>
      </c>
      <c r="C100" s="182">
        <v>12462</v>
      </c>
      <c r="D100" s="183">
        <f t="shared" si="2"/>
        <v>1.1608085071840302E-2</v>
      </c>
      <c r="F100" s="182">
        <v>25003.05</v>
      </c>
      <c r="G100" s="183">
        <f t="shared" si="3"/>
        <v>1.0195671233540704E-2</v>
      </c>
    </row>
    <row r="101" spans="2:7" ht="15.75" customHeight="1">
      <c r="B101" s="181">
        <v>45816</v>
      </c>
      <c r="C101" s="182">
        <v>12408</v>
      </c>
      <c r="D101" s="183">
        <f t="shared" si="2"/>
        <v>-4.3331728454502061E-3</v>
      </c>
      <c r="F101" s="182">
        <v>24718.6</v>
      </c>
      <c r="G101" s="183">
        <f t="shared" si="3"/>
        <v>-1.1376612053329516E-2</v>
      </c>
    </row>
    <row r="102" spans="2:7" ht="15.75" customHeight="1">
      <c r="B102" s="181">
        <v>45823</v>
      </c>
      <c r="C102" s="182">
        <v>12791</v>
      </c>
      <c r="D102" s="183">
        <f t="shared" si="2"/>
        <v>3.086718246292719E-2</v>
      </c>
      <c r="F102" s="182">
        <v>25112.400000000001</v>
      </c>
      <c r="G102" s="183">
        <f t="shared" si="3"/>
        <v>1.5931322971365791E-2</v>
      </c>
    </row>
    <row r="103" spans="2:7" ht="15.75" customHeight="1">
      <c r="B103" s="181">
        <v>45830</v>
      </c>
      <c r="C103" s="182">
        <v>12642</v>
      </c>
      <c r="D103" s="183">
        <f t="shared" si="2"/>
        <v>-1.16488155734501E-2</v>
      </c>
      <c r="F103" s="182">
        <v>25637.8</v>
      </c>
      <c r="G103" s="183">
        <f t="shared" si="3"/>
        <v>2.092193498032846E-2</v>
      </c>
    </row>
    <row r="104" spans="2:7" ht="15.75" customHeight="1">
      <c r="B104" s="181">
        <v>45837</v>
      </c>
      <c r="C104" s="182">
        <v>12646</v>
      </c>
      <c r="D104" s="183">
        <f t="shared" si="2"/>
        <v>3.1640563202017802E-4</v>
      </c>
      <c r="F104" s="182">
        <v>25461</v>
      </c>
      <c r="G104" s="183">
        <f t="shared" si="3"/>
        <v>-6.8960675252947023E-3</v>
      </c>
    </row>
    <row r="105" spans="2:7" ht="15.75" customHeight="1">
      <c r="B105" s="181">
        <v>45844</v>
      </c>
      <c r="C105" s="182">
        <v>12574</v>
      </c>
      <c r="D105" s="183">
        <f t="shared" si="2"/>
        <v>-5.6934999209236059E-3</v>
      </c>
      <c r="F105" s="182">
        <v>25149.85</v>
      </c>
      <c r="G105" s="183">
        <f t="shared" si="3"/>
        <v>-1.2220651192019205E-2</v>
      </c>
    </row>
    <row r="106" spans="2:7" ht="15.75" customHeight="1">
      <c r="B106" s="181">
        <v>45851</v>
      </c>
      <c r="C106" s="182">
        <v>12419</v>
      </c>
      <c r="D106" s="183">
        <f t="shared" si="2"/>
        <v>-1.2327024017814492E-2</v>
      </c>
      <c r="F106" s="182">
        <v>24968.400000000001</v>
      </c>
      <c r="G106" s="183">
        <f t="shared" si="3"/>
        <v>-7.214754759968578E-3</v>
      </c>
    </row>
    <row r="107" spans="2:7" ht="15.75" customHeight="1">
      <c r="B107" s="181">
        <v>45858</v>
      </c>
      <c r="C107" s="182">
        <v>12404</v>
      </c>
      <c r="D107" s="183">
        <f t="shared" si="2"/>
        <v>-1.2078267171269363E-3</v>
      </c>
      <c r="F107" s="182">
        <v>24837</v>
      </c>
      <c r="G107" s="183">
        <f t="shared" si="3"/>
        <v>-5.2626519921180615E-3</v>
      </c>
    </row>
    <row r="108" spans="2:7" ht="15.75" customHeight="1">
      <c r="B108" s="181">
        <v>45865</v>
      </c>
      <c r="C108" s="182">
        <v>12302</v>
      </c>
      <c r="D108" s="183">
        <f t="shared" si="2"/>
        <v>-8.2231538213479727E-3</v>
      </c>
      <c r="F108" s="182">
        <v>24565.35</v>
      </c>
      <c r="G108" s="183">
        <f t="shared" si="3"/>
        <v>-1.0937311269477057E-2</v>
      </c>
    </row>
    <row r="109" spans="2:7" ht="15.75" customHeight="1">
      <c r="B109" s="181">
        <v>45872</v>
      </c>
      <c r="C109" s="182">
        <v>12590</v>
      </c>
      <c r="D109" s="183">
        <f t="shared" si="2"/>
        <v>2.3410827507722276E-2</v>
      </c>
      <c r="F109" s="182">
        <v>24363.3</v>
      </c>
      <c r="G109" s="183">
        <f t="shared" si="3"/>
        <v>-8.2249998473459263E-3</v>
      </c>
    </row>
    <row r="110" spans="2:7" ht="15.75" customHeight="1">
      <c r="B110" s="181">
        <v>45879</v>
      </c>
      <c r="C110" s="182">
        <v>12936</v>
      </c>
      <c r="D110" s="183">
        <f t="shared" si="2"/>
        <v>2.7482128673550488E-2</v>
      </c>
      <c r="F110" s="182">
        <v>24631.3</v>
      </c>
      <c r="G110" s="183">
        <f t="shared" si="3"/>
        <v>1.100015186776826E-2</v>
      </c>
    </row>
    <row r="111" spans="2:7" ht="15.75" customHeight="1"/>
    <row r="112" spans="2:7"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B6:D6" xr:uid="{00000000-0001-0000-0100-000000000000}">
    <sortState xmlns:xlrd2="http://schemas.microsoft.com/office/spreadsheetml/2017/richdata2" ref="B7:D110">
      <sortCondition ref="B6"/>
    </sortState>
  </autoFilter>
  <mergeCells count="3">
    <mergeCell ref="B4:D4"/>
    <mergeCell ref="F4:G4"/>
    <mergeCell ref="I4:J4"/>
  </mergeCells>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A499C-F3D0-4106-8DEF-C00BFEEFF05A}">
  <sheetPr codeName="Sheet24">
    <pageSetUpPr fitToPage="1"/>
  </sheetPr>
  <dimension ref="A1:U33"/>
  <sheetViews>
    <sheetView showGridLines="0" zoomScale="94" workbookViewId="0">
      <selection sqref="A1:M34"/>
    </sheetView>
  </sheetViews>
  <sheetFormatPr defaultRowHeight="14.5"/>
  <cols>
    <col min="1" max="1" width="1.90625" style="145" customWidth="1"/>
    <col min="2" max="4" width="8.7265625" style="145"/>
    <col min="5" max="5" width="17.7265625" style="145" bestFit="1" customWidth="1"/>
    <col min="6" max="12" width="8.7265625" style="145"/>
    <col min="13" max="13" width="4.54296875" style="145" customWidth="1"/>
    <col min="14" max="16384" width="8.7265625" style="145"/>
  </cols>
  <sheetData>
    <row r="1" spans="1:21">
      <c r="A1" s="273"/>
      <c r="B1" s="361"/>
      <c r="C1" s="361"/>
      <c r="D1" s="361"/>
      <c r="E1" s="361"/>
      <c r="F1" s="361"/>
      <c r="G1" s="361"/>
      <c r="H1" s="361"/>
      <c r="I1" s="361"/>
      <c r="J1" s="93"/>
      <c r="K1" s="93"/>
      <c r="L1" s="93"/>
      <c r="M1" s="48"/>
      <c r="N1" s="48"/>
      <c r="O1" s="48"/>
      <c r="P1" s="48"/>
      <c r="Q1" s="48"/>
      <c r="R1" s="48"/>
      <c r="S1" s="48"/>
      <c r="T1" s="48"/>
      <c r="U1" s="48"/>
    </row>
    <row r="2" spans="1:21" ht="28.5">
      <c r="A2" s="273"/>
      <c r="B2" s="362" t="str">
        <f>'Data Sheet'!B1</f>
        <v>TATA MOTORS LTD</v>
      </c>
      <c r="C2" s="273"/>
      <c r="D2" s="273"/>
      <c r="E2" s="273"/>
      <c r="F2" s="273"/>
      <c r="G2" s="273"/>
      <c r="H2" s="273"/>
      <c r="I2" s="273"/>
      <c r="J2"/>
      <c r="K2"/>
      <c r="L2"/>
      <c r="M2"/>
      <c r="N2"/>
      <c r="O2"/>
      <c r="P2"/>
      <c r="Q2"/>
      <c r="R2"/>
      <c r="S2"/>
      <c r="T2"/>
      <c r="U2"/>
    </row>
    <row r="3" spans="1:21">
      <c r="A3" s="273"/>
      <c r="B3" s="274" t="s">
        <v>460</v>
      </c>
      <c r="C3" s="273"/>
      <c r="D3" s="273"/>
      <c r="E3" s="273"/>
      <c r="F3" s="273"/>
      <c r="G3" s="273"/>
      <c r="H3" s="273"/>
      <c r="I3" s="273"/>
      <c r="J3"/>
      <c r="K3"/>
      <c r="L3"/>
      <c r="M3"/>
      <c r="N3"/>
      <c r="O3"/>
      <c r="P3"/>
      <c r="Q3"/>
      <c r="R3"/>
      <c r="S3"/>
      <c r="T3"/>
      <c r="U3"/>
    </row>
    <row r="4" spans="1:21" ht="18.5">
      <c r="A4" s="273"/>
      <c r="B4" s="363" t="s">
        <v>461</v>
      </c>
      <c r="C4" s="273"/>
      <c r="D4" s="273"/>
      <c r="E4" s="273"/>
      <c r="F4" s="273"/>
      <c r="G4" s="273"/>
      <c r="H4" s="273"/>
      <c r="I4" s="273"/>
      <c r="J4"/>
      <c r="K4"/>
      <c r="L4"/>
      <c r="M4"/>
      <c r="N4"/>
      <c r="O4"/>
      <c r="P4"/>
      <c r="Q4"/>
      <c r="R4"/>
      <c r="S4"/>
      <c r="T4"/>
      <c r="U4"/>
    </row>
    <row r="5" spans="1:21">
      <c r="A5" s="273"/>
      <c r="B5" s="279" t="s">
        <v>463</v>
      </c>
      <c r="C5" s="273"/>
      <c r="D5" s="273"/>
      <c r="E5" s="273"/>
      <c r="F5" s="273"/>
      <c r="G5" s="273"/>
      <c r="H5" s="273"/>
      <c r="I5" s="273"/>
      <c r="J5"/>
      <c r="K5"/>
      <c r="L5"/>
      <c r="M5"/>
      <c r="N5"/>
      <c r="O5"/>
      <c r="P5"/>
      <c r="Q5"/>
      <c r="R5"/>
      <c r="S5"/>
      <c r="T5"/>
      <c r="U5"/>
    </row>
    <row r="6" spans="1:21" ht="6.5" customHeight="1" thickBot="1">
      <c r="A6" s="273"/>
      <c r="B6" s="393"/>
      <c r="C6" s="393"/>
      <c r="D6" s="393"/>
      <c r="E6" s="393"/>
      <c r="F6" s="393"/>
      <c r="G6" s="393"/>
      <c r="H6" s="393"/>
      <c r="I6" s="393"/>
      <c r="J6" s="397"/>
      <c r="K6" s="397"/>
      <c r="L6" s="397"/>
      <c r="M6"/>
      <c r="N6"/>
      <c r="O6"/>
      <c r="P6"/>
      <c r="Q6"/>
      <c r="R6"/>
      <c r="S6"/>
      <c r="T6"/>
      <c r="U6"/>
    </row>
    <row r="7" spans="1:21" ht="9" customHeight="1">
      <c r="A7"/>
      <c r="B7"/>
      <c r="C7"/>
      <c r="D7"/>
      <c r="E7"/>
      <c r="F7"/>
      <c r="G7"/>
      <c r="H7"/>
      <c r="I7"/>
      <c r="J7"/>
      <c r="K7"/>
      <c r="L7"/>
      <c r="M7"/>
      <c r="N7"/>
      <c r="O7"/>
      <c r="P7"/>
      <c r="Q7"/>
      <c r="R7"/>
      <c r="S7"/>
      <c r="T7"/>
      <c r="U7"/>
    </row>
    <row r="8" spans="1:21">
      <c r="B8" s="369" t="s">
        <v>193</v>
      </c>
      <c r="C8" s="369" t="s">
        <v>376</v>
      </c>
    </row>
    <row r="9" spans="1:21">
      <c r="B9" s="145">
        <v>2000</v>
      </c>
      <c r="C9" s="183">
        <v>-0.14649999999999999</v>
      </c>
    </row>
    <row r="10" spans="1:21">
      <c r="B10" s="145">
        <v>2001</v>
      </c>
      <c r="C10" s="183">
        <v>-0.1618</v>
      </c>
    </row>
    <row r="11" spans="1:21">
      <c r="B11" s="145">
        <v>2002</v>
      </c>
      <c r="C11" s="183">
        <v>3.2500000000000001E-2</v>
      </c>
      <c r="E11" s="370" t="s">
        <v>377</v>
      </c>
      <c r="F11" s="371">
        <f>AVERAGE(C9:C33)</f>
        <v>0.15334799999999998</v>
      </c>
    </row>
    <row r="12" spans="1:21" ht="16.5">
      <c r="B12" s="145">
        <v>2003</v>
      </c>
      <c r="C12" s="183">
        <v>0.71900000000000008</v>
      </c>
      <c r="E12" s="370" t="s">
        <v>378</v>
      </c>
      <c r="F12" s="372" t="s">
        <v>379</v>
      </c>
    </row>
    <row r="13" spans="1:21">
      <c r="B13" s="145">
        <v>2004</v>
      </c>
      <c r="C13" s="183">
        <v>0.10679999999999999</v>
      </c>
      <c r="E13" s="373" t="s">
        <v>380</v>
      </c>
      <c r="F13" s="374">
        <f>SUM(F11:F12)</f>
        <v>0.15334799999999998</v>
      </c>
    </row>
    <row r="14" spans="1:21">
      <c r="B14" s="145">
        <v>2005</v>
      </c>
      <c r="C14" s="183">
        <v>0.36340000000000006</v>
      </c>
    </row>
    <row r="15" spans="1:21">
      <c r="B15" s="145">
        <v>2006</v>
      </c>
      <c r="C15" s="183">
        <v>0.39829999999999999</v>
      </c>
    </row>
    <row r="16" spans="1:21">
      <c r="B16" s="145">
        <v>2007</v>
      </c>
      <c r="C16" s="183">
        <v>0.54770000000000008</v>
      </c>
    </row>
    <row r="17" spans="2:3">
      <c r="B17" s="145">
        <v>2008</v>
      </c>
      <c r="C17" s="183">
        <v>-0.51790000000000003</v>
      </c>
    </row>
    <row r="18" spans="2:3">
      <c r="B18" s="145">
        <v>2009</v>
      </c>
      <c r="C18" s="183">
        <v>0.75760000000000005</v>
      </c>
    </row>
    <row r="19" spans="2:3">
      <c r="B19" s="145">
        <v>2010</v>
      </c>
      <c r="C19" s="183">
        <v>0.17949999999999999</v>
      </c>
    </row>
    <row r="20" spans="2:3">
      <c r="B20" s="145">
        <v>2011</v>
      </c>
      <c r="C20" s="183">
        <v>-0.2462</v>
      </c>
    </row>
    <row r="21" spans="2:3">
      <c r="B21" s="145">
        <v>2012</v>
      </c>
      <c r="C21" s="183">
        <v>0.27699999999999997</v>
      </c>
    </row>
    <row r="22" spans="2:3">
      <c r="B22" s="145">
        <v>2013</v>
      </c>
      <c r="C22" s="183">
        <v>6.7599999999999993E-2</v>
      </c>
    </row>
    <row r="23" spans="2:3">
      <c r="B23" s="145">
        <v>2014</v>
      </c>
      <c r="C23" s="183">
        <v>0.31390000000000001</v>
      </c>
    </row>
    <row r="24" spans="2:3">
      <c r="B24" s="145">
        <v>2015</v>
      </c>
      <c r="C24" s="183">
        <v>-4.0599999999999997E-2</v>
      </c>
    </row>
    <row r="25" spans="2:3">
      <c r="B25" s="145">
        <v>2016</v>
      </c>
      <c r="C25" s="183">
        <v>3.0099999999999998E-2</v>
      </c>
    </row>
    <row r="26" spans="2:3">
      <c r="B26" s="145">
        <v>2017</v>
      </c>
      <c r="C26" s="183">
        <v>0.28649999999999998</v>
      </c>
    </row>
    <row r="27" spans="2:3">
      <c r="B27" s="145">
        <v>2018</v>
      </c>
      <c r="C27" s="183">
        <v>3.15E-2</v>
      </c>
    </row>
    <row r="28" spans="2:3">
      <c r="B28" s="145">
        <v>2019</v>
      </c>
      <c r="C28" s="183">
        <v>0.1202</v>
      </c>
    </row>
    <row r="29" spans="2:3">
      <c r="B29" s="145">
        <v>2020</v>
      </c>
      <c r="C29" s="183">
        <v>0.14899999999999999</v>
      </c>
    </row>
    <row r="30" spans="2:3">
      <c r="B30" s="145">
        <v>2021</v>
      </c>
      <c r="C30" s="183">
        <v>0.2412</v>
      </c>
    </row>
    <row r="31" spans="2:3">
      <c r="B31" s="145">
        <v>2022</v>
      </c>
      <c r="C31" s="183">
        <v>4.3200000000000002E-2</v>
      </c>
    </row>
    <row r="32" spans="2:3">
      <c r="B32" s="145">
        <v>2023</v>
      </c>
      <c r="C32" s="183">
        <v>0.19420000000000001</v>
      </c>
    </row>
    <row r="33" spans="2:3">
      <c r="B33" s="145">
        <v>2024</v>
      </c>
      <c r="C33" s="183">
        <v>8.7499999999999994E-2</v>
      </c>
    </row>
  </sheetData>
  <pageMargins left="0.7" right="0.7" top="0.75" bottom="0.75" header="0.3" footer="0.3"/>
  <pageSetup scale="4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3BC5-5D50-4E2A-90EE-AD4A2A9288E9}">
  <sheetPr codeName="Sheet17">
    <pageSetUpPr fitToPage="1"/>
  </sheetPr>
  <dimension ref="A1:O38"/>
  <sheetViews>
    <sheetView showGridLines="0" topLeftCell="A4" zoomScale="65" workbookViewId="0">
      <selection sqref="A1:P39"/>
    </sheetView>
  </sheetViews>
  <sheetFormatPr defaultRowHeight="14.5"/>
  <cols>
    <col min="1" max="1" width="1.90625" customWidth="1"/>
    <col min="2" max="2" width="12.26953125" customWidth="1"/>
    <col min="3" max="3" width="10.36328125" customWidth="1"/>
    <col min="4" max="4" width="12.6328125" customWidth="1"/>
    <col min="5" max="5" width="13.81640625" customWidth="1"/>
    <col min="7" max="7" width="17.26953125" bestFit="1" customWidth="1"/>
    <col min="8" max="8" width="11.81640625" bestFit="1" customWidth="1"/>
    <col min="9" max="9" width="13.54296875" bestFit="1" customWidth="1"/>
    <col min="10" max="11" width="11.81640625" bestFit="1" customWidth="1"/>
    <col min="12" max="12" width="12.453125" bestFit="1" customWidth="1"/>
    <col min="13" max="13" width="11.81640625" bestFit="1" customWidth="1"/>
    <col min="14" max="15" width="12" bestFit="1" customWidth="1"/>
  </cols>
  <sheetData>
    <row r="1" spans="1:15">
      <c r="A1" s="273"/>
      <c r="B1" s="361"/>
      <c r="C1" s="361"/>
      <c r="D1" s="361"/>
      <c r="E1" s="361"/>
      <c r="F1" s="361"/>
      <c r="G1" s="361"/>
      <c r="H1" s="361"/>
      <c r="I1" s="361"/>
      <c r="J1" s="93"/>
      <c r="K1" s="93"/>
      <c r="L1" s="93"/>
      <c r="M1" s="93"/>
      <c r="N1" s="93"/>
      <c r="O1" s="93"/>
    </row>
    <row r="2" spans="1:15" ht="7.5" customHeight="1">
      <c r="A2" s="273"/>
      <c r="B2" s="273"/>
      <c r="C2" s="273"/>
      <c r="D2" s="273"/>
      <c r="E2" s="273"/>
      <c r="F2" s="273"/>
      <c r="G2" s="273"/>
      <c r="H2" s="273"/>
      <c r="I2" s="273"/>
    </row>
    <row r="3" spans="1:15" ht="25.5" customHeight="1">
      <c r="A3" s="273"/>
      <c r="B3" s="362" t="str">
        <f>'Data Sheet'!B1</f>
        <v>TATA MOTORS LTD</v>
      </c>
      <c r="C3" s="273"/>
      <c r="D3" s="273"/>
      <c r="E3" s="273"/>
      <c r="F3" s="273"/>
      <c r="G3" s="273"/>
      <c r="H3" s="273"/>
      <c r="I3" s="273"/>
    </row>
    <row r="4" spans="1:15">
      <c r="A4" s="273"/>
      <c r="B4" s="274" t="s">
        <v>460</v>
      </c>
      <c r="C4" s="273"/>
      <c r="D4" s="273"/>
      <c r="E4" s="273"/>
      <c r="F4" s="273"/>
      <c r="G4" s="273"/>
      <c r="H4" s="273"/>
      <c r="I4" s="273"/>
    </row>
    <row r="5" spans="1:15" ht="18.5">
      <c r="A5" s="273"/>
      <c r="B5" s="363" t="s">
        <v>461</v>
      </c>
      <c r="C5" s="273"/>
      <c r="D5" s="273"/>
      <c r="E5" s="273"/>
      <c r="F5" s="273"/>
      <c r="G5" s="273"/>
      <c r="H5" s="273"/>
      <c r="I5" s="273"/>
    </row>
    <row r="6" spans="1:15">
      <c r="A6" s="273"/>
      <c r="B6" s="279" t="s">
        <v>463</v>
      </c>
      <c r="C6" s="273"/>
      <c r="D6" s="273"/>
      <c r="E6" s="273"/>
      <c r="F6" s="273"/>
      <c r="G6" s="273"/>
      <c r="H6" s="273"/>
      <c r="I6" s="273"/>
    </row>
    <row r="7" spans="1:15" ht="4.5" customHeight="1" thickBot="1">
      <c r="A7" s="273"/>
      <c r="B7" s="393"/>
      <c r="C7" s="393"/>
      <c r="D7" s="393"/>
      <c r="E7" s="393"/>
      <c r="F7" s="393"/>
      <c r="G7" s="393"/>
      <c r="H7" s="393"/>
      <c r="I7" s="393"/>
      <c r="J7" s="397"/>
      <c r="K7" s="397"/>
      <c r="L7" s="397"/>
      <c r="M7" s="397"/>
      <c r="N7" s="397"/>
      <c r="O7" s="397"/>
    </row>
    <row r="9" spans="1:15">
      <c r="B9" s="437" t="s">
        <v>221</v>
      </c>
      <c r="C9" s="437"/>
      <c r="D9" s="437"/>
      <c r="E9" s="437"/>
    </row>
    <row r="10" spans="1:15">
      <c r="B10" s="225" t="s">
        <v>192</v>
      </c>
      <c r="C10" s="350" t="s">
        <v>193</v>
      </c>
      <c r="D10" s="350" t="s">
        <v>6</v>
      </c>
      <c r="E10" s="350" t="s">
        <v>22</v>
      </c>
    </row>
    <row r="11" spans="1:15">
      <c r="B11" s="20">
        <v>1</v>
      </c>
      <c r="C11" s="60">
        <v>2014</v>
      </c>
      <c r="D11" s="58">
        <v>232834</v>
      </c>
    </row>
    <row r="12" spans="1:15">
      <c r="B12" s="20">
        <f>B11+1</f>
        <v>2</v>
      </c>
      <c r="C12" s="60">
        <f>C11+1</f>
        <v>2015</v>
      </c>
      <c r="D12" s="58">
        <v>263159</v>
      </c>
      <c r="E12" s="5">
        <f>D12/D11-1</f>
        <v>0.13024300574658332</v>
      </c>
    </row>
    <row r="13" spans="1:15">
      <c r="B13" s="20">
        <f t="shared" ref="B13:B27" si="0">B12+1</f>
        <v>3</v>
      </c>
      <c r="C13" s="60">
        <f t="shared" ref="C13:C27" si="1">C12+1</f>
        <v>2016</v>
      </c>
      <c r="D13" s="58">
        <v>273046</v>
      </c>
      <c r="E13" s="5">
        <f t="shared" ref="E13:E21" si="2">D13/D12-1</f>
        <v>3.757044220414274E-2</v>
      </c>
    </row>
    <row r="14" spans="1:15">
      <c r="B14" s="20">
        <f t="shared" si="0"/>
        <v>4</v>
      </c>
      <c r="C14" s="60">
        <f t="shared" si="1"/>
        <v>2017</v>
      </c>
      <c r="D14" s="58">
        <v>269693</v>
      </c>
      <c r="E14" s="5">
        <f t="shared" si="2"/>
        <v>-1.2279982127553546E-2</v>
      </c>
    </row>
    <row r="15" spans="1:15">
      <c r="B15" s="20">
        <f t="shared" si="0"/>
        <v>5</v>
      </c>
      <c r="C15" s="60">
        <f t="shared" si="1"/>
        <v>2018</v>
      </c>
      <c r="D15" s="58">
        <v>291550</v>
      </c>
      <c r="E15" s="5">
        <f t="shared" si="2"/>
        <v>8.1044001883623151E-2</v>
      </c>
    </row>
    <row r="16" spans="1:15">
      <c r="B16" s="20">
        <f t="shared" si="0"/>
        <v>6</v>
      </c>
      <c r="C16" s="60">
        <f t="shared" si="1"/>
        <v>2019</v>
      </c>
      <c r="D16" s="58">
        <v>301938</v>
      </c>
      <c r="E16" s="5">
        <f t="shared" si="2"/>
        <v>3.5630252100840254E-2</v>
      </c>
    </row>
    <row r="17" spans="2:12">
      <c r="B17" s="20">
        <f t="shared" si="0"/>
        <v>7</v>
      </c>
      <c r="C17" s="60">
        <f t="shared" si="1"/>
        <v>2020</v>
      </c>
      <c r="D17" s="58">
        <v>261068</v>
      </c>
      <c r="E17" s="5">
        <f t="shared" si="2"/>
        <v>-0.13535891474408657</v>
      </c>
    </row>
    <row r="18" spans="2:12">
      <c r="B18" s="20">
        <f t="shared" si="0"/>
        <v>8</v>
      </c>
      <c r="C18" s="60">
        <f t="shared" si="1"/>
        <v>2021</v>
      </c>
      <c r="D18" s="58">
        <v>249795</v>
      </c>
      <c r="E18" s="5">
        <f t="shared" si="2"/>
        <v>-4.3180320835950803E-2</v>
      </c>
    </row>
    <row r="19" spans="2:12">
      <c r="B19" s="20">
        <f t="shared" si="0"/>
        <v>9</v>
      </c>
      <c r="C19" s="60">
        <f t="shared" si="1"/>
        <v>2022</v>
      </c>
      <c r="D19" s="58">
        <v>278454</v>
      </c>
      <c r="E19" s="5">
        <f t="shared" si="2"/>
        <v>0.11473007866450491</v>
      </c>
    </row>
    <row r="20" spans="2:12">
      <c r="B20" s="20">
        <f t="shared" si="0"/>
        <v>10</v>
      </c>
      <c r="C20" s="60">
        <f t="shared" si="1"/>
        <v>2023</v>
      </c>
      <c r="D20" s="58">
        <v>345967</v>
      </c>
      <c r="E20" s="5">
        <f t="shared" si="2"/>
        <v>0.24245656374122837</v>
      </c>
    </row>
    <row r="21" spans="2:12">
      <c r="B21" s="20">
        <f t="shared" si="0"/>
        <v>11</v>
      </c>
      <c r="C21" s="60">
        <f t="shared" si="1"/>
        <v>2024</v>
      </c>
      <c r="D21" s="58">
        <v>434016</v>
      </c>
      <c r="E21" s="5">
        <f t="shared" si="2"/>
        <v>0.25450115184396194</v>
      </c>
      <c r="G21" t="s">
        <v>197</v>
      </c>
    </row>
    <row r="22" spans="2:12" ht="15" thickBot="1">
      <c r="B22" s="20">
        <f t="shared" si="0"/>
        <v>12</v>
      </c>
      <c r="C22" s="60">
        <f t="shared" si="1"/>
        <v>2025</v>
      </c>
      <c r="D22" s="58">
        <v>439695</v>
      </c>
      <c r="E22" s="5">
        <f>D22/D21-1</f>
        <v>1.3084771068347711E-2</v>
      </c>
    </row>
    <row r="23" spans="2:12">
      <c r="B23" s="20">
        <f t="shared" si="0"/>
        <v>13</v>
      </c>
      <c r="C23" s="61">
        <f t="shared" si="1"/>
        <v>2026</v>
      </c>
      <c r="D23" s="58">
        <f>FORECAST(B23,$D$11:$D$22,$B$11:$B$22)</f>
        <v>398918.6969696969</v>
      </c>
      <c r="E23" s="5">
        <f t="shared" ref="E23:E27" si="3">D23/D22-1</f>
        <v>-9.2737700065506967E-2</v>
      </c>
      <c r="G23" s="64" t="s">
        <v>198</v>
      </c>
      <c r="H23" s="64"/>
    </row>
    <row r="24" spans="2:12">
      <c r="B24" s="20">
        <f t="shared" si="0"/>
        <v>14</v>
      </c>
      <c r="C24" s="61">
        <f t="shared" si="1"/>
        <v>2027</v>
      </c>
      <c r="D24" s="58">
        <f t="shared" ref="D24:D27" si="4">FORECAST(B24,$D$11:$D$22,$B$11:$B$22)</f>
        <v>413608.56060606055</v>
      </c>
      <c r="E24" s="5">
        <f t="shared" si="3"/>
        <v>3.6824204400425886E-2</v>
      </c>
      <c r="G24" t="s">
        <v>199</v>
      </c>
      <c r="H24">
        <v>0.77380615660094521</v>
      </c>
    </row>
    <row r="25" spans="2:12">
      <c r="B25" s="20">
        <f t="shared" si="0"/>
        <v>15</v>
      </c>
      <c r="C25" s="61">
        <f t="shared" si="1"/>
        <v>2028</v>
      </c>
      <c r="D25" s="58">
        <f t="shared" si="4"/>
        <v>428298.4242424242</v>
      </c>
      <c r="E25" s="5">
        <f t="shared" si="3"/>
        <v>3.5516343314651477E-2</v>
      </c>
      <c r="G25" t="s">
        <v>200</v>
      </c>
      <c r="H25">
        <v>0.5987759679935265</v>
      </c>
    </row>
    <row r="26" spans="2:12">
      <c r="B26" s="20">
        <f t="shared" si="0"/>
        <v>16</v>
      </c>
      <c r="C26" s="61">
        <f t="shared" si="1"/>
        <v>2029</v>
      </c>
      <c r="D26" s="58">
        <f t="shared" si="4"/>
        <v>442988.28787878784</v>
      </c>
      <c r="E26" s="5">
        <f t="shared" si="3"/>
        <v>3.4298196782645451E-2</v>
      </c>
      <c r="G26" t="s">
        <v>201</v>
      </c>
      <c r="H26">
        <v>0.55865356479287909</v>
      </c>
    </row>
    <row r="27" spans="2:12">
      <c r="B27" s="20">
        <f t="shared" si="0"/>
        <v>17</v>
      </c>
      <c r="C27" s="61">
        <f t="shared" si="1"/>
        <v>2030</v>
      </c>
      <c r="D27" s="58">
        <f t="shared" si="4"/>
        <v>457678.15151515149</v>
      </c>
      <c r="E27" s="5">
        <f t="shared" si="3"/>
        <v>3.3160839774579287E-2</v>
      </c>
      <c r="G27" t="s">
        <v>202</v>
      </c>
      <c r="H27">
        <v>45472.31568356463</v>
      </c>
    </row>
    <row r="28" spans="2:12" ht="15" thickBot="1">
      <c r="G28" s="62" t="s">
        <v>203</v>
      </c>
      <c r="H28" s="62">
        <v>12</v>
      </c>
    </row>
    <row r="29" spans="2:12">
      <c r="B29" s="35" t="s">
        <v>194</v>
      </c>
      <c r="C29" s="35"/>
      <c r="D29" s="377">
        <f>AVERAGE(E12:E22)</f>
        <v>6.53128226859674E-2</v>
      </c>
    </row>
    <row r="30" spans="2:12" ht="15" thickBot="1">
      <c r="B30" s="35" t="s">
        <v>195</v>
      </c>
      <c r="C30" s="35"/>
      <c r="D30" s="377">
        <f>_xlfn.RRI(B22,D11,D22)</f>
        <v>5.4408165853156332E-2</v>
      </c>
      <c r="G30" t="s">
        <v>204</v>
      </c>
    </row>
    <row r="31" spans="2:12">
      <c r="B31" s="35" t="s">
        <v>196</v>
      </c>
      <c r="C31" s="35"/>
      <c r="D31" s="377">
        <f>_xlfn.STDEV.S(E12:E22)</f>
        <v>0.11684032204026763</v>
      </c>
      <c r="E31" t="s">
        <v>220</v>
      </c>
      <c r="G31" s="63"/>
      <c r="H31" s="63" t="s">
        <v>208</v>
      </c>
      <c r="I31" s="63" t="s">
        <v>209</v>
      </c>
      <c r="J31" s="63" t="s">
        <v>210</v>
      </c>
      <c r="K31" s="63" t="s">
        <v>211</v>
      </c>
      <c r="L31" s="63" t="s">
        <v>212</v>
      </c>
    </row>
    <row r="32" spans="2:12">
      <c r="G32" t="s">
        <v>205</v>
      </c>
      <c r="H32">
        <v>1</v>
      </c>
      <c r="I32">
        <v>30858269392.659088</v>
      </c>
      <c r="J32">
        <v>30858269392.659088</v>
      </c>
      <c r="K32">
        <v>14.923731387651911</v>
      </c>
      <c r="L32">
        <v>3.144194766831252E-3</v>
      </c>
    </row>
    <row r="33" spans="2:15">
      <c r="B33" s="20">
        <v>13</v>
      </c>
      <c r="C33" s="65">
        <v>2026</v>
      </c>
      <c r="D33" s="66">
        <f>$H$37+B33*$H$38</f>
        <v>398918.6969696969</v>
      </c>
      <c r="G33" t="s">
        <v>206</v>
      </c>
      <c r="H33">
        <v>10</v>
      </c>
      <c r="I33">
        <v>20677314936.257576</v>
      </c>
      <c r="J33">
        <v>2067731493.6257577</v>
      </c>
    </row>
    <row r="34" spans="2:15" ht="15" thickBot="1">
      <c r="B34" s="20">
        <v>14</v>
      </c>
      <c r="C34" s="65">
        <v>2027</v>
      </c>
      <c r="D34" s="66">
        <f t="shared" ref="D34:D37" si="5">$H$37+B34*$H$38</f>
        <v>413608.56060606055</v>
      </c>
      <c r="E34" s="5">
        <f>D34/D33-1</f>
        <v>3.6824204400425886E-2</v>
      </c>
      <c r="G34" s="62" t="s">
        <v>26</v>
      </c>
      <c r="H34" s="62">
        <v>11</v>
      </c>
      <c r="I34" s="62">
        <v>51535584328.916664</v>
      </c>
      <c r="J34" s="62"/>
      <c r="K34" s="62"/>
      <c r="L34" s="62"/>
    </row>
    <row r="35" spans="2:15" ht="15" thickBot="1">
      <c r="B35" s="20">
        <v>15</v>
      </c>
      <c r="C35" s="65">
        <v>2028</v>
      </c>
      <c r="D35" s="66">
        <f t="shared" si="5"/>
        <v>428298.4242424242</v>
      </c>
      <c r="E35" s="5">
        <f t="shared" ref="E35:E37" si="6">D35/D34-1</f>
        <v>3.5516343314651477E-2</v>
      </c>
    </row>
    <row r="36" spans="2:15">
      <c r="B36" s="20">
        <v>16</v>
      </c>
      <c r="C36" s="65">
        <v>2029</v>
      </c>
      <c r="D36" s="66">
        <f t="shared" si="5"/>
        <v>442988.28787878784</v>
      </c>
      <c r="E36" s="5">
        <f t="shared" si="6"/>
        <v>3.4298196782645451E-2</v>
      </c>
      <c r="G36" s="63"/>
      <c r="H36" s="63" t="s">
        <v>213</v>
      </c>
      <c r="I36" s="63" t="s">
        <v>202</v>
      </c>
      <c r="J36" s="63" t="s">
        <v>214</v>
      </c>
      <c r="K36" s="63" t="s">
        <v>215</v>
      </c>
      <c r="L36" s="63" t="s">
        <v>216</v>
      </c>
      <c r="M36" s="63" t="s">
        <v>217</v>
      </c>
      <c r="N36" s="63" t="s">
        <v>218</v>
      </c>
      <c r="O36" s="63" t="s">
        <v>219</v>
      </c>
    </row>
    <row r="37" spans="2:15">
      <c r="B37" s="20">
        <v>17</v>
      </c>
      <c r="C37" s="65">
        <v>2030</v>
      </c>
      <c r="D37" s="66">
        <f t="shared" si="5"/>
        <v>457678.15151515149</v>
      </c>
      <c r="E37" s="5">
        <f t="shared" si="6"/>
        <v>3.3160839774579287E-2</v>
      </c>
      <c r="G37" t="s">
        <v>207</v>
      </c>
      <c r="H37">
        <v>207950.4696969697</v>
      </c>
      <c r="I37">
        <v>27986.275678864327</v>
      </c>
      <c r="J37">
        <v>7.4304445537216353</v>
      </c>
      <c r="K37">
        <v>2.2349423929224751E-5</v>
      </c>
      <c r="L37">
        <v>145593.16153449356</v>
      </c>
      <c r="M37">
        <v>270307.77785944584</v>
      </c>
      <c r="N37">
        <v>145593.16153449356</v>
      </c>
      <c r="O37">
        <v>270307.77785944584</v>
      </c>
    </row>
    <row r="38" spans="2:15" ht="15" thickBot="1">
      <c r="G38" s="62" t="s">
        <v>192</v>
      </c>
      <c r="H38" s="62">
        <v>14689.863636363632</v>
      </c>
      <c r="I38" s="62">
        <v>3802.5860666901044</v>
      </c>
      <c r="J38" s="62">
        <v>3.8631245627926498</v>
      </c>
      <c r="K38" s="62">
        <v>3.1441947668312607E-3</v>
      </c>
      <c r="L38" s="62">
        <v>6217.1738831497405</v>
      </c>
      <c r="M38" s="62">
        <v>23162.553389577522</v>
      </c>
      <c r="N38" s="62">
        <v>6217.1738831497405</v>
      </c>
      <c r="O38" s="62">
        <v>23162.553389577522</v>
      </c>
    </row>
  </sheetData>
  <mergeCells count="1">
    <mergeCell ref="B9:E9"/>
  </mergeCells>
  <pageMargins left="0.25" right="0.25" top="0.75" bottom="0.75" header="0.3" footer="0.3"/>
  <pageSetup scale="57"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3ECF-3B4A-4D55-862B-ADD022E0EFFC}">
  <sheetPr>
    <tabColor theme="9" tint="0.59999389629810485"/>
  </sheetPr>
  <dimension ref="A1"/>
  <sheetViews>
    <sheetView workbookViewId="0"/>
  </sheetViews>
  <sheetFormatPr defaultRowHeight="14.5"/>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9982-5FB8-4862-A482-B83060A1C47E}">
  <sheetPr codeName="Sheet19">
    <pageSetUpPr fitToPage="1"/>
  </sheetPr>
  <dimension ref="A1:Z1003"/>
  <sheetViews>
    <sheetView showGridLines="0" topLeftCell="A12" zoomScale="94" zoomScaleNormal="77" workbookViewId="0">
      <selection sqref="A1:K51"/>
    </sheetView>
  </sheetViews>
  <sheetFormatPr defaultColWidth="14.453125" defaultRowHeight="15" customHeight="1"/>
  <cols>
    <col min="1" max="1" width="1.81640625" style="145" customWidth="1"/>
    <col min="2" max="2" width="19.81640625" style="145" customWidth="1"/>
    <col min="3" max="3" width="20.453125" style="145" customWidth="1"/>
    <col min="4" max="4" width="10.81640625" style="145" bestFit="1" customWidth="1"/>
    <col min="5" max="5" width="11.453125" style="145" customWidth="1"/>
    <col min="6" max="6" width="10.81640625" style="145" customWidth="1"/>
    <col min="7" max="8" width="9.26953125" style="145" customWidth="1"/>
    <col min="9" max="9" width="13.81640625" style="145" customWidth="1"/>
    <col min="10" max="10" width="9.36328125" style="145" bestFit="1" customWidth="1"/>
    <col min="11" max="11" width="6" style="145" customWidth="1"/>
    <col min="12" max="13" width="9.08984375" style="145" customWidth="1"/>
    <col min="14" max="14" width="16.54296875" style="145" customWidth="1"/>
    <col min="15" max="15" width="9.81640625" style="145" customWidth="1"/>
    <col min="16" max="16" width="6.54296875" style="145" customWidth="1"/>
    <col min="17" max="26" width="8.7265625" style="145" customWidth="1"/>
    <col min="27" max="16384" width="14.453125" style="145"/>
  </cols>
  <sheetData>
    <row r="1" spans="1:26" ht="14.5">
      <c r="A1" s="273"/>
      <c r="B1" s="361"/>
      <c r="C1" s="361"/>
      <c r="D1" s="361"/>
      <c r="E1" s="361"/>
      <c r="F1" s="361"/>
      <c r="G1" s="361"/>
      <c r="H1" s="361"/>
      <c r="I1" s="361"/>
      <c r="J1" s="93"/>
      <c r="K1" s="48"/>
      <c r="L1" s="48"/>
      <c r="M1"/>
      <c r="N1"/>
      <c r="O1"/>
      <c r="P1"/>
      <c r="Q1"/>
      <c r="R1"/>
      <c r="S1"/>
      <c r="T1"/>
      <c r="U1"/>
      <c r="V1" s="146"/>
      <c r="W1" s="146"/>
      <c r="X1" s="146"/>
      <c r="Y1" s="146"/>
      <c r="Z1" s="146"/>
    </row>
    <row r="2" spans="1:26" ht="7.5" customHeight="1">
      <c r="A2" s="273"/>
      <c r="B2" s="273"/>
      <c r="C2" s="273"/>
      <c r="D2" s="273"/>
      <c r="E2" s="273"/>
      <c r="F2" s="273"/>
      <c r="G2" s="273"/>
      <c r="H2" s="273"/>
      <c r="I2" s="273"/>
      <c r="J2"/>
      <c r="K2"/>
      <c r="L2"/>
      <c r="M2"/>
      <c r="N2"/>
      <c r="O2"/>
      <c r="P2"/>
      <c r="Q2"/>
      <c r="R2"/>
      <c r="S2"/>
      <c r="T2"/>
      <c r="U2"/>
      <c r="V2" s="146"/>
      <c r="W2" s="146"/>
      <c r="X2" s="146"/>
      <c r="Y2" s="146"/>
      <c r="Z2" s="146"/>
    </row>
    <row r="3" spans="1:26" ht="22.5" customHeight="1">
      <c r="A3" s="273"/>
      <c r="B3" s="362" t="str">
        <f>'Data Sheet'!B1</f>
        <v>TATA MOTORS LTD</v>
      </c>
      <c r="C3" s="273"/>
      <c r="D3" s="273"/>
      <c r="E3" s="273"/>
      <c r="F3" s="273"/>
      <c r="G3" s="273"/>
      <c r="H3" s="273"/>
      <c r="I3" s="273"/>
      <c r="J3"/>
      <c r="K3"/>
      <c r="L3"/>
      <c r="M3"/>
      <c r="N3"/>
      <c r="O3"/>
      <c r="P3"/>
      <c r="Q3"/>
      <c r="R3"/>
      <c r="S3"/>
      <c r="T3"/>
      <c r="U3"/>
      <c r="V3" s="146"/>
      <c r="W3" s="146"/>
      <c r="X3" s="146"/>
      <c r="Y3" s="146"/>
      <c r="Z3" s="146"/>
    </row>
    <row r="4" spans="1:26" ht="14.5">
      <c r="A4" s="273"/>
      <c r="B4" s="274" t="s">
        <v>460</v>
      </c>
      <c r="C4" s="273"/>
      <c r="D4" s="273"/>
      <c r="E4" s="273"/>
      <c r="F4" s="273"/>
      <c r="G4" s="273"/>
      <c r="H4" s="273"/>
      <c r="I4" s="273"/>
      <c r="J4"/>
      <c r="K4"/>
      <c r="L4"/>
      <c r="M4"/>
      <c r="N4"/>
      <c r="O4"/>
      <c r="P4"/>
      <c r="Q4"/>
      <c r="R4"/>
      <c r="S4"/>
      <c r="T4"/>
      <c r="U4"/>
      <c r="V4" s="146"/>
      <c r="W4" s="146"/>
      <c r="X4" s="146"/>
      <c r="Y4" s="146"/>
      <c r="Z4" s="146"/>
    </row>
    <row r="5" spans="1:26" ht="18.5">
      <c r="A5" s="273"/>
      <c r="B5" s="363" t="s">
        <v>461</v>
      </c>
      <c r="C5" s="273"/>
      <c r="D5" s="273"/>
      <c r="E5" s="273"/>
      <c r="F5" s="273"/>
      <c r="G5" s="273"/>
      <c r="H5" s="273"/>
      <c r="I5" s="273"/>
      <c r="J5"/>
      <c r="K5"/>
      <c r="L5"/>
      <c r="M5"/>
      <c r="N5"/>
      <c r="O5"/>
      <c r="P5"/>
      <c r="Q5"/>
      <c r="R5"/>
      <c r="S5"/>
      <c r="T5"/>
      <c r="U5"/>
      <c r="V5" s="146"/>
      <c r="W5" s="146"/>
      <c r="X5" s="146"/>
      <c r="Y5" s="146"/>
      <c r="Z5" s="146"/>
    </row>
    <row r="6" spans="1:26" ht="14.5">
      <c r="A6" s="273"/>
      <c r="B6" s="279" t="s">
        <v>463</v>
      </c>
      <c r="C6" s="273"/>
      <c r="D6" s="273"/>
      <c r="E6" s="273"/>
      <c r="F6" s="273"/>
      <c r="G6" s="273"/>
      <c r="H6" s="273"/>
      <c r="I6" s="273"/>
      <c r="J6"/>
      <c r="K6"/>
      <c r="L6"/>
      <c r="M6"/>
      <c r="N6"/>
      <c r="O6"/>
      <c r="P6"/>
      <c r="Q6"/>
      <c r="R6"/>
      <c r="S6"/>
      <c r="T6"/>
      <c r="U6"/>
      <c r="V6" s="146"/>
      <c r="W6" s="146"/>
      <c r="X6" s="146"/>
      <c r="Y6" s="146"/>
      <c r="Z6" s="146"/>
    </row>
    <row r="7" spans="1:26" ht="4" customHeight="1" thickBot="1">
      <c r="A7" s="273"/>
      <c r="B7" s="393"/>
      <c r="C7" s="393"/>
      <c r="D7" s="393"/>
      <c r="E7" s="393"/>
      <c r="F7" s="393"/>
      <c r="G7" s="393"/>
      <c r="H7" s="393"/>
      <c r="I7" s="393"/>
      <c r="J7" s="397"/>
      <c r="K7"/>
      <c r="L7"/>
      <c r="M7"/>
      <c r="N7"/>
      <c r="O7"/>
      <c r="P7"/>
      <c r="Q7"/>
      <c r="R7"/>
      <c r="S7"/>
      <c r="T7"/>
      <c r="U7"/>
      <c r="V7" s="146"/>
      <c r="W7" s="146"/>
      <c r="X7" s="146"/>
      <c r="Y7" s="146"/>
      <c r="Z7" s="146"/>
    </row>
    <row r="8" spans="1:26" ht="9.5" customHeight="1">
      <c r="A8"/>
      <c r="B8"/>
      <c r="C8"/>
      <c r="D8"/>
      <c r="E8"/>
      <c r="F8"/>
      <c r="G8"/>
      <c r="H8"/>
      <c r="I8"/>
      <c r="J8"/>
      <c r="K8"/>
      <c r="L8"/>
      <c r="M8"/>
      <c r="N8"/>
      <c r="O8"/>
      <c r="P8"/>
      <c r="Q8"/>
      <c r="R8"/>
      <c r="S8"/>
      <c r="T8"/>
      <c r="U8"/>
      <c r="V8" s="146"/>
      <c r="W8" s="146"/>
      <c r="X8" s="146"/>
      <c r="Y8" s="146"/>
      <c r="Z8" s="146"/>
    </row>
    <row r="9" spans="1:26" ht="18.5">
      <c r="A9" s="146"/>
      <c r="B9" s="351" t="s">
        <v>318</v>
      </c>
      <c r="C9" s="352"/>
      <c r="D9" s="352"/>
      <c r="E9" s="352"/>
      <c r="F9" s="353"/>
      <c r="G9" s="353"/>
      <c r="H9" s="353"/>
      <c r="I9" s="353"/>
      <c r="J9" s="353"/>
      <c r="K9" s="146"/>
      <c r="L9" s="146"/>
      <c r="M9" s="146"/>
      <c r="N9" s="146"/>
      <c r="O9" s="146"/>
      <c r="P9" s="146"/>
      <c r="Q9" s="146"/>
      <c r="R9" s="146"/>
      <c r="S9" s="146"/>
      <c r="T9" s="146"/>
      <c r="U9" s="146"/>
      <c r="V9" s="146"/>
      <c r="W9" s="146"/>
      <c r="X9" s="146"/>
      <c r="Y9" s="146"/>
      <c r="Z9" s="146"/>
    </row>
    <row r="10" spans="1:26" ht="5" customHeight="1">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row>
    <row r="11" spans="1:26" ht="14.5">
      <c r="A11" s="146"/>
      <c r="B11" s="170" t="s">
        <v>351</v>
      </c>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row>
    <row r="12" spans="1:26" ht="4.5" customHeight="1">
      <c r="A12" s="146"/>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row>
    <row r="13" spans="1:26" ht="14.5">
      <c r="A13" s="146"/>
      <c r="B13" s="162" t="s">
        <v>350</v>
      </c>
      <c r="C13" s="146"/>
      <c r="D13" s="146"/>
      <c r="E13" s="146"/>
      <c r="F13" s="146"/>
      <c r="G13" s="146"/>
      <c r="H13" s="146"/>
      <c r="I13" s="146"/>
      <c r="J13" s="146"/>
      <c r="K13" s="146"/>
      <c r="L13" s="146"/>
      <c r="M13" s="146"/>
      <c r="N13" s="146"/>
      <c r="O13" s="146"/>
      <c r="P13" s="146"/>
      <c r="Q13" s="146"/>
      <c r="R13" s="146"/>
      <c r="S13" s="146"/>
      <c r="T13" s="146"/>
      <c r="U13" s="146"/>
      <c r="V13" s="146"/>
      <c r="W13" s="146"/>
      <c r="X13" s="146"/>
      <c r="Y13" s="146"/>
      <c r="Z13" s="146"/>
    </row>
    <row r="14" spans="1:26" ht="14.5">
      <c r="A14" s="146"/>
      <c r="B14" s="382"/>
      <c r="C14" s="382"/>
      <c r="D14" s="382"/>
      <c r="E14" s="382"/>
      <c r="F14" s="383"/>
      <c r="G14" s="383" t="s">
        <v>349</v>
      </c>
      <c r="H14" s="383" t="s">
        <v>349</v>
      </c>
      <c r="I14" s="383" t="s">
        <v>348</v>
      </c>
      <c r="J14" s="383" t="s">
        <v>347</v>
      </c>
      <c r="K14" s="146"/>
      <c r="L14" s="146"/>
      <c r="M14" s="146"/>
      <c r="N14" s="146"/>
      <c r="O14" s="146"/>
      <c r="P14" s="146"/>
      <c r="Q14" s="146"/>
      <c r="R14" s="146"/>
      <c r="S14" s="146"/>
      <c r="T14" s="146"/>
      <c r="U14" s="146"/>
      <c r="V14" s="146"/>
      <c r="W14" s="146"/>
      <c r="X14" s="146"/>
      <c r="Y14" s="146"/>
      <c r="Z14" s="146"/>
    </row>
    <row r="15" spans="1:26" ht="16.5">
      <c r="A15" s="146"/>
      <c r="B15" s="384" t="s">
        <v>346</v>
      </c>
      <c r="C15" s="384" t="s">
        <v>345</v>
      </c>
      <c r="D15" s="385" t="s">
        <v>323</v>
      </c>
      <c r="E15" s="385" t="s">
        <v>344</v>
      </c>
      <c r="F15" s="385" t="s">
        <v>1604</v>
      </c>
      <c r="G15" s="385" t="s">
        <v>343</v>
      </c>
      <c r="H15" s="385" t="s">
        <v>342</v>
      </c>
      <c r="I15" s="385" t="s">
        <v>1605</v>
      </c>
      <c r="J15" s="385" t="s">
        <v>1606</v>
      </c>
      <c r="K15" s="146"/>
      <c r="L15" s="146"/>
      <c r="M15" s="146"/>
      <c r="N15" s="146"/>
      <c r="O15" s="146"/>
      <c r="P15" s="146"/>
      <c r="Q15" s="146"/>
      <c r="R15" s="146"/>
      <c r="S15" s="146"/>
      <c r="T15" s="146"/>
      <c r="U15" s="146"/>
      <c r="V15" s="146"/>
      <c r="W15" s="146"/>
      <c r="X15" s="146"/>
      <c r="Y15" s="146"/>
      <c r="Z15" s="146"/>
    </row>
    <row r="16" spans="1:26" ht="5" customHeight="1">
      <c r="A16" s="146"/>
      <c r="B16" s="150"/>
      <c r="C16" s="150"/>
      <c r="D16" s="150"/>
      <c r="E16" s="150"/>
      <c r="F16" s="150"/>
      <c r="G16" s="150"/>
      <c r="H16" s="150"/>
      <c r="I16" s="150"/>
      <c r="J16" s="150"/>
      <c r="K16" s="146"/>
      <c r="L16" s="146"/>
      <c r="M16" s="146"/>
      <c r="N16" s="146"/>
      <c r="O16" s="146"/>
      <c r="P16" s="146"/>
      <c r="Q16" s="146"/>
      <c r="R16" s="146"/>
      <c r="S16" s="146"/>
      <c r="T16" s="146"/>
      <c r="U16" s="146"/>
      <c r="V16" s="146"/>
      <c r="W16" s="146"/>
      <c r="X16" s="146"/>
      <c r="Y16" s="146"/>
      <c r="Z16" s="146"/>
    </row>
    <row r="17" spans="1:26" ht="15.75" customHeight="1">
      <c r="A17" s="146"/>
      <c r="B17" s="169" t="s">
        <v>341</v>
      </c>
      <c r="C17" s="168" t="s">
        <v>336</v>
      </c>
      <c r="D17" s="167">
        <f>'Peer Comps'!F5</f>
        <v>71540</v>
      </c>
      <c r="E17" s="167">
        <f>'Peer Comps'!E5</f>
        <v>244686.47</v>
      </c>
      <c r="F17" s="166">
        <v>0.3</v>
      </c>
      <c r="G17" s="154">
        <f>D17/E17</f>
        <v>0.29237415538341782</v>
      </c>
      <c r="H17" s="154">
        <f>D17/(E17+D17)</f>
        <v>0.22623027098269163</v>
      </c>
      <c r="I17" s="165">
        <f>'TaMo Beta'!M15</f>
        <v>1.3469551253460115</v>
      </c>
      <c r="J17" s="164">
        <f>I17/(1+(1-F17)*G17)</f>
        <v>1.118118797931525</v>
      </c>
      <c r="K17" s="146"/>
      <c r="L17" s="146"/>
      <c r="M17" s="146"/>
      <c r="N17" s="146"/>
      <c r="O17" s="146"/>
      <c r="P17" s="146"/>
      <c r="Q17" s="146"/>
      <c r="R17" s="146"/>
      <c r="S17" s="146"/>
      <c r="T17" s="146"/>
      <c r="U17" s="146"/>
      <c r="V17" s="146"/>
      <c r="W17" s="146"/>
      <c r="X17" s="146"/>
      <c r="Y17" s="146"/>
      <c r="Z17" s="146"/>
    </row>
    <row r="18" spans="1:26" ht="15.75" customHeight="1">
      <c r="A18" s="146"/>
      <c r="B18" s="169" t="s">
        <v>340</v>
      </c>
      <c r="C18" s="168" t="s">
        <v>336</v>
      </c>
      <c r="D18" s="167">
        <f>'Peer Comps'!F6</f>
        <v>847.29</v>
      </c>
      <c r="E18" s="167">
        <f>'Peer Comps'!E6</f>
        <v>182066.08</v>
      </c>
      <c r="F18" s="166">
        <v>0.3</v>
      </c>
      <c r="G18" s="154">
        <f>D18/E18</f>
        <v>4.653749891248277E-3</v>
      </c>
      <c r="H18" s="154">
        <f>D18/(E18+D18)</f>
        <v>4.6321928243955044E-3</v>
      </c>
      <c r="I18" s="165">
        <v>1.1599999999999999</v>
      </c>
      <c r="J18" s="164">
        <f>I18/(1+(1-F18)*G18)</f>
        <v>1.1562334251763295</v>
      </c>
      <c r="K18" s="146"/>
      <c r="L18" s="146"/>
      <c r="M18" s="146"/>
      <c r="N18" s="146"/>
      <c r="O18" s="146"/>
      <c r="P18" s="146"/>
      <c r="Q18" s="146"/>
      <c r="R18" s="146"/>
      <c r="S18" s="146"/>
      <c r="T18" s="146"/>
      <c r="U18" s="146"/>
      <c r="V18" s="146"/>
      <c r="W18" s="146"/>
      <c r="X18" s="146"/>
      <c r="Y18" s="146"/>
      <c r="Z18" s="146"/>
    </row>
    <row r="19" spans="1:26" ht="15.75" customHeight="1">
      <c r="A19" s="146"/>
      <c r="B19" s="169" t="s">
        <v>339</v>
      </c>
      <c r="C19" s="168" t="s">
        <v>336</v>
      </c>
      <c r="D19" s="167">
        <f>'Peer Comps'!F7</f>
        <v>17.43</v>
      </c>
      <c r="E19" s="167">
        <f>'Peer Comps'!E7</f>
        <v>25921.66</v>
      </c>
      <c r="F19" s="166">
        <v>0.3</v>
      </c>
      <c r="G19" s="154">
        <f>D19/E19</f>
        <v>6.7241064036793936E-4</v>
      </c>
      <c r="H19" s="154">
        <f>D19/(E19+D19)</f>
        <v>6.7195880811547358E-4</v>
      </c>
      <c r="I19" s="165">
        <v>0.71699999999999997</v>
      </c>
      <c r="J19" s="164">
        <f>I19/(1+(1-F19)*G19)</f>
        <v>0.71666267587383148</v>
      </c>
      <c r="K19" s="146"/>
      <c r="L19" s="146"/>
      <c r="M19" s="146"/>
      <c r="N19" s="146"/>
      <c r="O19" s="146"/>
      <c r="P19" s="146"/>
      <c r="Q19" s="146"/>
      <c r="R19" s="146"/>
      <c r="S19" s="146"/>
      <c r="T19" s="146"/>
      <c r="U19" s="146"/>
      <c r="V19" s="146"/>
      <c r="W19" s="146"/>
      <c r="X19" s="146"/>
      <c r="Y19" s="146"/>
      <c r="Z19" s="146"/>
    </row>
    <row r="20" spans="1:26" ht="15.75" customHeight="1">
      <c r="A20" s="146"/>
      <c r="B20" s="169" t="s">
        <v>338</v>
      </c>
      <c r="C20" s="168" t="s">
        <v>336</v>
      </c>
      <c r="D20" s="167">
        <f>'Peer Comps'!F8</f>
        <v>87</v>
      </c>
      <c r="E20" s="167">
        <f>'Peer Comps'!E8</f>
        <v>406711.17</v>
      </c>
      <c r="F20" s="166">
        <v>0.3</v>
      </c>
      <c r="G20" s="154">
        <f>D20/E20</f>
        <v>2.1391101700009863E-4</v>
      </c>
      <c r="H20" s="154">
        <f>D20/(E20+D20)</f>
        <v>2.1386526886293516E-4</v>
      </c>
      <c r="I20" s="165">
        <v>0.95</v>
      </c>
      <c r="J20" s="164">
        <f>I20/(1+(1-F20)*G20)</f>
        <v>0.94985777047081921</v>
      </c>
      <c r="K20" s="146"/>
      <c r="L20" s="146"/>
      <c r="M20" s="146"/>
      <c r="N20" s="146"/>
      <c r="O20" s="146"/>
      <c r="P20" s="146"/>
      <c r="Q20" s="146"/>
      <c r="R20" s="146"/>
      <c r="S20" s="146"/>
      <c r="T20" s="146"/>
      <c r="U20" s="146"/>
      <c r="V20" s="146"/>
      <c r="W20" s="146"/>
      <c r="X20" s="146"/>
      <c r="Y20" s="146"/>
      <c r="Z20" s="146"/>
    </row>
    <row r="21" spans="1:26" ht="15.75" customHeight="1">
      <c r="A21" s="146"/>
      <c r="B21" s="169" t="s">
        <v>337</v>
      </c>
      <c r="C21" s="168" t="s">
        <v>336</v>
      </c>
      <c r="D21" s="167">
        <f>'Peer Comps'!F9</f>
        <v>129024.58</v>
      </c>
      <c r="E21" s="167">
        <f>'Peer Comps'!E9</f>
        <v>406061.9</v>
      </c>
      <c r="F21" s="166">
        <v>0.3</v>
      </c>
      <c r="G21" s="154">
        <f>D21/E21</f>
        <v>0.31774608748075106</v>
      </c>
      <c r="H21" s="154">
        <f>D21/(E21+D21)</f>
        <v>0.24112846207588726</v>
      </c>
      <c r="I21" s="165">
        <v>1.35</v>
      </c>
      <c r="J21" s="164">
        <f>I21/(1+(1-F21)*G21)</f>
        <v>1.1043647050687908</v>
      </c>
      <c r="K21" s="146"/>
      <c r="L21" s="146"/>
      <c r="M21" s="146"/>
      <c r="N21" s="146"/>
      <c r="O21" s="146"/>
      <c r="P21" s="146"/>
      <c r="Q21" s="146"/>
      <c r="R21" s="146"/>
      <c r="S21" s="146"/>
      <c r="T21" s="146"/>
      <c r="U21" s="146"/>
      <c r="V21" s="146"/>
      <c r="W21" s="146"/>
      <c r="X21" s="146"/>
      <c r="Y21" s="146"/>
      <c r="Z21" s="146"/>
    </row>
    <row r="22" spans="1:26" ht="6.5" customHeight="1">
      <c r="A22" s="146"/>
      <c r="B22" s="146"/>
      <c r="C22" s="146"/>
      <c r="D22" s="146"/>
      <c r="E22" s="146"/>
      <c r="F22" s="147"/>
      <c r="G22" s="146"/>
      <c r="H22" s="146"/>
      <c r="I22" s="146"/>
      <c r="J22" s="146"/>
      <c r="K22" s="146"/>
      <c r="L22" s="146"/>
      <c r="M22" s="146"/>
      <c r="N22" s="146"/>
      <c r="O22" s="146"/>
      <c r="P22" s="146"/>
      <c r="Q22" s="146"/>
      <c r="R22" s="146"/>
      <c r="S22" s="146"/>
      <c r="T22" s="146"/>
      <c r="U22" s="146"/>
      <c r="V22" s="146"/>
      <c r="W22" s="146"/>
      <c r="X22" s="146"/>
      <c r="Y22" s="146"/>
      <c r="Z22" s="146"/>
    </row>
    <row r="23" spans="1:26" ht="15.75" customHeight="1">
      <c r="A23" s="146"/>
      <c r="B23" s="146"/>
      <c r="C23" s="146"/>
      <c r="D23" s="146"/>
      <c r="E23" s="386" t="s">
        <v>335</v>
      </c>
      <c r="F23" s="387">
        <f>AVERAGE(F17:F21)</f>
        <v>0.3</v>
      </c>
      <c r="G23" s="387">
        <f>AVERAGE(G17:G21)</f>
        <v>0.12313206288255704</v>
      </c>
      <c r="H23" s="387">
        <f>AVERAGE(H17:H21)</f>
        <v>9.4575349991990548E-2</v>
      </c>
      <c r="I23" s="388">
        <f>AVERAGE(I17:I21)</f>
        <v>1.1047910250692023</v>
      </c>
      <c r="J23" s="388">
        <f>AVERAGE(J17:J21)</f>
        <v>1.0090474749042593</v>
      </c>
      <c r="K23" s="146"/>
      <c r="L23" s="146"/>
      <c r="M23" s="146"/>
      <c r="N23" s="146"/>
      <c r="O23" s="146"/>
      <c r="P23" s="146"/>
      <c r="Q23" s="146"/>
      <c r="R23" s="146"/>
      <c r="S23" s="146"/>
      <c r="T23" s="146"/>
      <c r="U23" s="146"/>
      <c r="V23" s="146"/>
      <c r="W23" s="146"/>
      <c r="X23" s="146"/>
      <c r="Y23" s="146"/>
      <c r="Z23" s="146"/>
    </row>
    <row r="24" spans="1:26" ht="15.75" customHeight="1">
      <c r="A24" s="146"/>
      <c r="B24" s="146"/>
      <c r="C24" s="146"/>
      <c r="D24" s="146"/>
      <c r="E24" s="386" t="s">
        <v>191</v>
      </c>
      <c r="F24" s="387">
        <f>MEDIAN(F17:F21)</f>
        <v>0.3</v>
      </c>
      <c r="G24" s="387">
        <f>MEDIAN(G17:G21)</f>
        <v>4.653749891248277E-3</v>
      </c>
      <c r="H24" s="387">
        <f>MEDIAN(H17:H21)</f>
        <v>4.6321928243955044E-3</v>
      </c>
      <c r="I24" s="388">
        <f>MEDIAN(I17:I21)</f>
        <v>1.1599999999999999</v>
      </c>
      <c r="J24" s="388">
        <f>MEDIAN(J17:J21)</f>
        <v>1.1043647050687908</v>
      </c>
      <c r="K24" s="146"/>
      <c r="L24" s="146"/>
      <c r="M24" s="146"/>
      <c r="N24" s="146"/>
      <c r="O24" s="146"/>
      <c r="P24" s="146"/>
      <c r="Q24" s="146"/>
      <c r="R24" s="146"/>
      <c r="S24" s="146"/>
      <c r="T24" s="146"/>
      <c r="U24" s="146"/>
      <c r="V24" s="146"/>
      <c r="W24" s="146"/>
      <c r="X24" s="146"/>
      <c r="Y24" s="146"/>
      <c r="Z24" s="146"/>
    </row>
    <row r="25" spans="1:26" ht="8" customHeight="1">
      <c r="A25" s="146"/>
      <c r="B25" s="146"/>
      <c r="C25" s="146"/>
      <c r="D25" s="146"/>
      <c r="E25" s="146"/>
      <c r="F25" s="146"/>
      <c r="G25" s="153"/>
      <c r="H25" s="146"/>
      <c r="I25" s="146"/>
      <c r="J25" s="146"/>
      <c r="K25" s="146"/>
      <c r="L25" s="146"/>
      <c r="M25" s="146"/>
      <c r="N25" s="146"/>
      <c r="O25" s="146"/>
      <c r="P25" s="146"/>
      <c r="Q25" s="146"/>
      <c r="R25" s="146"/>
      <c r="S25" s="146"/>
      <c r="T25" s="146"/>
      <c r="U25" s="146"/>
      <c r="V25" s="146"/>
      <c r="W25" s="146"/>
      <c r="X25" s="146"/>
      <c r="Y25" s="146"/>
      <c r="Z25" s="146"/>
    </row>
    <row r="26" spans="1:26" ht="15.75" customHeight="1">
      <c r="A26" s="146"/>
      <c r="B26" s="146"/>
      <c r="C26" s="146"/>
      <c r="D26" s="146"/>
      <c r="E26" s="146"/>
      <c r="F26" s="146"/>
      <c r="G26" s="153"/>
      <c r="H26" s="146"/>
      <c r="I26" s="146"/>
      <c r="J26" s="146"/>
      <c r="K26" s="146"/>
      <c r="L26" s="146"/>
      <c r="M26" s="146"/>
      <c r="N26" s="146"/>
      <c r="O26" s="146"/>
      <c r="P26" s="146"/>
      <c r="Q26" s="146"/>
      <c r="R26" s="146"/>
      <c r="S26" s="146"/>
      <c r="T26" s="146"/>
      <c r="U26" s="146"/>
      <c r="V26" s="146"/>
      <c r="W26" s="146"/>
      <c r="X26" s="146"/>
      <c r="Y26" s="146"/>
      <c r="Z26" s="146"/>
    </row>
    <row r="27" spans="1:26" ht="15.5" customHeight="1">
      <c r="A27" s="146"/>
      <c r="B27" s="389" t="s">
        <v>310</v>
      </c>
      <c r="C27" s="389"/>
      <c r="D27" s="389"/>
      <c r="E27" s="389"/>
      <c r="F27" s="146"/>
      <c r="G27" s="389" t="s">
        <v>329</v>
      </c>
      <c r="H27" s="390"/>
      <c r="I27" s="390"/>
      <c r="J27" s="390"/>
      <c r="K27" s="146"/>
      <c r="L27" s="146"/>
      <c r="M27" s="146"/>
      <c r="N27" s="146"/>
      <c r="O27" s="146"/>
      <c r="P27" s="146"/>
      <c r="Q27" s="146"/>
      <c r="R27" s="146"/>
      <c r="S27" s="146"/>
      <c r="T27" s="146"/>
      <c r="U27" s="146"/>
      <c r="V27" s="146"/>
      <c r="W27" s="146"/>
      <c r="X27" s="146"/>
      <c r="Y27" s="146"/>
      <c r="Z27" s="146"/>
    </row>
    <row r="28" spans="1:26" ht="6" customHeight="1">
      <c r="A28" s="146"/>
      <c r="B28" s="153"/>
      <c r="C28" s="146"/>
      <c r="D28" s="146"/>
      <c r="E28" s="146"/>
      <c r="F28" s="146"/>
      <c r="G28" s="153"/>
      <c r="H28" s="146"/>
      <c r="I28" s="146"/>
      <c r="J28" s="146"/>
      <c r="K28" s="146"/>
      <c r="L28" s="146"/>
      <c r="M28" s="146"/>
      <c r="N28" s="146"/>
      <c r="O28" s="146"/>
      <c r="P28" s="146"/>
      <c r="Q28" s="146"/>
      <c r="R28" s="146"/>
      <c r="S28" s="146"/>
      <c r="T28" s="146"/>
      <c r="U28" s="146"/>
      <c r="V28" s="146"/>
      <c r="W28" s="146"/>
      <c r="X28" s="146"/>
      <c r="Y28" s="146"/>
      <c r="Z28" s="146"/>
    </row>
    <row r="29" spans="1:26" ht="15.75" customHeight="1">
      <c r="A29" s="146"/>
      <c r="B29" s="146" t="s">
        <v>334</v>
      </c>
      <c r="C29" s="146"/>
      <c r="D29" s="146"/>
      <c r="E29" s="160">
        <f>5083/71540</f>
        <v>7.1051160190103435E-2</v>
      </c>
      <c r="F29" s="146"/>
      <c r="G29" s="146" t="s">
        <v>333</v>
      </c>
      <c r="H29" s="146"/>
      <c r="I29" s="146"/>
      <c r="J29" s="160">
        <v>6.404E-2</v>
      </c>
      <c r="K29" s="146"/>
      <c r="L29" s="146"/>
      <c r="M29" s="146"/>
      <c r="N29" s="146"/>
      <c r="O29" s="146"/>
      <c r="P29" s="146"/>
      <c r="Q29" s="146"/>
      <c r="R29" s="146"/>
      <c r="S29" s="146"/>
      <c r="T29" s="146"/>
      <c r="U29" s="146"/>
      <c r="V29" s="146"/>
      <c r="W29" s="146"/>
      <c r="X29" s="146"/>
      <c r="Y29" s="146"/>
      <c r="Z29" s="146"/>
    </row>
    <row r="30" spans="1:26" ht="15.75" customHeight="1">
      <c r="A30" s="146"/>
      <c r="B30" s="146" t="s">
        <v>285</v>
      </c>
      <c r="C30" s="146"/>
      <c r="D30" s="146"/>
      <c r="E30" s="147">
        <f>F24</f>
        <v>0.3</v>
      </c>
      <c r="F30" s="146"/>
      <c r="G30" s="146" t="s">
        <v>332</v>
      </c>
      <c r="H30" s="146"/>
      <c r="I30" s="146"/>
      <c r="J30" s="160">
        <f>'Market Return'!F13-WACC!J29</f>
        <v>8.9307999999999985E-2</v>
      </c>
      <c r="K30" s="146"/>
      <c r="L30" s="146"/>
      <c r="M30" s="146"/>
      <c r="N30" s="146"/>
      <c r="O30" s="146"/>
      <c r="P30" s="146"/>
      <c r="Q30" s="146"/>
      <c r="R30" s="146"/>
      <c r="S30" s="146"/>
      <c r="T30" s="146"/>
      <c r="U30" s="146"/>
      <c r="V30" s="146"/>
      <c r="W30" s="146"/>
      <c r="X30" s="146"/>
      <c r="Y30" s="146"/>
      <c r="Z30" s="146"/>
    </row>
    <row r="31" spans="1:26" ht="15.75" customHeight="1">
      <c r="A31" s="146"/>
      <c r="B31" s="156" t="s">
        <v>331</v>
      </c>
      <c r="C31" s="156"/>
      <c r="D31" s="156"/>
      <c r="E31" s="163">
        <f>E29*(1-E30)</f>
        <v>4.9735812133072405E-2</v>
      </c>
      <c r="F31" s="146"/>
      <c r="G31" s="146" t="s">
        <v>330</v>
      </c>
      <c r="H31" s="146"/>
      <c r="I31" s="146"/>
      <c r="J31" s="164">
        <f>J40</f>
        <v>1.1851135282313046</v>
      </c>
      <c r="K31" s="146"/>
      <c r="L31" s="146"/>
      <c r="M31" s="146"/>
      <c r="N31" s="146"/>
      <c r="O31" s="146"/>
      <c r="P31" s="146"/>
      <c r="Q31" s="146"/>
      <c r="R31" s="146"/>
      <c r="S31" s="146"/>
      <c r="T31" s="146"/>
      <c r="U31" s="146"/>
      <c r="V31" s="146"/>
      <c r="W31" s="146"/>
      <c r="X31" s="146"/>
      <c r="Y31" s="146"/>
      <c r="Z31" s="146"/>
    </row>
    <row r="32" spans="1:26" ht="15.75" customHeight="1">
      <c r="A32" s="146"/>
      <c r="B32" s="146"/>
      <c r="C32" s="146"/>
      <c r="D32" s="146"/>
      <c r="E32" s="146"/>
      <c r="F32" s="146"/>
      <c r="G32" s="156" t="s">
        <v>329</v>
      </c>
      <c r="H32" s="156"/>
      <c r="I32" s="156"/>
      <c r="J32" s="163">
        <f>J29+J30*J31</f>
        <v>0.16988011897928135</v>
      </c>
      <c r="K32" s="146"/>
      <c r="L32" s="146"/>
      <c r="M32" s="146"/>
      <c r="N32" s="146"/>
      <c r="O32" s="146"/>
      <c r="P32" s="146"/>
      <c r="Q32" s="146"/>
      <c r="R32" s="146"/>
      <c r="S32" s="146"/>
      <c r="T32" s="146"/>
      <c r="U32" s="146"/>
      <c r="V32" s="146"/>
      <c r="W32" s="146"/>
      <c r="X32" s="146"/>
      <c r="Y32" s="146"/>
      <c r="Z32" s="146"/>
    </row>
    <row r="33" spans="1:26" ht="5.5" customHeight="1">
      <c r="A33" s="146"/>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row>
    <row r="34" spans="1:26" ht="15.75" customHeight="1">
      <c r="A34" s="146"/>
      <c r="B34" s="146"/>
      <c r="C34" s="146"/>
      <c r="D34" s="146"/>
      <c r="E34" s="146"/>
      <c r="F34" s="146"/>
      <c r="G34" s="146"/>
      <c r="H34" s="146"/>
      <c r="I34" s="146"/>
      <c r="J34" s="146"/>
      <c r="K34" s="146"/>
      <c r="L34" s="146"/>
      <c r="M34" s="146"/>
      <c r="N34" s="146"/>
      <c r="O34" s="146"/>
      <c r="P34" s="146"/>
      <c r="Q34" s="146"/>
      <c r="R34" s="146"/>
      <c r="S34" s="146"/>
      <c r="T34" s="146"/>
      <c r="U34" s="146"/>
      <c r="V34" s="146"/>
      <c r="W34" s="146"/>
      <c r="X34" s="146"/>
      <c r="Y34" s="146"/>
      <c r="Z34" s="146"/>
    </row>
    <row r="35" spans="1:26" ht="15.75" customHeight="1">
      <c r="A35" s="146"/>
      <c r="B35" s="389" t="s">
        <v>328</v>
      </c>
      <c r="C35" s="390"/>
      <c r="D35" s="390"/>
      <c r="E35" s="390"/>
      <c r="F35" s="146"/>
      <c r="G35" s="389" t="s">
        <v>327</v>
      </c>
      <c r="H35" s="390"/>
      <c r="I35" s="390"/>
      <c r="J35" s="390"/>
      <c r="K35" s="146"/>
      <c r="L35" s="146"/>
      <c r="M35" s="146"/>
      <c r="N35" s="146"/>
      <c r="O35" s="146"/>
      <c r="P35" s="146"/>
      <c r="Q35" s="146"/>
      <c r="R35" s="146"/>
      <c r="S35" s="146"/>
      <c r="T35" s="146"/>
      <c r="U35" s="146"/>
      <c r="V35" s="146"/>
      <c r="W35" s="146"/>
      <c r="X35" s="146"/>
      <c r="Y35" s="146"/>
      <c r="Z35" s="146"/>
    </row>
    <row r="36" spans="1:26" ht="2" customHeight="1">
      <c r="A36" s="146"/>
      <c r="B36" s="146"/>
      <c r="C36" s="146"/>
      <c r="D36" s="146"/>
      <c r="E36" s="146"/>
      <c r="F36" s="146"/>
      <c r="G36" s="162"/>
      <c r="H36" s="146"/>
      <c r="I36" s="146"/>
      <c r="J36" s="146"/>
      <c r="K36" s="146"/>
      <c r="L36" s="146"/>
      <c r="M36" s="146"/>
      <c r="N36" s="146"/>
      <c r="O36" s="146"/>
      <c r="P36" s="146"/>
      <c r="Q36" s="146"/>
      <c r="R36" s="146"/>
      <c r="S36" s="146"/>
      <c r="T36" s="146"/>
      <c r="U36" s="146"/>
      <c r="V36" s="146"/>
      <c r="W36" s="146"/>
      <c r="X36" s="146"/>
      <c r="Y36" s="146"/>
      <c r="Z36" s="146"/>
    </row>
    <row r="37" spans="1:26" ht="15.75" customHeight="1">
      <c r="A37" s="146"/>
      <c r="B37" s="146"/>
      <c r="C37" s="146"/>
      <c r="D37" s="161" t="s">
        <v>326</v>
      </c>
      <c r="E37" s="161" t="s">
        <v>325</v>
      </c>
      <c r="F37" s="146"/>
      <c r="G37" s="153" t="s">
        <v>324</v>
      </c>
      <c r="H37" s="146"/>
      <c r="I37" s="146"/>
      <c r="J37" s="153">
        <f>J24</f>
        <v>1.1043647050687908</v>
      </c>
      <c r="K37" s="146"/>
      <c r="L37" s="146"/>
      <c r="M37" s="146"/>
      <c r="N37" s="146"/>
      <c r="O37" s="146"/>
      <c r="P37" s="146"/>
      <c r="Q37" s="146"/>
      <c r="R37" s="146"/>
      <c r="S37" s="146"/>
      <c r="T37" s="146"/>
      <c r="U37" s="146"/>
      <c r="V37" s="146"/>
      <c r="W37" s="146"/>
      <c r="X37" s="146"/>
      <c r="Y37" s="146"/>
      <c r="Z37" s="146"/>
    </row>
    <row r="38" spans="1:26" ht="15.75" customHeight="1">
      <c r="A38" s="146"/>
      <c r="B38" s="146" t="s">
        <v>323</v>
      </c>
      <c r="C38" s="159">
        <f>D17</f>
        <v>71540</v>
      </c>
      <c r="D38" s="147">
        <f>C38/$C$40</f>
        <v>0.22623027098269163</v>
      </c>
      <c r="E38" s="160">
        <f>H23</f>
        <v>9.4575349991990548E-2</v>
      </c>
      <c r="F38" s="146"/>
      <c r="G38" s="146" t="s">
        <v>322</v>
      </c>
      <c r="H38" s="146"/>
      <c r="I38" s="146"/>
      <c r="J38" s="147">
        <f>E42</f>
        <v>0.10445413651059084</v>
      </c>
      <c r="K38" s="146"/>
      <c r="L38" s="146"/>
      <c r="M38" s="146"/>
      <c r="N38" s="146"/>
      <c r="O38" s="146"/>
      <c r="P38" s="146"/>
      <c r="Q38" s="146"/>
      <c r="R38" s="146"/>
      <c r="S38" s="146"/>
      <c r="T38" s="146"/>
      <c r="U38" s="146"/>
      <c r="V38" s="146"/>
      <c r="W38" s="146"/>
      <c r="X38" s="146"/>
      <c r="Y38" s="146"/>
      <c r="Z38" s="146"/>
    </row>
    <row r="39" spans="1:26" ht="15.75" customHeight="1">
      <c r="A39" s="146"/>
      <c r="B39" s="146" t="s">
        <v>79</v>
      </c>
      <c r="C39" s="159">
        <f>E17</f>
        <v>244686.47</v>
      </c>
      <c r="D39" s="147">
        <f>C39/$C$40</f>
        <v>0.77376972901730845</v>
      </c>
      <c r="E39" s="147">
        <f>E40-E38</f>
        <v>0.90542465000800942</v>
      </c>
      <c r="F39" s="146"/>
      <c r="G39" s="146" t="s">
        <v>285</v>
      </c>
      <c r="H39" s="146"/>
      <c r="I39" s="146"/>
      <c r="J39" s="147">
        <f>E30</f>
        <v>0.3</v>
      </c>
      <c r="K39" s="146"/>
      <c r="L39" s="146"/>
      <c r="M39" s="146"/>
      <c r="N39" s="146"/>
      <c r="O39" s="146"/>
      <c r="P39" s="146"/>
      <c r="Q39" s="146"/>
      <c r="R39" s="146"/>
      <c r="S39" s="146"/>
      <c r="T39" s="146"/>
      <c r="U39" s="146"/>
      <c r="V39" s="146"/>
      <c r="W39" s="146"/>
      <c r="X39" s="146"/>
      <c r="Y39" s="146"/>
      <c r="Z39" s="146"/>
    </row>
    <row r="40" spans="1:26" ht="15.75" customHeight="1">
      <c r="A40" s="146"/>
      <c r="B40" s="146" t="s">
        <v>321</v>
      </c>
      <c r="C40" s="158">
        <f>SUM(C38:C39)</f>
        <v>316226.46999999997</v>
      </c>
      <c r="D40" s="157">
        <f>C40/$C$40</f>
        <v>1</v>
      </c>
      <c r="E40" s="157">
        <f>D40</f>
        <v>1</v>
      </c>
      <c r="F40" s="146"/>
      <c r="G40" s="156" t="s">
        <v>320</v>
      </c>
      <c r="H40" s="156"/>
      <c r="I40" s="156"/>
      <c r="J40" s="155">
        <f>J37*(1+(1-J39)*J38)</f>
        <v>1.1851135282313046</v>
      </c>
      <c r="K40" s="146"/>
      <c r="L40" s="146"/>
      <c r="M40" s="146"/>
      <c r="N40" s="146"/>
      <c r="O40" s="146"/>
      <c r="P40" s="146"/>
      <c r="Q40" s="146"/>
      <c r="R40" s="146"/>
      <c r="S40" s="146"/>
      <c r="T40" s="146"/>
      <c r="U40" s="146"/>
      <c r="V40" s="146"/>
      <c r="W40" s="146"/>
      <c r="X40" s="146"/>
      <c r="Y40" s="146"/>
      <c r="Z40" s="146"/>
    </row>
    <row r="41" spans="1:26" ht="15.75" customHeight="1">
      <c r="A41" s="146"/>
      <c r="B41" s="146"/>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row>
    <row r="42" spans="1:26" ht="15.75" customHeight="1">
      <c r="A42" s="146"/>
      <c r="B42" s="146" t="s">
        <v>319</v>
      </c>
      <c r="C42" s="146"/>
      <c r="D42" s="154">
        <f>D38/D39</f>
        <v>0.29237415538341782</v>
      </c>
      <c r="E42" s="154">
        <f>E38/E39</f>
        <v>0.10445413651059084</v>
      </c>
      <c r="F42" s="146"/>
      <c r="G42" s="391" t="s">
        <v>318</v>
      </c>
      <c r="H42" s="392"/>
      <c r="I42" s="392"/>
      <c r="J42" s="392"/>
      <c r="K42" s="146"/>
      <c r="L42" s="146"/>
      <c r="M42" s="146"/>
      <c r="N42" s="146"/>
      <c r="O42" s="146"/>
      <c r="P42" s="146"/>
      <c r="Q42" s="146"/>
      <c r="R42" s="146"/>
      <c r="S42" s="146"/>
      <c r="T42" s="146"/>
      <c r="U42" s="146"/>
      <c r="V42" s="146"/>
      <c r="W42" s="146"/>
      <c r="X42" s="146"/>
      <c r="Y42" s="146"/>
      <c r="Z42" s="146"/>
    </row>
    <row r="43" spans="1:26" ht="5" customHeight="1">
      <c r="A43" s="146"/>
      <c r="B43" s="146"/>
      <c r="C43" s="146"/>
      <c r="D43" s="146"/>
      <c r="E43" s="146"/>
      <c r="F43" s="146"/>
      <c r="G43" s="153"/>
      <c r="H43" s="146"/>
      <c r="I43" s="146"/>
      <c r="J43" s="146"/>
      <c r="K43" s="146"/>
      <c r="L43" s="146"/>
      <c r="M43" s="146"/>
      <c r="N43" s="146"/>
      <c r="O43" s="146"/>
      <c r="P43" s="146"/>
      <c r="Q43" s="146"/>
      <c r="R43" s="146"/>
      <c r="S43" s="146"/>
      <c r="T43" s="146"/>
      <c r="U43" s="146"/>
      <c r="V43" s="146"/>
      <c r="W43" s="146"/>
      <c r="X43" s="146"/>
      <c r="Y43" s="146"/>
      <c r="Z43" s="146"/>
    </row>
    <row r="44" spans="1:26" ht="15.75" customHeight="1">
      <c r="A44" s="146"/>
      <c r="D44" s="146"/>
      <c r="E44" s="146"/>
      <c r="F44" s="146"/>
      <c r="G44" s="148" t="s">
        <v>316</v>
      </c>
      <c r="H44" s="146"/>
      <c r="I44" s="147"/>
      <c r="J44" s="147">
        <f>J32</f>
        <v>0.16988011897928135</v>
      </c>
      <c r="K44" s="146"/>
      <c r="L44" s="146"/>
      <c r="M44" s="146"/>
      <c r="N44" s="146"/>
      <c r="O44" s="146"/>
      <c r="P44" s="146"/>
      <c r="Q44" s="146"/>
      <c r="R44" s="146"/>
      <c r="S44" s="146"/>
      <c r="T44" s="146"/>
      <c r="U44" s="146"/>
      <c r="V44" s="146"/>
      <c r="W44" s="146"/>
      <c r="X44" s="146"/>
      <c r="Y44" s="146"/>
      <c r="Z44" s="146"/>
    </row>
    <row r="45" spans="1:26" ht="15.75" customHeight="1">
      <c r="A45" s="146"/>
      <c r="B45" s="152" t="s">
        <v>317</v>
      </c>
      <c r="C45" s="146"/>
      <c r="D45" s="150"/>
      <c r="E45" s="146"/>
      <c r="F45" s="146"/>
      <c r="G45" s="148" t="s">
        <v>314</v>
      </c>
      <c r="H45" s="146"/>
      <c r="I45" s="147"/>
      <c r="J45" s="147">
        <f>E39</f>
        <v>0.90542465000800942</v>
      </c>
      <c r="K45" s="146"/>
      <c r="L45" s="146"/>
      <c r="M45" s="146"/>
      <c r="N45" s="146"/>
      <c r="O45" s="146"/>
      <c r="P45" s="146"/>
      <c r="Q45" s="146"/>
      <c r="R45" s="146"/>
      <c r="S45" s="146"/>
      <c r="T45" s="146"/>
      <c r="U45" s="146"/>
      <c r="V45" s="146"/>
      <c r="W45" s="146"/>
      <c r="X45" s="146"/>
      <c r="Y45" s="146"/>
      <c r="Z45" s="146"/>
    </row>
    <row r="46" spans="1:26" ht="15.75" customHeight="1">
      <c r="A46" s="146" t="s">
        <v>313</v>
      </c>
      <c r="B46" s="151" t="s">
        <v>315</v>
      </c>
      <c r="C46" s="150"/>
      <c r="D46" s="150"/>
      <c r="E46" s="146"/>
      <c r="F46" s="146"/>
      <c r="G46" s="146"/>
      <c r="H46" s="146"/>
      <c r="I46" s="147"/>
      <c r="J46" s="147"/>
      <c r="K46" s="146"/>
      <c r="L46" s="146"/>
      <c r="M46" s="146"/>
      <c r="N46" s="146"/>
      <c r="O46" s="146"/>
      <c r="P46" s="146"/>
      <c r="Q46" s="146"/>
      <c r="R46" s="146"/>
      <c r="S46" s="146"/>
      <c r="T46" s="146"/>
      <c r="U46" s="146"/>
      <c r="V46" s="146"/>
      <c r="W46" s="146"/>
      <c r="X46" s="146"/>
      <c r="Y46" s="146"/>
      <c r="Z46" s="146"/>
    </row>
    <row r="47" spans="1:26" ht="15.75" customHeight="1">
      <c r="A47" s="146"/>
      <c r="B47" s="151" t="s">
        <v>312</v>
      </c>
      <c r="C47" s="150"/>
      <c r="D47" s="150"/>
      <c r="E47" s="146"/>
      <c r="F47" s="146"/>
      <c r="G47" s="148" t="s">
        <v>310</v>
      </c>
      <c r="H47" s="146"/>
      <c r="I47" s="147"/>
      <c r="J47" s="149">
        <f>E31</f>
        <v>4.9735812133072405E-2</v>
      </c>
      <c r="K47" s="146"/>
      <c r="L47" s="146"/>
      <c r="M47" s="146"/>
      <c r="N47" s="146"/>
      <c r="O47" s="146"/>
      <c r="P47" s="146"/>
      <c r="Q47" s="146"/>
      <c r="R47" s="146"/>
      <c r="S47" s="146"/>
      <c r="T47" s="146"/>
      <c r="U47" s="146"/>
      <c r="V47" s="146"/>
      <c r="W47" s="146"/>
      <c r="X47" s="146"/>
      <c r="Y47" s="146"/>
      <c r="Z47" s="146"/>
    </row>
    <row r="48" spans="1:26" ht="15.75" customHeight="1">
      <c r="A48" s="146"/>
      <c r="B48" s="151" t="s">
        <v>311</v>
      </c>
      <c r="C48" s="150"/>
      <c r="D48" s="146"/>
      <c r="E48" s="146"/>
      <c r="F48" s="146"/>
      <c r="G48" s="148" t="s">
        <v>309</v>
      </c>
      <c r="H48" s="146"/>
      <c r="I48" s="146"/>
      <c r="J48" s="147">
        <f>E38</f>
        <v>9.4575349991990548E-2</v>
      </c>
      <c r="K48" s="146"/>
      <c r="L48" s="146"/>
      <c r="M48" s="146"/>
      <c r="N48" s="146"/>
      <c r="O48" s="146"/>
      <c r="P48" s="146"/>
      <c r="Q48" s="146"/>
      <c r="R48" s="146"/>
      <c r="S48" s="146"/>
      <c r="T48" s="146"/>
      <c r="U48" s="146"/>
      <c r="V48" s="146"/>
      <c r="W48" s="146"/>
      <c r="X48" s="146"/>
      <c r="Y48" s="146"/>
      <c r="Z48" s="146"/>
    </row>
    <row r="49" spans="1:26" ht="15.75" customHeight="1">
      <c r="A49" s="146"/>
      <c r="B49" s="146"/>
      <c r="C49" s="146"/>
      <c r="D49" s="146"/>
      <c r="E49" s="146"/>
      <c r="F49" s="146"/>
      <c r="G49" s="146"/>
      <c r="H49" s="146"/>
      <c r="I49" s="146"/>
      <c r="J49" s="146"/>
      <c r="K49" s="146"/>
      <c r="L49" s="146"/>
      <c r="M49" s="146"/>
      <c r="N49" s="146"/>
      <c r="O49" s="146"/>
      <c r="P49" s="146"/>
      <c r="Q49" s="146"/>
      <c r="R49" s="146"/>
      <c r="S49" s="146"/>
      <c r="T49" s="146"/>
      <c r="U49" s="146"/>
      <c r="V49" s="146"/>
      <c r="W49" s="146"/>
      <c r="X49" s="146"/>
      <c r="Y49" s="146"/>
      <c r="Z49" s="146"/>
    </row>
    <row r="50" spans="1:26" ht="15.75" customHeight="1">
      <c r="A50" s="146"/>
      <c r="B50" s="146"/>
      <c r="C50" s="146"/>
      <c r="D50" s="146"/>
      <c r="E50" s="146"/>
      <c r="F50" s="146"/>
      <c r="G50" s="355" t="s">
        <v>294</v>
      </c>
      <c r="H50" s="355"/>
      <c r="I50" s="355"/>
      <c r="J50" s="356">
        <f>(J44*J45)+(J47*J48)</f>
        <v>0.15851742910975603</v>
      </c>
      <c r="K50" s="146"/>
      <c r="L50" s="146"/>
      <c r="M50" s="146"/>
      <c r="N50" s="146"/>
      <c r="O50" s="146"/>
      <c r="P50" s="146"/>
      <c r="Q50" s="146"/>
      <c r="R50" s="146"/>
      <c r="S50" s="146"/>
      <c r="T50" s="146"/>
      <c r="U50" s="146"/>
      <c r="V50" s="146"/>
      <c r="W50" s="146"/>
      <c r="X50" s="146"/>
      <c r="Y50" s="146"/>
      <c r="Z50" s="146"/>
    </row>
    <row r="51" spans="1:26" ht="15.75" customHeight="1">
      <c r="A51" s="146"/>
      <c r="B51" s="146"/>
      <c r="C51" s="146"/>
      <c r="D51" s="146"/>
      <c r="E51" s="354"/>
      <c r="F51" s="146"/>
      <c r="G51" s="146"/>
      <c r="H51" s="146"/>
      <c r="I51" s="146"/>
      <c r="J51" s="146"/>
      <c r="K51" s="146"/>
      <c r="L51" s="146"/>
      <c r="M51" s="146"/>
      <c r="N51" s="146"/>
      <c r="O51" s="146"/>
      <c r="P51" s="146"/>
      <c r="Q51" s="146"/>
      <c r="R51" s="146"/>
      <c r="S51" s="146"/>
      <c r="T51" s="146"/>
      <c r="U51" s="146"/>
      <c r="V51" s="146"/>
      <c r="W51" s="146"/>
      <c r="X51" s="146"/>
      <c r="Y51" s="146"/>
      <c r="Z51" s="146"/>
    </row>
    <row r="52" spans="1:26" ht="15.75" customHeight="1">
      <c r="A52" s="146"/>
      <c r="B52" s="146"/>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row>
    <row r="53" spans="1:26" ht="15.75" customHeight="1">
      <c r="A53" s="146"/>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row>
    <row r="54" spans="1:26" ht="15.75" customHeight="1">
      <c r="A54" s="146"/>
      <c r="B54" s="146"/>
      <c r="C54" s="146"/>
      <c r="D54" s="146"/>
      <c r="E54" s="146"/>
      <c r="F54" s="146"/>
      <c r="G54" s="146"/>
      <c r="H54" s="146"/>
      <c r="I54" s="146"/>
      <c r="J54" s="146"/>
      <c r="K54" s="146"/>
      <c r="L54" s="146"/>
      <c r="M54" s="146"/>
      <c r="N54" s="146"/>
      <c r="O54" s="146"/>
      <c r="P54" s="146"/>
      <c r="Q54" s="146"/>
      <c r="R54" s="146"/>
      <c r="S54" s="146"/>
      <c r="T54" s="146"/>
      <c r="U54" s="146"/>
      <c r="V54" s="146"/>
      <c r="W54" s="146"/>
      <c r="X54" s="146"/>
      <c r="Y54" s="146"/>
      <c r="Z54" s="146"/>
    </row>
    <row r="55" spans="1:26" ht="15.75" customHeight="1">
      <c r="A55" s="146"/>
      <c r="B55" s="146"/>
      <c r="C55" s="146"/>
      <c r="D55" s="146"/>
      <c r="E55" s="146"/>
      <c r="F55" s="146"/>
      <c r="G55" s="146"/>
      <c r="H55" s="146"/>
      <c r="I55" s="146"/>
      <c r="J55" s="146"/>
      <c r="K55" s="146"/>
      <c r="L55" s="146"/>
      <c r="M55" s="146"/>
      <c r="N55" s="146"/>
      <c r="O55" s="146"/>
      <c r="P55" s="146"/>
      <c r="Q55" s="146"/>
      <c r="R55" s="146"/>
      <c r="S55" s="146"/>
      <c r="T55" s="146"/>
      <c r="U55" s="146"/>
      <c r="V55" s="146"/>
      <c r="W55" s="146"/>
      <c r="X55" s="146"/>
      <c r="Y55" s="146"/>
      <c r="Z55" s="146"/>
    </row>
    <row r="56" spans="1:26" ht="15.75" customHeight="1">
      <c r="A56" s="146"/>
      <c r="B56" s="146"/>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row>
    <row r="57" spans="1:26" ht="15.75" customHeight="1">
      <c r="A57" s="146"/>
      <c r="B57" s="146"/>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row>
    <row r="58" spans="1:26" ht="15.75" customHeight="1">
      <c r="A58" s="146"/>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row>
    <row r="59" spans="1:26" ht="15.75" customHeight="1">
      <c r="A59" s="146"/>
      <c r="B59" s="146"/>
      <c r="C59" s="146"/>
      <c r="D59" s="146"/>
      <c r="E59" s="146"/>
      <c r="F59" s="146"/>
      <c r="G59" s="146"/>
      <c r="H59" s="146"/>
      <c r="I59" s="146"/>
      <c r="J59" s="146"/>
      <c r="K59" s="146"/>
      <c r="L59" s="146"/>
      <c r="M59" s="146"/>
      <c r="N59" s="146"/>
      <c r="O59" s="146"/>
      <c r="P59" s="146"/>
      <c r="Q59" s="146"/>
      <c r="R59" s="146"/>
      <c r="S59" s="146"/>
      <c r="T59" s="146"/>
      <c r="U59" s="146"/>
      <c r="V59" s="146"/>
      <c r="W59" s="146"/>
      <c r="X59" s="146"/>
      <c r="Y59" s="146"/>
      <c r="Z59" s="146"/>
    </row>
    <row r="60" spans="1:26" ht="15.75" customHeight="1">
      <c r="A60" s="146"/>
      <c r="B60" s="146"/>
      <c r="C60" s="146"/>
      <c r="D60" s="146"/>
      <c r="E60" s="146"/>
      <c r="F60" s="146"/>
      <c r="G60" s="146"/>
      <c r="H60" s="146"/>
      <c r="I60" s="146"/>
      <c r="J60" s="146"/>
      <c r="K60" s="146"/>
      <c r="L60" s="146"/>
      <c r="M60" s="146"/>
      <c r="N60" s="146"/>
      <c r="O60" s="146"/>
      <c r="P60" s="146"/>
      <c r="Q60" s="146"/>
      <c r="R60" s="146"/>
      <c r="S60" s="146"/>
      <c r="T60" s="146"/>
      <c r="U60" s="146"/>
      <c r="V60" s="146"/>
      <c r="W60" s="146"/>
      <c r="X60" s="146"/>
      <c r="Y60" s="146"/>
      <c r="Z60" s="146"/>
    </row>
    <row r="61" spans="1:26" ht="15.75" customHeight="1">
      <c r="A61" s="146"/>
      <c r="B61" s="146"/>
      <c r="C61" s="146"/>
      <c r="D61" s="146"/>
      <c r="E61" s="146"/>
      <c r="F61" s="146"/>
      <c r="G61" s="146"/>
      <c r="H61" s="146"/>
      <c r="I61" s="146"/>
      <c r="J61" s="146"/>
      <c r="K61" s="146"/>
      <c r="L61" s="146"/>
      <c r="M61" s="146"/>
      <c r="N61" s="146"/>
      <c r="O61" s="146"/>
      <c r="P61" s="146"/>
      <c r="Q61" s="146"/>
      <c r="R61" s="146"/>
      <c r="S61" s="146"/>
      <c r="T61" s="146"/>
      <c r="U61" s="146"/>
      <c r="V61" s="146"/>
      <c r="W61" s="146"/>
      <c r="X61" s="146"/>
      <c r="Y61" s="146"/>
      <c r="Z61" s="146"/>
    </row>
    <row r="62" spans="1:26" ht="15.75" customHeight="1">
      <c r="A62" s="146"/>
      <c r="B62" s="146"/>
      <c r="C62" s="146"/>
      <c r="D62" s="146"/>
      <c r="E62" s="146"/>
      <c r="F62" s="146"/>
      <c r="G62" s="146"/>
      <c r="H62" s="146"/>
      <c r="I62" s="146"/>
      <c r="J62" s="146"/>
      <c r="K62" s="146"/>
      <c r="L62" s="146"/>
      <c r="M62" s="146"/>
      <c r="N62" s="146"/>
      <c r="O62" s="146"/>
      <c r="P62" s="146"/>
      <c r="Q62" s="146"/>
      <c r="R62" s="146"/>
      <c r="S62" s="146"/>
      <c r="T62" s="146"/>
      <c r="U62" s="146"/>
      <c r="V62" s="146"/>
      <c r="W62" s="146"/>
      <c r="X62" s="146"/>
      <c r="Y62" s="146"/>
      <c r="Z62" s="146"/>
    </row>
    <row r="63" spans="1:26" ht="15.75" customHeight="1">
      <c r="A63" s="146"/>
      <c r="B63" s="146"/>
      <c r="C63" s="146"/>
      <c r="D63" s="146"/>
      <c r="E63" s="146"/>
      <c r="F63" s="146"/>
      <c r="G63" s="146"/>
      <c r="H63" s="146"/>
      <c r="I63" s="146"/>
      <c r="J63" s="146"/>
      <c r="K63" s="146"/>
      <c r="L63" s="146"/>
      <c r="M63" s="146"/>
      <c r="N63" s="146"/>
      <c r="O63" s="146"/>
      <c r="P63" s="146"/>
      <c r="Q63" s="146"/>
      <c r="R63" s="146"/>
      <c r="S63" s="146"/>
      <c r="T63" s="146"/>
      <c r="U63" s="146"/>
      <c r="V63" s="146"/>
      <c r="W63" s="146"/>
      <c r="X63" s="146"/>
      <c r="Y63" s="146"/>
      <c r="Z63" s="146"/>
    </row>
    <row r="64" spans="1:26" ht="15.75" customHeight="1">
      <c r="A64" s="146"/>
      <c r="B64" s="146"/>
      <c r="C64" s="146"/>
      <c r="D64" s="146"/>
      <c r="E64" s="146"/>
      <c r="F64" s="146"/>
      <c r="G64" s="146"/>
      <c r="H64" s="146"/>
      <c r="I64" s="146"/>
      <c r="J64" s="146"/>
      <c r="K64" s="146"/>
      <c r="L64" s="146"/>
      <c r="M64" s="146"/>
      <c r="N64" s="146"/>
      <c r="O64" s="146"/>
      <c r="P64" s="146"/>
      <c r="Q64" s="146"/>
      <c r="R64" s="146"/>
      <c r="S64" s="146"/>
      <c r="T64" s="146"/>
      <c r="U64" s="146"/>
      <c r="V64" s="146"/>
      <c r="W64" s="146"/>
      <c r="X64" s="146"/>
      <c r="Y64" s="146"/>
      <c r="Z64" s="146"/>
    </row>
    <row r="65" spans="1:26" ht="15.75" customHeight="1">
      <c r="A65" s="146"/>
      <c r="B65" s="146"/>
      <c r="C65" s="146"/>
      <c r="D65" s="146"/>
      <c r="E65" s="146"/>
      <c r="F65" s="146"/>
      <c r="G65" s="146"/>
      <c r="H65" s="146"/>
      <c r="I65" s="146"/>
      <c r="J65" s="146"/>
      <c r="K65" s="146"/>
      <c r="L65" s="146"/>
      <c r="M65" s="146"/>
      <c r="N65" s="146"/>
      <c r="O65" s="146"/>
      <c r="P65" s="146"/>
      <c r="Q65" s="146"/>
      <c r="R65" s="146"/>
      <c r="S65" s="146"/>
      <c r="T65" s="146"/>
      <c r="U65" s="146"/>
      <c r="V65" s="146"/>
      <c r="W65" s="146"/>
      <c r="X65" s="146"/>
      <c r="Y65" s="146"/>
      <c r="Z65" s="146"/>
    </row>
    <row r="66" spans="1:26" ht="15.75" customHeight="1">
      <c r="A66" s="146"/>
      <c r="B66" s="146"/>
      <c r="C66" s="146"/>
      <c r="D66" s="146"/>
      <c r="E66" s="146"/>
      <c r="F66" s="146"/>
      <c r="G66" s="146"/>
      <c r="H66" s="146"/>
      <c r="I66" s="146"/>
      <c r="J66" s="146"/>
      <c r="K66" s="146"/>
      <c r="L66" s="146"/>
      <c r="M66" s="146"/>
      <c r="N66" s="146"/>
      <c r="O66" s="146"/>
      <c r="P66" s="146"/>
      <c r="Q66" s="146"/>
      <c r="R66" s="146"/>
      <c r="S66" s="146"/>
      <c r="T66" s="146"/>
      <c r="U66" s="146"/>
      <c r="V66" s="146"/>
      <c r="W66" s="146"/>
      <c r="X66" s="146"/>
      <c r="Y66" s="146"/>
      <c r="Z66" s="146"/>
    </row>
    <row r="67" spans="1:26" ht="15.75" customHeight="1">
      <c r="A67" s="146"/>
      <c r="B67" s="146"/>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row>
    <row r="68" spans="1:26" ht="15.75" customHeight="1">
      <c r="A68" s="146"/>
      <c r="B68" s="146"/>
      <c r="C68" s="146"/>
      <c r="D68" s="146"/>
      <c r="E68" s="146"/>
      <c r="F68" s="146"/>
      <c r="G68" s="146"/>
      <c r="H68" s="146"/>
      <c r="I68" s="146"/>
      <c r="J68" s="146"/>
      <c r="K68" s="146"/>
      <c r="L68" s="146"/>
      <c r="M68" s="146"/>
      <c r="N68" s="146"/>
      <c r="O68" s="146"/>
      <c r="P68" s="146"/>
      <c r="Q68" s="146"/>
      <c r="R68" s="146"/>
      <c r="S68" s="146"/>
      <c r="T68" s="146"/>
      <c r="U68" s="146"/>
      <c r="V68" s="146"/>
      <c r="W68" s="146"/>
      <c r="X68" s="146"/>
      <c r="Y68" s="146"/>
      <c r="Z68" s="146"/>
    </row>
    <row r="69" spans="1:26" ht="15.75" customHeight="1">
      <c r="A69" s="146"/>
      <c r="B69" s="146"/>
      <c r="C69" s="146"/>
      <c r="D69" s="146"/>
      <c r="E69" s="146"/>
      <c r="F69" s="146"/>
      <c r="G69" s="146"/>
      <c r="H69" s="146"/>
      <c r="I69" s="146"/>
      <c r="J69" s="146"/>
      <c r="K69" s="146"/>
      <c r="L69" s="146"/>
      <c r="M69" s="146"/>
      <c r="N69" s="146"/>
      <c r="O69" s="146"/>
      <c r="P69" s="146"/>
      <c r="Q69" s="146"/>
      <c r="R69" s="146"/>
      <c r="S69" s="146"/>
      <c r="T69" s="146"/>
      <c r="U69" s="146"/>
      <c r="V69" s="146"/>
      <c r="W69" s="146"/>
      <c r="X69" s="146"/>
      <c r="Y69" s="146"/>
      <c r="Z69" s="146"/>
    </row>
    <row r="70" spans="1:26" ht="15.75" customHeight="1">
      <c r="A70" s="146"/>
      <c r="B70" s="146"/>
      <c r="C70" s="146"/>
      <c r="D70" s="146"/>
      <c r="E70" s="146"/>
      <c r="F70" s="146"/>
      <c r="G70" s="146"/>
      <c r="H70" s="146"/>
      <c r="I70" s="146"/>
      <c r="J70" s="146"/>
      <c r="K70" s="146"/>
      <c r="L70" s="146"/>
      <c r="M70" s="146"/>
      <c r="N70" s="146"/>
      <c r="O70" s="146"/>
      <c r="P70" s="146"/>
      <c r="Q70" s="146"/>
      <c r="R70" s="146"/>
      <c r="S70" s="146"/>
      <c r="T70" s="146"/>
      <c r="U70" s="146"/>
      <c r="V70" s="146"/>
      <c r="W70" s="146"/>
      <c r="X70" s="146"/>
      <c r="Y70" s="146"/>
      <c r="Z70" s="146"/>
    </row>
    <row r="71" spans="1:26" ht="15.75" customHeight="1">
      <c r="A71" s="146"/>
      <c r="B71" s="146"/>
      <c r="C71" s="146"/>
      <c r="D71" s="146"/>
      <c r="E71" s="146"/>
      <c r="F71" s="146"/>
      <c r="G71" s="146"/>
      <c r="H71" s="146"/>
      <c r="I71" s="146"/>
      <c r="J71" s="146"/>
      <c r="K71" s="146"/>
      <c r="L71" s="146"/>
      <c r="M71" s="146"/>
      <c r="N71" s="146"/>
      <c r="O71" s="146"/>
      <c r="P71" s="146"/>
      <c r="Q71" s="146"/>
      <c r="R71" s="146"/>
      <c r="S71" s="146"/>
      <c r="T71" s="146"/>
      <c r="U71" s="146"/>
      <c r="V71" s="146"/>
      <c r="W71" s="146"/>
      <c r="X71" s="146"/>
      <c r="Y71" s="146"/>
      <c r="Z71" s="146"/>
    </row>
    <row r="72" spans="1:26" ht="15.75" customHeight="1">
      <c r="A72" s="146"/>
      <c r="B72" s="146"/>
      <c r="C72" s="146"/>
      <c r="D72" s="146"/>
      <c r="E72" s="146"/>
      <c r="F72" s="146"/>
      <c r="G72" s="146"/>
      <c r="H72" s="146"/>
      <c r="I72" s="146"/>
      <c r="J72" s="146"/>
      <c r="K72" s="146"/>
      <c r="L72" s="146"/>
      <c r="M72" s="146"/>
      <c r="N72" s="146"/>
      <c r="O72" s="146"/>
      <c r="P72" s="146"/>
      <c r="Q72" s="146"/>
      <c r="R72" s="146"/>
      <c r="S72" s="146"/>
      <c r="T72" s="146"/>
      <c r="U72" s="146"/>
      <c r="V72" s="146"/>
      <c r="W72" s="146"/>
      <c r="X72" s="146"/>
      <c r="Y72" s="146"/>
      <c r="Z72" s="146"/>
    </row>
    <row r="73" spans="1:26" ht="15.75" customHeight="1">
      <c r="A73" s="146"/>
      <c r="B73" s="146"/>
      <c r="C73" s="146"/>
      <c r="D73" s="146"/>
      <c r="E73" s="146"/>
      <c r="F73" s="146"/>
      <c r="G73" s="146"/>
      <c r="H73" s="146"/>
      <c r="I73" s="146"/>
      <c r="J73" s="146"/>
      <c r="K73" s="146"/>
      <c r="L73" s="146"/>
      <c r="M73" s="146"/>
      <c r="N73" s="146"/>
      <c r="O73" s="146"/>
      <c r="P73" s="146"/>
      <c r="Q73" s="146"/>
      <c r="R73" s="146"/>
      <c r="S73" s="146"/>
      <c r="T73" s="146"/>
      <c r="U73" s="146"/>
      <c r="V73" s="146"/>
      <c r="W73" s="146"/>
      <c r="X73" s="146"/>
      <c r="Y73" s="146"/>
      <c r="Z73" s="146"/>
    </row>
    <row r="74" spans="1:26" ht="15.75" customHeight="1">
      <c r="A74" s="146"/>
      <c r="B74" s="146"/>
      <c r="C74" s="146"/>
      <c r="D74" s="146"/>
      <c r="E74" s="146"/>
      <c r="F74" s="146"/>
      <c r="G74" s="146"/>
      <c r="H74" s="146"/>
      <c r="I74" s="146"/>
      <c r="J74" s="146"/>
      <c r="K74" s="146"/>
      <c r="L74" s="146"/>
      <c r="M74" s="146"/>
      <c r="N74" s="146"/>
      <c r="O74" s="146"/>
      <c r="P74" s="146"/>
      <c r="Q74" s="146"/>
      <c r="R74" s="146"/>
      <c r="S74" s="146"/>
      <c r="T74" s="146"/>
      <c r="U74" s="146"/>
      <c r="V74" s="146"/>
      <c r="W74" s="146"/>
      <c r="X74" s="146"/>
      <c r="Y74" s="146"/>
      <c r="Z74" s="146"/>
    </row>
    <row r="75" spans="1:26" ht="15.75" customHeight="1">
      <c r="A75" s="146"/>
      <c r="B75" s="146"/>
      <c r="C75" s="146"/>
      <c r="D75" s="146"/>
      <c r="E75" s="146"/>
      <c r="F75" s="146"/>
      <c r="G75" s="146"/>
      <c r="H75" s="146"/>
      <c r="I75" s="146"/>
      <c r="J75" s="146"/>
      <c r="K75" s="146"/>
      <c r="L75" s="146"/>
      <c r="M75" s="146"/>
      <c r="N75" s="146"/>
      <c r="O75" s="146"/>
      <c r="P75" s="146"/>
      <c r="Q75" s="146"/>
      <c r="R75" s="146"/>
      <c r="S75" s="146"/>
      <c r="T75" s="146"/>
      <c r="U75" s="146"/>
      <c r="V75" s="146"/>
      <c r="W75" s="146"/>
      <c r="X75" s="146"/>
      <c r="Y75" s="146"/>
      <c r="Z75" s="146"/>
    </row>
    <row r="76" spans="1:26" ht="15.75" customHeight="1">
      <c r="A76" s="146"/>
      <c r="B76" s="146"/>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row>
    <row r="77" spans="1:26" ht="15.75" customHeight="1">
      <c r="A77" s="146"/>
      <c r="B77" s="146"/>
      <c r="C77" s="146"/>
      <c r="D77" s="146"/>
      <c r="E77" s="146"/>
      <c r="F77" s="146"/>
      <c r="G77" s="146"/>
      <c r="H77" s="146"/>
      <c r="I77" s="146"/>
      <c r="J77" s="146"/>
      <c r="K77" s="146"/>
      <c r="L77" s="146"/>
      <c r="M77" s="146"/>
      <c r="N77" s="146"/>
      <c r="O77" s="146"/>
      <c r="P77" s="146"/>
      <c r="Q77" s="146"/>
      <c r="R77" s="146"/>
      <c r="S77" s="146"/>
      <c r="T77" s="146"/>
      <c r="U77" s="146"/>
      <c r="V77" s="146"/>
      <c r="W77" s="146"/>
      <c r="X77" s="146"/>
      <c r="Y77" s="146"/>
      <c r="Z77" s="146"/>
    </row>
    <row r="78" spans="1:26" ht="15.75" customHeight="1">
      <c r="A78" s="146"/>
      <c r="B78" s="146"/>
      <c r="C78" s="146"/>
      <c r="D78" s="146"/>
      <c r="E78" s="146"/>
      <c r="F78" s="146"/>
      <c r="G78" s="146"/>
      <c r="H78" s="146"/>
      <c r="I78" s="146"/>
      <c r="J78" s="146"/>
      <c r="K78" s="146"/>
      <c r="L78" s="146"/>
      <c r="M78" s="146"/>
      <c r="N78" s="146"/>
      <c r="O78" s="146"/>
      <c r="P78" s="146"/>
      <c r="Q78" s="146"/>
      <c r="R78" s="146"/>
      <c r="S78" s="146"/>
      <c r="T78" s="146"/>
      <c r="U78" s="146"/>
      <c r="V78" s="146"/>
      <c r="W78" s="146"/>
      <c r="X78" s="146"/>
      <c r="Y78" s="146"/>
      <c r="Z78" s="146"/>
    </row>
    <row r="79" spans="1:26" ht="15.75" customHeight="1">
      <c r="A79" s="146"/>
      <c r="B79" s="146"/>
      <c r="C79" s="146"/>
      <c r="D79" s="146"/>
      <c r="E79" s="146"/>
      <c r="F79" s="146"/>
      <c r="G79" s="146"/>
      <c r="H79" s="146"/>
      <c r="I79" s="146"/>
      <c r="J79" s="146"/>
      <c r="K79" s="146"/>
      <c r="L79" s="146"/>
      <c r="M79" s="146"/>
      <c r="N79" s="146"/>
      <c r="O79" s="146"/>
      <c r="P79" s="146"/>
      <c r="Q79" s="146"/>
      <c r="R79" s="146"/>
      <c r="S79" s="146"/>
      <c r="T79" s="146"/>
      <c r="U79" s="146"/>
      <c r="V79" s="146"/>
      <c r="W79" s="146"/>
      <c r="X79" s="146"/>
      <c r="Y79" s="146"/>
      <c r="Z79" s="146"/>
    </row>
    <row r="80" spans="1:26" ht="15.75" customHeight="1">
      <c r="A80" s="146"/>
      <c r="B80" s="146"/>
      <c r="C80" s="146"/>
      <c r="D80" s="146"/>
      <c r="E80" s="146"/>
      <c r="F80" s="146"/>
      <c r="G80" s="146"/>
      <c r="H80" s="146"/>
      <c r="I80" s="146"/>
      <c r="J80" s="146"/>
      <c r="K80" s="146"/>
      <c r="L80" s="146"/>
      <c r="M80" s="146"/>
      <c r="N80" s="146"/>
      <c r="O80" s="146"/>
      <c r="P80" s="146"/>
      <c r="Q80" s="146"/>
      <c r="R80" s="146"/>
      <c r="S80" s="146"/>
      <c r="T80" s="146"/>
      <c r="U80" s="146"/>
      <c r="V80" s="146"/>
      <c r="W80" s="146"/>
      <c r="X80" s="146"/>
      <c r="Y80" s="146"/>
      <c r="Z80" s="146"/>
    </row>
    <row r="81" spans="1:26" ht="15.75" customHeight="1">
      <c r="A81" s="146"/>
      <c r="B81" s="146"/>
      <c r="C81" s="146"/>
      <c r="D81" s="146"/>
      <c r="E81" s="146"/>
      <c r="F81" s="146"/>
      <c r="G81" s="146"/>
      <c r="H81" s="146"/>
      <c r="I81" s="146"/>
      <c r="J81" s="146"/>
      <c r="K81" s="146"/>
      <c r="L81" s="146"/>
      <c r="M81" s="146"/>
      <c r="N81" s="146"/>
      <c r="O81" s="146"/>
      <c r="P81" s="146"/>
      <c r="Q81" s="146"/>
      <c r="R81" s="146"/>
      <c r="S81" s="146"/>
      <c r="T81" s="146"/>
      <c r="U81" s="146"/>
      <c r="V81" s="146"/>
      <c r="W81" s="146"/>
      <c r="X81" s="146"/>
      <c r="Y81" s="146"/>
      <c r="Z81" s="146"/>
    </row>
    <row r="82" spans="1:26" ht="15.75" customHeight="1">
      <c r="A82" s="146"/>
      <c r="B82" s="146"/>
      <c r="C82" s="146"/>
      <c r="D82" s="146"/>
      <c r="E82" s="146"/>
      <c r="F82" s="146"/>
      <c r="G82" s="146"/>
      <c r="H82" s="146"/>
      <c r="I82" s="146"/>
      <c r="J82" s="146"/>
      <c r="K82" s="146"/>
      <c r="L82" s="146"/>
      <c r="M82" s="146"/>
      <c r="N82" s="146"/>
      <c r="O82" s="146"/>
      <c r="P82" s="146"/>
      <c r="Q82" s="146"/>
      <c r="R82" s="146"/>
      <c r="S82" s="146"/>
      <c r="T82" s="146"/>
      <c r="U82" s="146"/>
      <c r="V82" s="146"/>
      <c r="W82" s="146"/>
      <c r="X82" s="146"/>
      <c r="Y82" s="146"/>
      <c r="Z82" s="146"/>
    </row>
    <row r="83" spans="1:26" ht="15.75" customHeight="1">
      <c r="A83" s="146"/>
      <c r="B83" s="146"/>
      <c r="C83" s="146"/>
      <c r="D83" s="146"/>
      <c r="E83" s="146"/>
      <c r="F83" s="146"/>
      <c r="G83" s="146"/>
      <c r="H83" s="146"/>
      <c r="I83" s="146"/>
      <c r="J83" s="146"/>
      <c r="K83" s="146"/>
      <c r="L83" s="146"/>
      <c r="M83" s="146"/>
      <c r="N83" s="146"/>
      <c r="O83" s="146"/>
      <c r="P83" s="146"/>
      <c r="Q83" s="146"/>
      <c r="R83" s="146"/>
      <c r="S83" s="146"/>
      <c r="T83" s="146"/>
      <c r="U83" s="146"/>
      <c r="V83" s="146"/>
      <c r="W83" s="146"/>
      <c r="X83" s="146"/>
      <c r="Y83" s="146"/>
      <c r="Z83" s="146"/>
    </row>
    <row r="84" spans="1:26" ht="15.75" customHeight="1">
      <c r="A84" s="146"/>
      <c r="B84" s="146"/>
      <c r="C84" s="146"/>
      <c r="D84" s="146"/>
      <c r="E84" s="146"/>
      <c r="F84" s="146"/>
      <c r="G84" s="146"/>
      <c r="H84" s="146"/>
      <c r="I84" s="146"/>
      <c r="J84" s="146"/>
      <c r="K84" s="146"/>
      <c r="L84" s="146"/>
      <c r="M84" s="146"/>
      <c r="N84" s="146"/>
      <c r="O84" s="146"/>
      <c r="P84" s="146"/>
      <c r="Q84" s="146"/>
      <c r="R84" s="146"/>
      <c r="S84" s="146"/>
      <c r="T84" s="146"/>
      <c r="U84" s="146"/>
      <c r="V84" s="146"/>
      <c r="W84" s="146"/>
      <c r="X84" s="146"/>
      <c r="Y84" s="146"/>
      <c r="Z84" s="146"/>
    </row>
    <row r="85" spans="1:26" ht="15.75" customHeight="1">
      <c r="A85" s="146"/>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row>
    <row r="86" spans="1:26" ht="15.75" customHeight="1">
      <c r="A86" s="146"/>
      <c r="B86" s="146"/>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row>
    <row r="87" spans="1:26" ht="15.75" customHeight="1">
      <c r="A87" s="146"/>
      <c r="B87" s="146"/>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row>
    <row r="88" spans="1:26" ht="15.75" customHeight="1">
      <c r="A88" s="146"/>
      <c r="B88" s="146"/>
      <c r="C88" s="146"/>
      <c r="D88" s="146"/>
      <c r="E88" s="146"/>
      <c r="F88" s="146"/>
      <c r="G88" s="146"/>
      <c r="H88" s="146"/>
      <c r="I88" s="146"/>
      <c r="J88" s="146"/>
      <c r="K88" s="146"/>
      <c r="L88" s="146"/>
      <c r="M88" s="146"/>
      <c r="N88" s="146"/>
      <c r="O88" s="146"/>
      <c r="P88" s="146"/>
      <c r="Q88" s="146"/>
      <c r="R88" s="146"/>
      <c r="S88" s="146"/>
      <c r="T88" s="146"/>
      <c r="U88" s="146"/>
      <c r="V88" s="146"/>
      <c r="W88" s="146"/>
      <c r="X88" s="146"/>
      <c r="Y88" s="146"/>
      <c r="Z88" s="146"/>
    </row>
    <row r="89" spans="1:26" ht="15.75" customHeight="1">
      <c r="A89" s="146"/>
      <c r="B89" s="146"/>
      <c r="C89" s="146"/>
      <c r="D89" s="146"/>
      <c r="E89" s="146"/>
      <c r="F89" s="146"/>
      <c r="G89" s="146"/>
      <c r="H89" s="146"/>
      <c r="I89" s="146"/>
      <c r="J89" s="146"/>
      <c r="K89" s="146"/>
      <c r="L89" s="146"/>
      <c r="M89" s="146"/>
      <c r="N89" s="146"/>
      <c r="O89" s="146"/>
      <c r="P89" s="146"/>
      <c r="Q89" s="146"/>
      <c r="R89" s="146"/>
      <c r="S89" s="146"/>
      <c r="T89" s="146"/>
      <c r="U89" s="146"/>
      <c r="V89" s="146"/>
      <c r="W89" s="146"/>
      <c r="X89" s="146"/>
      <c r="Y89" s="146"/>
      <c r="Z89" s="146"/>
    </row>
    <row r="90" spans="1:26" ht="15.75" customHeight="1">
      <c r="A90" s="146"/>
      <c r="B90" s="146"/>
      <c r="C90" s="146"/>
      <c r="D90" s="146"/>
      <c r="E90" s="146"/>
      <c r="F90" s="146"/>
      <c r="G90" s="146"/>
      <c r="H90" s="146"/>
      <c r="I90" s="146"/>
      <c r="J90" s="146"/>
      <c r="K90" s="146"/>
      <c r="L90" s="146"/>
      <c r="M90" s="146"/>
      <c r="N90" s="146"/>
      <c r="O90" s="146"/>
      <c r="P90" s="146"/>
      <c r="Q90" s="146"/>
      <c r="R90" s="146"/>
      <c r="S90" s="146"/>
      <c r="T90" s="146"/>
      <c r="U90" s="146"/>
      <c r="V90" s="146"/>
      <c r="W90" s="146"/>
      <c r="X90" s="146"/>
      <c r="Y90" s="146"/>
      <c r="Z90" s="146"/>
    </row>
    <row r="91" spans="1:26" ht="15.75" customHeight="1">
      <c r="A91" s="146"/>
      <c r="B91" s="146"/>
      <c r="C91" s="146"/>
      <c r="D91" s="146"/>
      <c r="E91" s="146"/>
      <c r="F91" s="146"/>
      <c r="G91" s="146"/>
      <c r="H91" s="146"/>
      <c r="I91" s="146"/>
      <c r="J91" s="146"/>
      <c r="K91" s="146"/>
      <c r="L91" s="146"/>
      <c r="M91" s="146"/>
      <c r="N91" s="146"/>
      <c r="O91" s="146"/>
      <c r="P91" s="146"/>
      <c r="Q91" s="146"/>
      <c r="R91" s="146"/>
      <c r="S91" s="146"/>
      <c r="T91" s="146"/>
      <c r="U91" s="146"/>
      <c r="V91" s="146"/>
      <c r="W91" s="146"/>
      <c r="X91" s="146"/>
      <c r="Y91" s="146"/>
      <c r="Z91" s="146"/>
    </row>
    <row r="92" spans="1:26" ht="15.75" customHeight="1">
      <c r="A92" s="146"/>
      <c r="B92" s="146"/>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row>
    <row r="93" spans="1:26" ht="15.75" customHeight="1">
      <c r="A93" s="146"/>
      <c r="B93" s="146"/>
      <c r="C93" s="146"/>
      <c r="D93" s="146"/>
      <c r="E93" s="146"/>
      <c r="F93" s="146"/>
      <c r="G93" s="146"/>
      <c r="H93" s="146"/>
      <c r="I93" s="146"/>
      <c r="J93" s="146"/>
      <c r="K93" s="146"/>
      <c r="L93" s="146"/>
      <c r="M93" s="146"/>
      <c r="N93" s="146"/>
      <c r="O93" s="146"/>
      <c r="P93" s="146"/>
      <c r="Q93" s="146"/>
      <c r="R93" s="146"/>
      <c r="S93" s="146"/>
      <c r="T93" s="146"/>
      <c r="U93" s="146"/>
      <c r="V93" s="146"/>
      <c r="W93" s="146"/>
      <c r="X93" s="146"/>
      <c r="Y93" s="146"/>
      <c r="Z93" s="146"/>
    </row>
    <row r="94" spans="1:26" ht="15.75" customHeight="1">
      <c r="A94" s="146"/>
      <c r="B94" s="146"/>
      <c r="C94" s="146"/>
      <c r="D94" s="146"/>
      <c r="E94" s="146"/>
      <c r="F94" s="146"/>
      <c r="G94" s="146"/>
      <c r="H94" s="146"/>
      <c r="I94" s="146"/>
      <c r="J94" s="146"/>
      <c r="K94" s="146"/>
      <c r="L94" s="146"/>
      <c r="M94" s="146"/>
      <c r="N94" s="146"/>
      <c r="O94" s="146"/>
      <c r="P94" s="146"/>
      <c r="Q94" s="146"/>
      <c r="R94" s="146"/>
      <c r="S94" s="146"/>
      <c r="T94" s="146"/>
      <c r="U94" s="146"/>
      <c r="V94" s="146"/>
      <c r="W94" s="146"/>
      <c r="X94" s="146"/>
      <c r="Y94" s="146"/>
      <c r="Z94" s="146"/>
    </row>
    <row r="95" spans="1:26" ht="15.75" customHeight="1">
      <c r="A95" s="146"/>
      <c r="B95" s="146"/>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row>
    <row r="96" spans="1:26" ht="15.75" customHeight="1">
      <c r="A96" s="146"/>
      <c r="B96" s="146"/>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row>
    <row r="97" spans="1:26" ht="15.75" customHeight="1">
      <c r="A97" s="146"/>
      <c r="B97" s="146"/>
      <c r="C97" s="146"/>
      <c r="D97" s="146"/>
      <c r="E97" s="146"/>
      <c r="F97" s="146"/>
      <c r="G97" s="146"/>
      <c r="H97" s="146"/>
      <c r="I97" s="146"/>
      <c r="J97" s="146"/>
      <c r="K97" s="146"/>
      <c r="L97" s="146"/>
      <c r="M97" s="146"/>
      <c r="N97" s="146"/>
      <c r="O97" s="146"/>
      <c r="P97" s="146"/>
      <c r="Q97" s="146"/>
      <c r="R97" s="146"/>
      <c r="S97" s="146"/>
      <c r="T97" s="146"/>
      <c r="U97" s="146"/>
      <c r="V97" s="146"/>
      <c r="W97" s="146"/>
      <c r="X97" s="146"/>
      <c r="Y97" s="146"/>
      <c r="Z97" s="146"/>
    </row>
    <row r="98" spans="1:26" ht="15.75" customHeight="1">
      <c r="A98" s="146"/>
      <c r="B98" s="146"/>
      <c r="C98" s="146"/>
      <c r="D98" s="146"/>
      <c r="E98" s="146"/>
      <c r="F98" s="146"/>
      <c r="G98" s="146"/>
      <c r="H98" s="146"/>
      <c r="I98" s="146"/>
      <c r="J98" s="146"/>
      <c r="K98" s="146"/>
      <c r="L98" s="146"/>
      <c r="M98" s="146"/>
      <c r="N98" s="146"/>
      <c r="O98" s="146"/>
      <c r="P98" s="146"/>
      <c r="Q98" s="146"/>
      <c r="R98" s="146"/>
      <c r="S98" s="146"/>
      <c r="T98" s="146"/>
      <c r="U98" s="146"/>
      <c r="V98" s="146"/>
      <c r="W98" s="146"/>
      <c r="X98" s="146"/>
      <c r="Y98" s="146"/>
      <c r="Z98" s="146"/>
    </row>
    <row r="99" spans="1:26" ht="15.75" customHeight="1">
      <c r="A99" s="146"/>
      <c r="B99" s="146"/>
      <c r="C99" s="146"/>
      <c r="D99" s="146"/>
      <c r="E99" s="146"/>
      <c r="F99" s="146"/>
      <c r="G99" s="146"/>
      <c r="H99" s="146"/>
      <c r="I99" s="146"/>
      <c r="J99" s="146"/>
      <c r="K99" s="146"/>
      <c r="L99" s="146"/>
      <c r="M99" s="146"/>
      <c r="N99" s="146"/>
      <c r="O99" s="146"/>
      <c r="P99" s="146"/>
      <c r="Q99" s="146"/>
      <c r="R99" s="146"/>
      <c r="S99" s="146"/>
      <c r="T99" s="146"/>
      <c r="U99" s="146"/>
      <c r="V99" s="146"/>
      <c r="W99" s="146"/>
      <c r="X99" s="146"/>
      <c r="Y99" s="146"/>
      <c r="Z99" s="146"/>
    </row>
    <row r="100" spans="1:26" ht="15.75" customHeight="1">
      <c r="A100" s="146"/>
      <c r="B100" s="146"/>
      <c r="C100" s="146"/>
      <c r="D100" s="146"/>
      <c r="E100" s="146"/>
      <c r="F100" s="146"/>
      <c r="G100" s="146"/>
      <c r="H100" s="146"/>
      <c r="I100" s="146"/>
      <c r="J100" s="146"/>
      <c r="K100" s="146"/>
      <c r="L100" s="146"/>
      <c r="M100" s="146"/>
      <c r="N100" s="146"/>
      <c r="O100" s="146"/>
      <c r="P100" s="146"/>
      <c r="Q100" s="146"/>
      <c r="R100" s="146"/>
      <c r="S100" s="146"/>
      <c r="T100" s="146"/>
      <c r="U100" s="146"/>
      <c r="V100" s="146"/>
      <c r="W100" s="146"/>
      <c r="X100" s="146"/>
      <c r="Y100" s="146"/>
      <c r="Z100" s="146"/>
    </row>
    <row r="101" spans="1:26" ht="15.75" customHeight="1">
      <c r="A101" s="146"/>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146"/>
      <c r="X101" s="146"/>
      <c r="Y101" s="146"/>
      <c r="Z101" s="146"/>
    </row>
    <row r="102" spans="1:26" ht="15.75" customHeight="1">
      <c r="A102" s="146"/>
      <c r="B102" s="146"/>
      <c r="C102" s="146"/>
      <c r="D102" s="146"/>
      <c r="E102" s="146"/>
      <c r="F102" s="146"/>
      <c r="G102" s="146"/>
      <c r="H102" s="146"/>
      <c r="I102" s="146"/>
      <c r="J102" s="146"/>
      <c r="K102" s="146"/>
      <c r="L102" s="146"/>
      <c r="M102" s="146"/>
      <c r="N102" s="146"/>
      <c r="O102" s="146"/>
      <c r="P102" s="146"/>
      <c r="Q102" s="146"/>
      <c r="R102" s="146"/>
      <c r="S102" s="146"/>
      <c r="T102" s="146"/>
      <c r="U102" s="146"/>
      <c r="V102" s="146"/>
      <c r="W102" s="146"/>
      <c r="X102" s="146"/>
      <c r="Y102" s="146"/>
      <c r="Z102" s="146"/>
    </row>
    <row r="103" spans="1:26" ht="15.75" customHeight="1">
      <c r="A103" s="146"/>
      <c r="B103" s="146"/>
      <c r="C103" s="146"/>
      <c r="D103" s="146"/>
      <c r="E103" s="146"/>
      <c r="F103" s="146"/>
      <c r="G103" s="146"/>
      <c r="H103" s="146"/>
      <c r="I103" s="146"/>
      <c r="J103" s="146"/>
      <c r="K103" s="146"/>
      <c r="L103" s="146"/>
      <c r="M103" s="146"/>
      <c r="N103" s="146"/>
      <c r="O103" s="146"/>
      <c r="P103" s="146"/>
      <c r="Q103" s="146"/>
      <c r="R103" s="146"/>
      <c r="S103" s="146"/>
      <c r="T103" s="146"/>
      <c r="U103" s="146"/>
      <c r="V103" s="146"/>
      <c r="W103" s="146"/>
      <c r="X103" s="146"/>
      <c r="Y103" s="146"/>
      <c r="Z103" s="146"/>
    </row>
    <row r="104" spans="1:26" ht="15.75" customHeight="1">
      <c r="A104" s="146"/>
      <c r="B104" s="146"/>
      <c r="C104" s="146"/>
      <c r="D104" s="146"/>
      <c r="E104" s="146"/>
      <c r="F104" s="146"/>
      <c r="G104" s="146"/>
      <c r="H104" s="146"/>
      <c r="I104" s="146"/>
      <c r="J104" s="146"/>
      <c r="K104" s="146"/>
      <c r="L104" s="146"/>
      <c r="M104" s="146"/>
      <c r="N104" s="146"/>
      <c r="O104" s="146"/>
      <c r="P104" s="146"/>
      <c r="Q104" s="146"/>
      <c r="R104" s="146"/>
      <c r="S104" s="146"/>
      <c r="T104" s="146"/>
      <c r="U104" s="146"/>
      <c r="V104" s="146"/>
      <c r="W104" s="146"/>
      <c r="X104" s="146"/>
      <c r="Y104" s="146"/>
      <c r="Z104" s="146"/>
    </row>
    <row r="105" spans="1:26" ht="15.75" customHeight="1">
      <c r="A105" s="146"/>
      <c r="B105" s="146"/>
      <c r="C105" s="146"/>
      <c r="D105" s="146"/>
      <c r="E105" s="146"/>
      <c r="F105" s="146"/>
      <c r="G105" s="146"/>
      <c r="H105" s="146"/>
      <c r="I105" s="146"/>
      <c r="J105" s="146"/>
      <c r="K105" s="146"/>
      <c r="L105" s="146"/>
      <c r="M105" s="146"/>
      <c r="N105" s="146"/>
      <c r="O105" s="146"/>
      <c r="P105" s="146"/>
      <c r="Q105" s="146"/>
      <c r="R105" s="146"/>
      <c r="S105" s="146"/>
      <c r="T105" s="146"/>
      <c r="U105" s="146"/>
      <c r="V105" s="146"/>
      <c r="W105" s="146"/>
      <c r="X105" s="146"/>
      <c r="Y105" s="146"/>
      <c r="Z105" s="146"/>
    </row>
    <row r="106" spans="1:26" ht="15.75" customHeight="1">
      <c r="A106" s="146"/>
      <c r="B106" s="146"/>
      <c r="C106" s="146"/>
      <c r="D106" s="146"/>
      <c r="E106" s="146"/>
      <c r="F106" s="146"/>
      <c r="G106" s="146"/>
      <c r="H106" s="146"/>
      <c r="I106" s="146"/>
      <c r="J106" s="146"/>
      <c r="K106" s="146"/>
      <c r="L106" s="146"/>
      <c r="M106" s="146"/>
      <c r="N106" s="146"/>
      <c r="O106" s="146"/>
      <c r="P106" s="146"/>
      <c r="Q106" s="146"/>
      <c r="R106" s="146"/>
      <c r="S106" s="146"/>
      <c r="T106" s="146"/>
      <c r="U106" s="146"/>
      <c r="V106" s="146"/>
      <c r="W106" s="146"/>
      <c r="X106" s="146"/>
      <c r="Y106" s="146"/>
      <c r="Z106" s="146"/>
    </row>
    <row r="107" spans="1:26" ht="15.75" customHeight="1">
      <c r="A107" s="146"/>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146"/>
      <c r="X107" s="146"/>
      <c r="Y107" s="146"/>
      <c r="Z107" s="146"/>
    </row>
    <row r="108" spans="1:26" ht="15.75" customHeight="1">
      <c r="A108" s="146"/>
      <c r="B108" s="146"/>
      <c r="C108" s="146"/>
      <c r="D108" s="146"/>
      <c r="E108" s="146"/>
      <c r="F108" s="146"/>
      <c r="G108" s="146"/>
      <c r="H108" s="146"/>
      <c r="I108" s="146"/>
      <c r="J108" s="146"/>
      <c r="K108" s="146"/>
      <c r="L108" s="146"/>
      <c r="M108" s="146"/>
      <c r="N108" s="146"/>
      <c r="O108" s="146"/>
      <c r="P108" s="146"/>
      <c r="Q108" s="146"/>
      <c r="R108" s="146"/>
      <c r="S108" s="146"/>
      <c r="T108" s="146"/>
      <c r="U108" s="146"/>
      <c r="V108" s="146"/>
      <c r="W108" s="146"/>
      <c r="X108" s="146"/>
      <c r="Y108" s="146"/>
      <c r="Z108" s="146"/>
    </row>
    <row r="109" spans="1:26" ht="15.75" customHeight="1">
      <c r="A109" s="146"/>
      <c r="B109" s="146"/>
      <c r="C109" s="146"/>
      <c r="D109" s="146"/>
      <c r="E109" s="146"/>
      <c r="F109" s="146"/>
      <c r="G109" s="146"/>
      <c r="H109" s="146"/>
      <c r="I109" s="146"/>
      <c r="J109" s="146"/>
      <c r="K109" s="146"/>
      <c r="L109" s="146"/>
      <c r="M109" s="146"/>
      <c r="N109" s="146"/>
      <c r="O109" s="146"/>
      <c r="P109" s="146"/>
      <c r="Q109" s="146"/>
      <c r="R109" s="146"/>
      <c r="S109" s="146"/>
      <c r="T109" s="146"/>
      <c r="U109" s="146"/>
      <c r="V109" s="146"/>
      <c r="W109" s="146"/>
      <c r="X109" s="146"/>
      <c r="Y109" s="146"/>
      <c r="Z109" s="146"/>
    </row>
    <row r="110" spans="1:26" ht="15.75" customHeight="1">
      <c r="A110" s="146"/>
      <c r="B110" s="146"/>
      <c r="C110" s="146"/>
      <c r="D110" s="146"/>
      <c r="E110" s="146"/>
      <c r="F110" s="146"/>
      <c r="G110" s="146"/>
      <c r="H110" s="146"/>
      <c r="I110" s="146"/>
      <c r="J110" s="146"/>
      <c r="K110" s="146"/>
      <c r="L110" s="146"/>
      <c r="M110" s="146"/>
      <c r="N110" s="146"/>
      <c r="O110" s="146"/>
      <c r="P110" s="146"/>
      <c r="Q110" s="146"/>
      <c r="R110" s="146"/>
      <c r="S110" s="146"/>
      <c r="T110" s="146"/>
      <c r="U110" s="146"/>
      <c r="V110" s="146"/>
      <c r="W110" s="146"/>
      <c r="X110" s="146"/>
      <c r="Y110" s="146"/>
      <c r="Z110" s="146"/>
    </row>
    <row r="111" spans="1:26" ht="15.75" customHeight="1">
      <c r="A111" s="146"/>
      <c r="B111" s="146"/>
      <c r="C111" s="146"/>
      <c r="D111" s="146"/>
      <c r="E111" s="146"/>
      <c r="F111" s="146"/>
      <c r="G111" s="146"/>
      <c r="H111" s="146"/>
      <c r="I111" s="146"/>
      <c r="J111" s="146"/>
      <c r="K111" s="146"/>
      <c r="L111" s="146"/>
      <c r="M111" s="146"/>
      <c r="N111" s="146"/>
      <c r="O111" s="146"/>
      <c r="P111" s="146"/>
      <c r="Q111" s="146"/>
      <c r="R111" s="146"/>
      <c r="S111" s="146"/>
      <c r="T111" s="146"/>
      <c r="U111" s="146"/>
      <c r="V111" s="146"/>
      <c r="W111" s="146"/>
      <c r="X111" s="146"/>
      <c r="Y111" s="146"/>
      <c r="Z111" s="146"/>
    </row>
    <row r="112" spans="1:26" ht="15.75" customHeight="1">
      <c r="A112" s="146"/>
      <c r="B112" s="146"/>
      <c r="C112" s="146"/>
      <c r="D112" s="146"/>
      <c r="E112" s="146"/>
      <c r="F112" s="146"/>
      <c r="G112" s="146"/>
      <c r="H112" s="146"/>
      <c r="I112" s="146"/>
      <c r="J112" s="146"/>
      <c r="K112" s="146"/>
      <c r="L112" s="146"/>
      <c r="M112" s="146"/>
      <c r="N112" s="146"/>
      <c r="O112" s="146"/>
      <c r="P112" s="146"/>
      <c r="Q112" s="146"/>
      <c r="R112" s="146"/>
      <c r="S112" s="146"/>
      <c r="T112" s="146"/>
      <c r="U112" s="146"/>
      <c r="V112" s="146"/>
      <c r="W112" s="146"/>
      <c r="X112" s="146"/>
      <c r="Y112" s="146"/>
      <c r="Z112" s="146"/>
    </row>
    <row r="113" spans="1:26" ht="15.75" customHeight="1">
      <c r="A113" s="146"/>
      <c r="B113" s="146"/>
      <c r="C113" s="146"/>
      <c r="D113" s="146"/>
      <c r="E113" s="146"/>
      <c r="F113" s="146"/>
      <c r="G113" s="146"/>
      <c r="H113" s="146"/>
      <c r="I113" s="146"/>
      <c r="J113" s="146"/>
      <c r="K113" s="146"/>
      <c r="L113" s="146"/>
      <c r="M113" s="146"/>
      <c r="N113" s="146"/>
      <c r="O113" s="146"/>
      <c r="P113" s="146"/>
      <c r="Q113" s="146"/>
      <c r="R113" s="146"/>
      <c r="S113" s="146"/>
      <c r="T113" s="146"/>
      <c r="U113" s="146"/>
      <c r="V113" s="146"/>
      <c r="W113" s="146"/>
      <c r="X113" s="146"/>
      <c r="Y113" s="146"/>
      <c r="Z113" s="146"/>
    </row>
    <row r="114" spans="1:26" ht="15.75" customHeight="1">
      <c r="A114" s="146"/>
      <c r="B114" s="146"/>
      <c r="C114" s="146"/>
      <c r="D114" s="146"/>
      <c r="E114" s="146"/>
      <c r="F114" s="146"/>
      <c r="G114" s="146"/>
      <c r="H114" s="146"/>
      <c r="I114" s="146"/>
      <c r="J114" s="146"/>
      <c r="K114" s="146"/>
      <c r="L114" s="146"/>
      <c r="M114" s="146"/>
      <c r="N114" s="146"/>
      <c r="O114" s="146"/>
      <c r="P114" s="146"/>
      <c r="Q114" s="146"/>
      <c r="R114" s="146"/>
      <c r="S114" s="146"/>
      <c r="T114" s="146"/>
      <c r="U114" s="146"/>
      <c r="V114" s="146"/>
      <c r="W114" s="146"/>
      <c r="X114" s="146"/>
      <c r="Y114" s="146"/>
      <c r="Z114" s="146"/>
    </row>
    <row r="115" spans="1:26" ht="15.75" customHeight="1">
      <c r="A115" s="146"/>
      <c r="B115" s="146"/>
      <c r="C115" s="146"/>
      <c r="D115" s="146"/>
      <c r="E115" s="146"/>
      <c r="F115" s="146"/>
      <c r="G115" s="146"/>
      <c r="H115" s="146"/>
      <c r="I115" s="146"/>
      <c r="J115" s="146"/>
      <c r="K115" s="146"/>
      <c r="L115" s="146"/>
      <c r="M115" s="146"/>
      <c r="N115" s="146"/>
      <c r="O115" s="146"/>
      <c r="P115" s="146"/>
      <c r="Q115" s="146"/>
      <c r="R115" s="146"/>
      <c r="S115" s="146"/>
      <c r="T115" s="146"/>
      <c r="U115" s="146"/>
      <c r="V115" s="146"/>
      <c r="W115" s="146"/>
      <c r="X115" s="146"/>
      <c r="Y115" s="146"/>
      <c r="Z115" s="146"/>
    </row>
    <row r="116" spans="1:26" ht="15.75" customHeight="1">
      <c r="A116" s="146"/>
      <c r="B116" s="146"/>
      <c r="C116" s="146"/>
      <c r="D116" s="146"/>
      <c r="E116" s="146"/>
      <c r="F116" s="146"/>
      <c r="G116" s="146"/>
      <c r="H116" s="146"/>
      <c r="I116" s="146"/>
      <c r="J116" s="146"/>
      <c r="K116" s="146"/>
      <c r="L116" s="146"/>
      <c r="M116" s="146"/>
      <c r="N116" s="146"/>
      <c r="O116" s="146"/>
      <c r="P116" s="146"/>
      <c r="Q116" s="146"/>
      <c r="R116" s="146"/>
      <c r="S116" s="146"/>
      <c r="T116" s="146"/>
      <c r="U116" s="146"/>
      <c r="V116" s="146"/>
      <c r="W116" s="146"/>
      <c r="X116" s="146"/>
      <c r="Y116" s="146"/>
      <c r="Z116" s="146"/>
    </row>
    <row r="117" spans="1:26" ht="15.75" customHeight="1">
      <c r="A117" s="146"/>
      <c r="B117" s="146"/>
      <c r="C117" s="146"/>
      <c r="D117" s="146"/>
      <c r="E117" s="146"/>
      <c r="F117" s="146"/>
      <c r="G117" s="146"/>
      <c r="H117" s="146"/>
      <c r="I117" s="146"/>
      <c r="J117" s="146"/>
      <c r="K117" s="146"/>
      <c r="L117" s="146"/>
      <c r="M117" s="146"/>
      <c r="N117" s="146"/>
      <c r="O117" s="146"/>
      <c r="P117" s="146"/>
      <c r="Q117" s="146"/>
      <c r="R117" s="146"/>
      <c r="S117" s="146"/>
      <c r="T117" s="146"/>
      <c r="U117" s="146"/>
      <c r="V117" s="146"/>
      <c r="W117" s="146"/>
      <c r="X117" s="146"/>
      <c r="Y117" s="146"/>
      <c r="Z117" s="146"/>
    </row>
    <row r="118" spans="1:26" ht="15.75" customHeight="1">
      <c r="A118" s="146"/>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row>
    <row r="119" spans="1:26" ht="15.75" customHeight="1">
      <c r="A119" s="146"/>
      <c r="B119" s="146"/>
      <c r="C119" s="146"/>
      <c r="D119" s="146"/>
      <c r="E119" s="146"/>
      <c r="F119" s="146"/>
      <c r="G119" s="146"/>
      <c r="H119" s="146"/>
      <c r="I119" s="146"/>
      <c r="J119" s="146"/>
      <c r="K119" s="146"/>
      <c r="L119" s="146"/>
      <c r="M119" s="146"/>
      <c r="N119" s="146"/>
      <c r="O119" s="146"/>
      <c r="P119" s="146"/>
      <c r="Q119" s="146"/>
      <c r="R119" s="146"/>
      <c r="S119" s="146"/>
      <c r="T119" s="146"/>
      <c r="U119" s="146"/>
      <c r="V119" s="146"/>
      <c r="W119" s="146"/>
      <c r="X119" s="146"/>
      <c r="Y119" s="146"/>
      <c r="Z119" s="146"/>
    </row>
    <row r="120" spans="1:26" ht="15.75" customHeight="1">
      <c r="A120" s="146"/>
      <c r="B120" s="146"/>
      <c r="C120" s="146"/>
      <c r="D120" s="146"/>
      <c r="E120" s="146"/>
      <c r="F120" s="146"/>
      <c r="G120" s="146"/>
      <c r="H120" s="146"/>
      <c r="I120" s="146"/>
      <c r="J120" s="146"/>
      <c r="K120" s="146"/>
      <c r="L120" s="146"/>
      <c r="M120" s="146"/>
      <c r="N120" s="146"/>
      <c r="O120" s="146"/>
      <c r="P120" s="146"/>
      <c r="Q120" s="146"/>
      <c r="R120" s="146"/>
      <c r="S120" s="146"/>
      <c r="T120" s="146"/>
      <c r="U120" s="146"/>
      <c r="V120" s="146"/>
      <c r="W120" s="146"/>
      <c r="X120" s="146"/>
      <c r="Y120" s="146"/>
      <c r="Z120" s="146"/>
    </row>
    <row r="121" spans="1:26" ht="15.75" customHeight="1">
      <c r="A121" s="146"/>
      <c r="B121" s="146"/>
      <c r="C121" s="146"/>
      <c r="D121" s="146"/>
      <c r="E121" s="146"/>
      <c r="F121" s="146"/>
      <c r="G121" s="146"/>
      <c r="H121" s="146"/>
      <c r="I121" s="146"/>
      <c r="J121" s="146"/>
      <c r="K121" s="146"/>
      <c r="L121" s="146"/>
      <c r="M121" s="146"/>
      <c r="N121" s="146"/>
      <c r="O121" s="146"/>
      <c r="P121" s="146"/>
      <c r="Q121" s="146"/>
      <c r="R121" s="146"/>
      <c r="S121" s="146"/>
      <c r="T121" s="146"/>
      <c r="U121" s="146"/>
      <c r="V121" s="146"/>
      <c r="W121" s="146"/>
      <c r="X121" s="146"/>
      <c r="Y121" s="146"/>
      <c r="Z121" s="146"/>
    </row>
    <row r="122" spans="1:26" ht="15.75" customHeight="1">
      <c r="A122" s="146"/>
      <c r="B122" s="146"/>
      <c r="C122" s="146"/>
      <c r="D122" s="146"/>
      <c r="E122" s="146"/>
      <c r="F122" s="146"/>
      <c r="G122" s="146"/>
      <c r="H122" s="146"/>
      <c r="I122" s="146"/>
      <c r="J122" s="146"/>
      <c r="K122" s="146"/>
      <c r="L122" s="146"/>
      <c r="M122" s="146"/>
      <c r="N122" s="146"/>
      <c r="O122" s="146"/>
      <c r="P122" s="146"/>
      <c r="Q122" s="146"/>
      <c r="R122" s="146"/>
      <c r="S122" s="146"/>
      <c r="T122" s="146"/>
      <c r="U122" s="146"/>
      <c r="V122" s="146"/>
      <c r="W122" s="146"/>
      <c r="X122" s="146"/>
      <c r="Y122" s="146"/>
      <c r="Z122" s="146"/>
    </row>
    <row r="123" spans="1:26" ht="15.75" customHeight="1">
      <c r="A123" s="146"/>
      <c r="B123" s="146"/>
      <c r="C123" s="146"/>
      <c r="D123" s="146"/>
      <c r="E123" s="146"/>
      <c r="F123" s="146"/>
      <c r="G123" s="146"/>
      <c r="H123" s="146"/>
      <c r="I123" s="146"/>
      <c r="J123" s="146"/>
      <c r="K123" s="146"/>
      <c r="L123" s="146"/>
      <c r="M123" s="146"/>
      <c r="N123" s="146"/>
      <c r="O123" s="146"/>
      <c r="P123" s="146"/>
      <c r="Q123" s="146"/>
      <c r="R123" s="146"/>
      <c r="S123" s="146"/>
      <c r="T123" s="146"/>
      <c r="U123" s="146"/>
      <c r="V123" s="146"/>
      <c r="W123" s="146"/>
      <c r="X123" s="146"/>
      <c r="Y123" s="146"/>
      <c r="Z123" s="146"/>
    </row>
    <row r="124" spans="1:26" ht="15.75" customHeight="1">
      <c r="A124" s="146"/>
      <c r="B124" s="146"/>
      <c r="C124" s="146"/>
      <c r="D124" s="146"/>
      <c r="E124" s="146"/>
      <c r="F124" s="146"/>
      <c r="G124" s="146"/>
      <c r="H124" s="146"/>
      <c r="I124" s="146"/>
      <c r="J124" s="146"/>
      <c r="K124" s="146"/>
      <c r="L124" s="146"/>
      <c r="M124" s="146"/>
      <c r="N124" s="146"/>
      <c r="O124" s="146"/>
      <c r="P124" s="146"/>
      <c r="Q124" s="146"/>
      <c r="R124" s="146"/>
      <c r="S124" s="146"/>
      <c r="T124" s="146"/>
      <c r="U124" s="146"/>
      <c r="V124" s="146"/>
      <c r="W124" s="146"/>
      <c r="X124" s="146"/>
      <c r="Y124" s="146"/>
      <c r="Z124" s="146"/>
    </row>
    <row r="125" spans="1:26" ht="15.75" customHeight="1">
      <c r="A125" s="146"/>
      <c r="B125" s="146"/>
      <c r="C125" s="146"/>
      <c r="D125" s="146"/>
      <c r="E125" s="146"/>
      <c r="F125" s="146"/>
      <c r="G125" s="146"/>
      <c r="H125" s="146"/>
      <c r="I125" s="146"/>
      <c r="J125" s="146"/>
      <c r="K125" s="146"/>
      <c r="L125" s="146"/>
      <c r="M125" s="146"/>
      <c r="N125" s="146"/>
      <c r="O125" s="146"/>
      <c r="P125" s="146"/>
      <c r="Q125" s="146"/>
      <c r="R125" s="146"/>
      <c r="S125" s="146"/>
      <c r="T125" s="146"/>
      <c r="U125" s="146"/>
      <c r="V125" s="146"/>
      <c r="W125" s="146"/>
      <c r="X125" s="146"/>
      <c r="Y125" s="146"/>
      <c r="Z125" s="146"/>
    </row>
    <row r="126" spans="1:26" ht="15.75" customHeight="1">
      <c r="A126" s="146"/>
      <c r="B126" s="146"/>
      <c r="C126" s="146"/>
      <c r="D126" s="146"/>
      <c r="E126" s="146"/>
      <c r="F126" s="146"/>
      <c r="G126" s="146"/>
      <c r="H126" s="146"/>
      <c r="I126" s="146"/>
      <c r="J126" s="146"/>
      <c r="K126" s="146"/>
      <c r="L126" s="146"/>
      <c r="M126" s="146"/>
      <c r="N126" s="146"/>
      <c r="O126" s="146"/>
      <c r="P126" s="146"/>
      <c r="Q126" s="146"/>
      <c r="R126" s="146"/>
      <c r="S126" s="146"/>
      <c r="T126" s="146"/>
      <c r="U126" s="146"/>
      <c r="V126" s="146"/>
      <c r="W126" s="146"/>
      <c r="X126" s="146"/>
      <c r="Y126" s="146"/>
      <c r="Z126" s="146"/>
    </row>
    <row r="127" spans="1:26" ht="15.75" customHeight="1">
      <c r="A127" s="146"/>
      <c r="B127" s="146"/>
      <c r="C127" s="146"/>
      <c r="D127" s="146"/>
      <c r="E127" s="146"/>
      <c r="F127" s="146"/>
      <c r="G127" s="146"/>
      <c r="H127" s="146"/>
      <c r="I127" s="146"/>
      <c r="J127" s="146"/>
      <c r="K127" s="146"/>
      <c r="L127" s="146"/>
      <c r="M127" s="146"/>
      <c r="N127" s="146"/>
      <c r="O127" s="146"/>
      <c r="P127" s="146"/>
      <c r="Q127" s="146"/>
      <c r="R127" s="146"/>
      <c r="S127" s="146"/>
      <c r="T127" s="146"/>
      <c r="U127" s="146"/>
      <c r="V127" s="146"/>
      <c r="W127" s="146"/>
      <c r="X127" s="146"/>
      <c r="Y127" s="146"/>
      <c r="Z127" s="146"/>
    </row>
    <row r="128" spans="1:26" ht="15.75" customHeight="1">
      <c r="A128" s="146"/>
      <c r="B128" s="146"/>
      <c r="C128" s="146"/>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row>
    <row r="129" spans="1:26" ht="15.75" customHeight="1">
      <c r="A129" s="146"/>
      <c r="B129" s="146"/>
      <c r="C129" s="146"/>
      <c r="D129" s="146"/>
      <c r="E129" s="146"/>
      <c r="F129" s="146"/>
      <c r="G129" s="146"/>
      <c r="H129" s="146"/>
      <c r="I129" s="146"/>
      <c r="J129" s="146"/>
      <c r="K129" s="146"/>
      <c r="L129" s="146"/>
      <c r="M129" s="146"/>
      <c r="N129" s="146"/>
      <c r="O129" s="146"/>
      <c r="P129" s="146"/>
      <c r="Q129" s="146"/>
      <c r="R129" s="146"/>
      <c r="S129" s="146"/>
      <c r="T129" s="146"/>
      <c r="U129" s="146"/>
      <c r="V129" s="146"/>
      <c r="W129" s="146"/>
      <c r="X129" s="146"/>
      <c r="Y129" s="146"/>
      <c r="Z129" s="146"/>
    </row>
    <row r="130" spans="1:26" ht="15.75" customHeight="1">
      <c r="A130" s="146"/>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row>
    <row r="131" spans="1:26" ht="15.75" customHeight="1">
      <c r="A131" s="146"/>
      <c r="B131" s="146"/>
      <c r="C131" s="146"/>
      <c r="D131" s="146"/>
      <c r="E131" s="146"/>
      <c r="F131" s="146"/>
      <c r="G131" s="146"/>
      <c r="H131" s="146"/>
      <c r="I131" s="146"/>
      <c r="J131" s="146"/>
      <c r="K131" s="146"/>
      <c r="L131" s="146"/>
      <c r="M131" s="146"/>
      <c r="N131" s="146"/>
      <c r="O131" s="146"/>
      <c r="P131" s="146"/>
      <c r="Q131" s="146"/>
      <c r="R131" s="146"/>
      <c r="S131" s="146"/>
      <c r="T131" s="146"/>
      <c r="U131" s="146"/>
      <c r="V131" s="146"/>
      <c r="W131" s="146"/>
      <c r="X131" s="146"/>
      <c r="Y131" s="146"/>
      <c r="Z131" s="146"/>
    </row>
    <row r="132" spans="1:26" ht="15.75" customHeight="1">
      <c r="A132" s="146"/>
      <c r="B132" s="146"/>
      <c r="C132" s="146"/>
      <c r="D132" s="146"/>
      <c r="E132" s="146"/>
      <c r="F132" s="146"/>
      <c r="G132" s="146"/>
      <c r="H132" s="146"/>
      <c r="I132" s="146"/>
      <c r="J132" s="146"/>
      <c r="K132" s="146"/>
      <c r="L132" s="146"/>
      <c r="M132" s="146"/>
      <c r="N132" s="146"/>
      <c r="O132" s="146"/>
      <c r="P132" s="146"/>
      <c r="Q132" s="146"/>
      <c r="R132" s="146"/>
      <c r="S132" s="146"/>
      <c r="T132" s="146"/>
      <c r="U132" s="146"/>
      <c r="V132" s="146"/>
      <c r="W132" s="146"/>
      <c r="X132" s="146"/>
      <c r="Y132" s="146"/>
      <c r="Z132" s="146"/>
    </row>
    <row r="133" spans="1:26" ht="15.75" customHeight="1">
      <c r="A133" s="146"/>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146"/>
      <c r="X133" s="146"/>
      <c r="Y133" s="146"/>
      <c r="Z133" s="146"/>
    </row>
    <row r="134" spans="1:26" ht="15.75" customHeight="1">
      <c r="A134" s="146"/>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146"/>
      <c r="X134" s="146"/>
      <c r="Y134" s="146"/>
      <c r="Z134" s="146"/>
    </row>
    <row r="135" spans="1:26" ht="15.75" customHeight="1">
      <c r="A135" s="146"/>
      <c r="B135" s="146"/>
      <c r="C135" s="146"/>
      <c r="D135" s="146"/>
      <c r="E135" s="146"/>
      <c r="F135" s="146"/>
      <c r="G135" s="146"/>
      <c r="H135" s="146"/>
      <c r="I135" s="146"/>
      <c r="J135" s="146"/>
      <c r="K135" s="146"/>
      <c r="L135" s="146"/>
      <c r="M135" s="146"/>
      <c r="N135" s="146"/>
      <c r="O135" s="146"/>
      <c r="P135" s="146"/>
      <c r="Q135" s="146"/>
      <c r="R135" s="146"/>
      <c r="S135" s="146"/>
      <c r="T135" s="146"/>
      <c r="U135" s="146"/>
      <c r="V135" s="146"/>
      <c r="W135" s="146"/>
      <c r="X135" s="146"/>
      <c r="Y135" s="146"/>
      <c r="Z135" s="146"/>
    </row>
    <row r="136" spans="1:26" ht="15.75" customHeight="1">
      <c r="A136" s="146"/>
      <c r="B136" s="146"/>
      <c r="C136" s="146"/>
      <c r="D136" s="146"/>
      <c r="E136" s="146"/>
      <c r="F136" s="146"/>
      <c r="G136" s="146"/>
      <c r="H136" s="146"/>
      <c r="I136" s="146"/>
      <c r="J136" s="146"/>
      <c r="K136" s="146"/>
      <c r="L136" s="146"/>
      <c r="M136" s="146"/>
      <c r="N136" s="146"/>
      <c r="O136" s="146"/>
      <c r="P136" s="146"/>
      <c r="Q136" s="146"/>
      <c r="R136" s="146"/>
      <c r="S136" s="146"/>
      <c r="T136" s="146"/>
      <c r="U136" s="146"/>
      <c r="V136" s="146"/>
      <c r="W136" s="146"/>
      <c r="X136" s="146"/>
      <c r="Y136" s="146"/>
      <c r="Z136" s="146"/>
    </row>
    <row r="137" spans="1:26" ht="15.75" customHeight="1">
      <c r="A137" s="146"/>
      <c r="B137" s="146"/>
      <c r="C137" s="146"/>
      <c r="D137" s="146"/>
      <c r="E137" s="146"/>
      <c r="F137" s="146"/>
      <c r="G137" s="146"/>
      <c r="H137" s="146"/>
      <c r="I137" s="146"/>
      <c r="J137" s="146"/>
      <c r="K137" s="146"/>
      <c r="L137" s="146"/>
      <c r="M137" s="146"/>
      <c r="N137" s="146"/>
      <c r="O137" s="146"/>
      <c r="P137" s="146"/>
      <c r="Q137" s="146"/>
      <c r="R137" s="146"/>
      <c r="S137" s="146"/>
      <c r="T137" s="146"/>
      <c r="U137" s="146"/>
      <c r="V137" s="146"/>
      <c r="W137" s="146"/>
      <c r="X137" s="146"/>
      <c r="Y137" s="146"/>
      <c r="Z137" s="146"/>
    </row>
    <row r="138" spans="1:26" ht="15.75" customHeight="1">
      <c r="A138" s="146"/>
      <c r="B138" s="146"/>
      <c r="C138" s="146"/>
      <c r="D138" s="146"/>
      <c r="E138" s="146"/>
      <c r="F138" s="146"/>
      <c r="G138" s="146"/>
      <c r="H138" s="146"/>
      <c r="I138" s="146"/>
      <c r="J138" s="146"/>
      <c r="K138" s="146"/>
      <c r="L138" s="146"/>
      <c r="M138" s="146"/>
      <c r="N138" s="146"/>
      <c r="O138" s="146"/>
      <c r="P138" s="146"/>
      <c r="Q138" s="146"/>
      <c r="R138" s="146"/>
      <c r="S138" s="146"/>
      <c r="T138" s="146"/>
      <c r="U138" s="146"/>
      <c r="V138" s="146"/>
      <c r="W138" s="146"/>
      <c r="X138" s="146"/>
      <c r="Y138" s="146"/>
      <c r="Z138" s="146"/>
    </row>
    <row r="139" spans="1:26" ht="15.75" customHeight="1">
      <c r="A139" s="146"/>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row>
    <row r="140" spans="1:26" ht="15.75" customHeight="1">
      <c r="A140" s="146"/>
      <c r="B140" s="146"/>
      <c r="C140" s="146"/>
      <c r="D140" s="146"/>
      <c r="E140" s="146"/>
      <c r="F140" s="146"/>
      <c r="G140" s="146"/>
      <c r="H140" s="146"/>
      <c r="I140" s="146"/>
      <c r="J140" s="146"/>
      <c r="K140" s="146"/>
      <c r="L140" s="146"/>
      <c r="M140" s="146"/>
      <c r="N140" s="146"/>
      <c r="O140" s="146"/>
      <c r="P140" s="146"/>
      <c r="Q140" s="146"/>
      <c r="R140" s="146"/>
      <c r="S140" s="146"/>
      <c r="T140" s="146"/>
      <c r="U140" s="146"/>
      <c r="V140" s="146"/>
      <c r="W140" s="146"/>
      <c r="X140" s="146"/>
      <c r="Y140" s="146"/>
      <c r="Z140" s="146"/>
    </row>
    <row r="141" spans="1:26" ht="15.75" customHeight="1">
      <c r="A141" s="146"/>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146"/>
      <c r="X141" s="146"/>
      <c r="Y141" s="146"/>
      <c r="Z141" s="146"/>
    </row>
    <row r="142" spans="1:26" ht="15.75" customHeight="1">
      <c r="A142" s="146"/>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row>
    <row r="143" spans="1:26" ht="15.75" customHeight="1">
      <c r="A143" s="146"/>
      <c r="B143" s="146"/>
      <c r="C143" s="146"/>
      <c r="D143" s="146"/>
      <c r="E143" s="146"/>
      <c r="F143" s="146"/>
      <c r="G143" s="146"/>
      <c r="H143" s="146"/>
      <c r="I143" s="146"/>
      <c r="J143" s="146"/>
      <c r="K143" s="146"/>
      <c r="L143" s="146"/>
      <c r="M143" s="146"/>
      <c r="N143" s="146"/>
      <c r="O143" s="146"/>
      <c r="P143" s="146"/>
      <c r="Q143" s="146"/>
      <c r="R143" s="146"/>
      <c r="S143" s="146"/>
      <c r="T143" s="146"/>
      <c r="U143" s="146"/>
      <c r="V143" s="146"/>
      <c r="W143" s="146"/>
      <c r="X143" s="146"/>
      <c r="Y143" s="146"/>
      <c r="Z143" s="146"/>
    </row>
    <row r="144" spans="1:26" ht="15.75" customHeight="1">
      <c r="A144" s="146"/>
      <c r="B144" s="146"/>
      <c r="C144" s="146"/>
      <c r="D144" s="146"/>
      <c r="E144" s="146"/>
      <c r="F144" s="146"/>
      <c r="G144" s="146"/>
      <c r="H144" s="146"/>
      <c r="I144" s="146"/>
      <c r="J144" s="146"/>
      <c r="K144" s="146"/>
      <c r="L144" s="146"/>
      <c r="M144" s="146"/>
      <c r="N144" s="146"/>
      <c r="O144" s="146"/>
      <c r="P144" s="146"/>
      <c r="Q144" s="146"/>
      <c r="R144" s="146"/>
      <c r="S144" s="146"/>
      <c r="T144" s="146"/>
      <c r="U144" s="146"/>
      <c r="V144" s="146"/>
      <c r="W144" s="146"/>
      <c r="X144" s="146"/>
      <c r="Y144" s="146"/>
      <c r="Z144" s="146"/>
    </row>
    <row r="145" spans="1:26" ht="15.75" customHeight="1">
      <c r="A145" s="146"/>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146"/>
      <c r="X145" s="146"/>
      <c r="Y145" s="146"/>
      <c r="Z145" s="146"/>
    </row>
    <row r="146" spans="1:26" ht="15.75" customHeight="1">
      <c r="A146" s="146"/>
      <c r="B146" s="146"/>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row>
    <row r="147" spans="1:26" ht="15.75" customHeight="1">
      <c r="A147" s="146"/>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row>
    <row r="148" spans="1:26" ht="15.75" customHeight="1">
      <c r="A148" s="146"/>
      <c r="B148" s="146"/>
      <c r="C148" s="146"/>
      <c r="D148" s="146"/>
      <c r="E148" s="146"/>
      <c r="F148" s="146"/>
      <c r="G148" s="146"/>
      <c r="H148" s="146"/>
      <c r="I148" s="146"/>
      <c r="J148" s="146"/>
      <c r="K148" s="146"/>
      <c r="L148" s="146"/>
      <c r="M148" s="146"/>
      <c r="N148" s="146"/>
      <c r="O148" s="146"/>
      <c r="P148" s="146"/>
      <c r="Q148" s="146"/>
      <c r="R148" s="146"/>
      <c r="S148" s="146"/>
      <c r="T148" s="146"/>
      <c r="U148" s="146"/>
      <c r="V148" s="146"/>
      <c r="W148" s="146"/>
      <c r="X148" s="146"/>
      <c r="Y148" s="146"/>
      <c r="Z148" s="146"/>
    </row>
    <row r="149" spans="1:26" ht="15.75" customHeight="1">
      <c r="A149" s="146"/>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row>
    <row r="150" spans="1:26" ht="15.75" customHeight="1">
      <c r="A150" s="146"/>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146"/>
      <c r="X150" s="146"/>
      <c r="Y150" s="146"/>
      <c r="Z150" s="146"/>
    </row>
    <row r="151" spans="1:26" ht="15.75" customHeight="1">
      <c r="A151" s="146"/>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c r="Z151" s="146"/>
    </row>
    <row r="152" spans="1:26" ht="15.75" customHeight="1">
      <c r="A152" s="146"/>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row>
    <row r="153" spans="1:26" ht="15.75" customHeight="1">
      <c r="A153" s="146"/>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c r="Z153" s="146"/>
    </row>
    <row r="154" spans="1:26" ht="15.75" customHeight="1">
      <c r="A154" s="146"/>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c r="Z154" s="146"/>
    </row>
    <row r="155" spans="1:26" ht="15.75" customHeight="1">
      <c r="A155" s="146"/>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146"/>
      <c r="X155" s="146"/>
      <c r="Y155" s="146"/>
      <c r="Z155" s="146"/>
    </row>
    <row r="156" spans="1:26" ht="15.75" customHeight="1">
      <c r="A156" s="146"/>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146"/>
      <c r="X156" s="146"/>
      <c r="Y156" s="146"/>
      <c r="Z156" s="146"/>
    </row>
    <row r="157" spans="1:26" ht="15.75" customHeight="1">
      <c r="A157" s="146"/>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row>
    <row r="158" spans="1:26" ht="15.75" customHeight="1">
      <c r="A158" s="146"/>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146"/>
      <c r="X158" s="146"/>
      <c r="Y158" s="146"/>
      <c r="Z158" s="146"/>
    </row>
    <row r="159" spans="1:26" ht="15.75" customHeight="1">
      <c r="A159" s="14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row>
    <row r="160" spans="1:26" ht="15.75" customHeight="1">
      <c r="A160" s="146"/>
      <c r="B160" s="146"/>
      <c r="C160" s="146"/>
      <c r="D160" s="146"/>
      <c r="E160" s="146"/>
      <c r="F160" s="146"/>
      <c r="G160" s="146"/>
      <c r="H160" s="146"/>
      <c r="I160" s="146"/>
      <c r="J160" s="146"/>
      <c r="K160" s="146"/>
      <c r="L160" s="146"/>
      <c r="M160" s="146"/>
      <c r="N160" s="146"/>
      <c r="O160" s="146"/>
      <c r="P160" s="146"/>
      <c r="Q160" s="146"/>
      <c r="R160" s="146"/>
      <c r="S160" s="146"/>
      <c r="T160" s="146"/>
      <c r="U160" s="146"/>
      <c r="V160" s="146"/>
      <c r="W160" s="146"/>
      <c r="X160" s="146"/>
      <c r="Y160" s="146"/>
      <c r="Z160" s="146"/>
    </row>
    <row r="161" spans="1:26" ht="15.75" customHeight="1">
      <c r="A161" s="146"/>
      <c r="B161" s="146"/>
      <c r="C161" s="146"/>
      <c r="D161" s="146"/>
      <c r="E161" s="146"/>
      <c r="F161" s="146"/>
      <c r="G161" s="146"/>
      <c r="H161" s="146"/>
      <c r="I161" s="146"/>
      <c r="J161" s="146"/>
      <c r="K161" s="146"/>
      <c r="L161" s="146"/>
      <c r="M161" s="146"/>
      <c r="N161" s="146"/>
      <c r="O161" s="146"/>
      <c r="P161" s="146"/>
      <c r="Q161" s="146"/>
      <c r="R161" s="146"/>
      <c r="S161" s="146"/>
      <c r="T161" s="146"/>
      <c r="U161" s="146"/>
      <c r="V161" s="146"/>
      <c r="W161" s="146"/>
      <c r="X161" s="146"/>
      <c r="Y161" s="146"/>
      <c r="Z161" s="146"/>
    </row>
    <row r="162" spans="1:26" ht="15.75" customHeight="1">
      <c r="A162" s="146"/>
      <c r="B162" s="146"/>
      <c r="C162" s="146"/>
      <c r="D162" s="146"/>
      <c r="E162" s="146"/>
      <c r="F162" s="146"/>
      <c r="G162" s="146"/>
      <c r="H162" s="146"/>
      <c r="I162" s="146"/>
      <c r="J162" s="146"/>
      <c r="K162" s="146"/>
      <c r="L162" s="146"/>
      <c r="M162" s="146"/>
      <c r="N162" s="146"/>
      <c r="O162" s="146"/>
      <c r="P162" s="146"/>
      <c r="Q162" s="146"/>
      <c r="R162" s="146"/>
      <c r="S162" s="146"/>
      <c r="T162" s="146"/>
      <c r="U162" s="146"/>
      <c r="V162" s="146"/>
      <c r="W162" s="146"/>
      <c r="X162" s="146"/>
      <c r="Y162" s="146"/>
      <c r="Z162" s="146"/>
    </row>
    <row r="163" spans="1:26" ht="15.75" customHeight="1">
      <c r="A163" s="146"/>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146"/>
      <c r="X163" s="146"/>
      <c r="Y163" s="146"/>
      <c r="Z163" s="146"/>
    </row>
    <row r="164" spans="1:26" ht="15.75" customHeight="1">
      <c r="A164" s="146"/>
      <c r="B164" s="146"/>
      <c r="C164" s="146"/>
      <c r="D164" s="146"/>
      <c r="E164" s="146"/>
      <c r="F164" s="146"/>
      <c r="G164" s="146"/>
      <c r="H164" s="146"/>
      <c r="I164" s="146"/>
      <c r="J164" s="146"/>
      <c r="K164" s="146"/>
      <c r="L164" s="146"/>
      <c r="M164" s="146"/>
      <c r="N164" s="146"/>
      <c r="O164" s="146"/>
      <c r="P164" s="146"/>
      <c r="Q164" s="146"/>
      <c r="R164" s="146"/>
      <c r="S164" s="146"/>
      <c r="T164" s="146"/>
      <c r="U164" s="146"/>
      <c r="V164" s="146"/>
      <c r="W164" s="146"/>
      <c r="X164" s="146"/>
      <c r="Y164" s="146"/>
      <c r="Z164" s="146"/>
    </row>
    <row r="165" spans="1:26" ht="15.75" customHeight="1">
      <c r="A165" s="146"/>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146"/>
      <c r="X165" s="146"/>
      <c r="Y165" s="146"/>
      <c r="Z165" s="146"/>
    </row>
    <row r="166" spans="1:26" ht="15.75" customHeight="1">
      <c r="A166" s="146"/>
      <c r="B166" s="146"/>
      <c r="C166" s="146"/>
      <c r="D166" s="146"/>
      <c r="E166" s="146"/>
      <c r="F166" s="146"/>
      <c r="G166" s="146"/>
      <c r="H166" s="146"/>
      <c r="I166" s="146"/>
      <c r="J166" s="146"/>
      <c r="K166" s="146"/>
      <c r="L166" s="146"/>
      <c r="M166" s="146"/>
      <c r="N166" s="146"/>
      <c r="O166" s="146"/>
      <c r="P166" s="146"/>
      <c r="Q166" s="146"/>
      <c r="R166" s="146"/>
      <c r="S166" s="146"/>
      <c r="T166" s="146"/>
      <c r="U166" s="146"/>
      <c r="V166" s="146"/>
      <c r="W166" s="146"/>
      <c r="X166" s="146"/>
      <c r="Y166" s="146"/>
      <c r="Z166" s="146"/>
    </row>
    <row r="167" spans="1:26" ht="15.75" customHeight="1">
      <c r="A167" s="146"/>
      <c r="B167" s="146"/>
      <c r="C167" s="146"/>
      <c r="D167" s="146"/>
      <c r="E167" s="146"/>
      <c r="F167" s="146"/>
      <c r="G167" s="146"/>
      <c r="H167" s="146"/>
      <c r="I167" s="146"/>
      <c r="J167" s="146"/>
      <c r="K167" s="146"/>
      <c r="L167" s="146"/>
      <c r="M167" s="146"/>
      <c r="N167" s="146"/>
      <c r="O167" s="146"/>
      <c r="P167" s="146"/>
      <c r="Q167" s="146"/>
      <c r="R167" s="146"/>
      <c r="S167" s="146"/>
      <c r="T167" s="146"/>
      <c r="U167" s="146"/>
      <c r="V167" s="146"/>
      <c r="W167" s="146"/>
      <c r="X167" s="146"/>
      <c r="Y167" s="146"/>
      <c r="Z167" s="146"/>
    </row>
    <row r="168" spans="1:26" ht="15.75" customHeight="1">
      <c r="A168" s="146"/>
      <c r="B168" s="146"/>
      <c r="C168" s="146"/>
      <c r="D168" s="146"/>
      <c r="E168" s="146"/>
      <c r="F168" s="146"/>
      <c r="G168" s="146"/>
      <c r="H168" s="146"/>
      <c r="I168" s="146"/>
      <c r="J168" s="146"/>
      <c r="K168" s="146"/>
      <c r="L168" s="146"/>
      <c r="M168" s="146"/>
      <c r="N168" s="146"/>
      <c r="O168" s="146"/>
      <c r="P168" s="146"/>
      <c r="Q168" s="146"/>
      <c r="R168" s="146"/>
      <c r="S168" s="146"/>
      <c r="T168" s="146"/>
      <c r="U168" s="146"/>
      <c r="V168" s="146"/>
      <c r="W168" s="146"/>
      <c r="X168" s="146"/>
      <c r="Y168" s="146"/>
      <c r="Z168" s="146"/>
    </row>
    <row r="169" spans="1:26" ht="15.75" customHeight="1">
      <c r="A169" s="146"/>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146"/>
      <c r="X169" s="146"/>
      <c r="Y169" s="146"/>
      <c r="Z169" s="146"/>
    </row>
    <row r="170" spans="1:26" ht="15.75" customHeight="1">
      <c r="A170" s="146"/>
      <c r="B170" s="146"/>
      <c r="C170" s="146"/>
      <c r="D170" s="146"/>
      <c r="E170" s="146"/>
      <c r="F170" s="146"/>
      <c r="G170" s="146"/>
      <c r="H170" s="146"/>
      <c r="I170" s="146"/>
      <c r="J170" s="146"/>
      <c r="K170" s="146"/>
      <c r="L170" s="146"/>
      <c r="M170" s="146"/>
      <c r="N170" s="146"/>
      <c r="O170" s="146"/>
      <c r="P170" s="146"/>
      <c r="Q170" s="146"/>
      <c r="R170" s="146"/>
      <c r="S170" s="146"/>
      <c r="T170" s="146"/>
      <c r="U170" s="146"/>
      <c r="V170" s="146"/>
      <c r="W170" s="146"/>
      <c r="X170" s="146"/>
      <c r="Y170" s="146"/>
      <c r="Z170" s="146"/>
    </row>
    <row r="171" spans="1:26" ht="15.75" customHeight="1">
      <c r="A171" s="146"/>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146"/>
      <c r="X171" s="146"/>
      <c r="Y171" s="146"/>
      <c r="Z171" s="146"/>
    </row>
    <row r="172" spans="1:26" ht="15.75" customHeight="1">
      <c r="A172" s="146"/>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146"/>
      <c r="X172" s="146"/>
      <c r="Y172" s="146"/>
      <c r="Z172" s="146"/>
    </row>
    <row r="173" spans="1:26" ht="15.75" customHeight="1">
      <c r="A173" s="146"/>
      <c r="B173" s="146"/>
      <c r="C173" s="146"/>
      <c r="D173" s="146"/>
      <c r="E173" s="146"/>
      <c r="F173" s="146"/>
      <c r="G173" s="146"/>
      <c r="H173" s="146"/>
      <c r="I173" s="146"/>
      <c r="J173" s="146"/>
      <c r="K173" s="146"/>
      <c r="L173" s="146"/>
      <c r="M173" s="146"/>
      <c r="N173" s="146"/>
      <c r="O173" s="146"/>
      <c r="P173" s="146"/>
      <c r="Q173" s="146"/>
      <c r="R173" s="146"/>
      <c r="S173" s="146"/>
      <c r="T173" s="146"/>
      <c r="U173" s="146"/>
      <c r="V173" s="146"/>
      <c r="W173" s="146"/>
      <c r="X173" s="146"/>
      <c r="Y173" s="146"/>
      <c r="Z173" s="146"/>
    </row>
    <row r="174" spans="1:26" ht="15.75" customHeight="1">
      <c r="A174" s="146"/>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row>
    <row r="175" spans="1:26" ht="15.75" customHeight="1">
      <c r="A175" s="146"/>
      <c r="B175" s="146"/>
      <c r="C175" s="146"/>
      <c r="D175" s="146"/>
      <c r="E175" s="146"/>
      <c r="F175" s="146"/>
      <c r="G175" s="146"/>
      <c r="H175" s="146"/>
      <c r="I175" s="146"/>
      <c r="J175" s="146"/>
      <c r="K175" s="146"/>
      <c r="L175" s="146"/>
      <c r="M175" s="146"/>
      <c r="N175" s="146"/>
      <c r="O175" s="146"/>
      <c r="P175" s="146"/>
      <c r="Q175" s="146"/>
      <c r="R175" s="146"/>
      <c r="S175" s="146"/>
      <c r="T175" s="146"/>
      <c r="U175" s="146"/>
      <c r="V175" s="146"/>
      <c r="W175" s="146"/>
      <c r="X175" s="146"/>
      <c r="Y175" s="146"/>
      <c r="Z175" s="146"/>
    </row>
    <row r="176" spans="1:26" ht="15.75" customHeight="1">
      <c r="A176" s="146"/>
      <c r="B176" s="146"/>
      <c r="C176" s="146"/>
      <c r="D176" s="146"/>
      <c r="E176" s="146"/>
      <c r="F176" s="146"/>
      <c r="G176" s="146"/>
      <c r="H176" s="146"/>
      <c r="I176" s="146"/>
      <c r="J176" s="146"/>
      <c r="K176" s="146"/>
      <c r="L176" s="146"/>
      <c r="M176" s="146"/>
      <c r="N176" s="146"/>
      <c r="O176" s="146"/>
      <c r="P176" s="146"/>
      <c r="Q176" s="146"/>
      <c r="R176" s="146"/>
      <c r="S176" s="146"/>
      <c r="T176" s="146"/>
      <c r="U176" s="146"/>
      <c r="V176" s="146"/>
      <c r="W176" s="146"/>
      <c r="X176" s="146"/>
      <c r="Y176" s="146"/>
      <c r="Z176" s="146"/>
    </row>
    <row r="177" spans="1:26" ht="15.75" customHeight="1">
      <c r="A177" s="146"/>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row>
    <row r="178" spans="1:26" ht="15.75" customHeight="1">
      <c r="A178" s="146"/>
      <c r="B178" s="146"/>
      <c r="C178" s="146"/>
      <c r="D178" s="146"/>
      <c r="E178" s="146"/>
      <c r="F178" s="146"/>
      <c r="G178" s="146"/>
      <c r="H178" s="146"/>
      <c r="I178" s="146"/>
      <c r="J178" s="146"/>
      <c r="K178" s="146"/>
      <c r="L178" s="146"/>
      <c r="M178" s="146"/>
      <c r="N178" s="146"/>
      <c r="O178" s="146"/>
      <c r="P178" s="146"/>
      <c r="Q178" s="146"/>
      <c r="R178" s="146"/>
      <c r="S178" s="146"/>
      <c r="T178" s="146"/>
      <c r="U178" s="146"/>
      <c r="V178" s="146"/>
      <c r="W178" s="146"/>
      <c r="X178" s="146"/>
      <c r="Y178" s="146"/>
      <c r="Z178" s="146"/>
    </row>
    <row r="179" spans="1:26" ht="15.75" customHeight="1">
      <c r="A179" s="146"/>
      <c r="B179" s="146"/>
      <c r="C179" s="146"/>
      <c r="D179" s="146"/>
      <c r="E179" s="146"/>
      <c r="F179" s="146"/>
      <c r="G179" s="146"/>
      <c r="H179" s="146"/>
      <c r="I179" s="146"/>
      <c r="J179" s="146"/>
      <c r="K179" s="146"/>
      <c r="L179" s="146"/>
      <c r="M179" s="146"/>
      <c r="N179" s="146"/>
      <c r="O179" s="146"/>
      <c r="P179" s="146"/>
      <c r="Q179" s="146"/>
      <c r="R179" s="146"/>
      <c r="S179" s="146"/>
      <c r="T179" s="146"/>
      <c r="U179" s="146"/>
      <c r="V179" s="146"/>
      <c r="W179" s="146"/>
      <c r="X179" s="146"/>
      <c r="Y179" s="146"/>
      <c r="Z179" s="146"/>
    </row>
    <row r="180" spans="1:26" ht="15.75" customHeight="1">
      <c r="A180" s="146"/>
      <c r="B180" s="146"/>
      <c r="C180" s="146"/>
      <c r="D180" s="146"/>
      <c r="E180" s="146"/>
      <c r="F180" s="146"/>
      <c r="G180" s="146"/>
      <c r="H180" s="146"/>
      <c r="I180" s="146"/>
      <c r="J180" s="146"/>
      <c r="K180" s="146"/>
      <c r="L180" s="146"/>
      <c r="M180" s="146"/>
      <c r="N180" s="146"/>
      <c r="O180" s="146"/>
      <c r="P180" s="146"/>
      <c r="Q180" s="146"/>
      <c r="R180" s="146"/>
      <c r="S180" s="146"/>
      <c r="T180" s="146"/>
      <c r="U180" s="146"/>
      <c r="V180" s="146"/>
      <c r="W180" s="146"/>
      <c r="X180" s="146"/>
      <c r="Y180" s="146"/>
      <c r="Z180" s="146"/>
    </row>
    <row r="181" spans="1:26" ht="15.75" customHeight="1">
      <c r="A181" s="146"/>
      <c r="B181" s="146"/>
      <c r="C181" s="146"/>
      <c r="D181" s="146"/>
      <c r="E181" s="146"/>
      <c r="F181" s="146"/>
      <c r="G181" s="146"/>
      <c r="H181" s="146"/>
      <c r="I181" s="146"/>
      <c r="J181" s="146"/>
      <c r="K181" s="146"/>
      <c r="L181" s="146"/>
      <c r="M181" s="146"/>
      <c r="N181" s="146"/>
      <c r="O181" s="146"/>
      <c r="P181" s="146"/>
      <c r="Q181" s="146"/>
      <c r="R181" s="146"/>
      <c r="S181" s="146"/>
      <c r="T181" s="146"/>
      <c r="U181" s="146"/>
      <c r="V181" s="146"/>
      <c r="W181" s="146"/>
      <c r="X181" s="146"/>
      <c r="Y181" s="146"/>
      <c r="Z181" s="146"/>
    </row>
    <row r="182" spans="1:26" ht="15.75" customHeight="1">
      <c r="A182" s="146"/>
      <c r="B182" s="146"/>
      <c r="C182" s="146"/>
      <c r="D182" s="146"/>
      <c r="E182" s="146"/>
      <c r="F182" s="146"/>
      <c r="G182" s="146"/>
      <c r="H182" s="146"/>
      <c r="I182" s="146"/>
      <c r="J182" s="146"/>
      <c r="K182" s="146"/>
      <c r="L182" s="146"/>
      <c r="M182" s="146"/>
      <c r="N182" s="146"/>
      <c r="O182" s="146"/>
      <c r="P182" s="146"/>
      <c r="Q182" s="146"/>
      <c r="R182" s="146"/>
      <c r="S182" s="146"/>
      <c r="T182" s="146"/>
      <c r="U182" s="146"/>
      <c r="V182" s="146"/>
      <c r="W182" s="146"/>
      <c r="X182" s="146"/>
      <c r="Y182" s="146"/>
      <c r="Z182" s="146"/>
    </row>
    <row r="183" spans="1:26" ht="15.75" customHeight="1">
      <c r="A183" s="146"/>
      <c r="B183" s="146"/>
      <c r="C183" s="146"/>
      <c r="D183" s="146"/>
      <c r="E183" s="146"/>
      <c r="F183" s="146"/>
      <c r="G183" s="146"/>
      <c r="H183" s="146"/>
      <c r="I183" s="146"/>
      <c r="J183" s="146"/>
      <c r="K183" s="146"/>
      <c r="L183" s="146"/>
      <c r="M183" s="146"/>
      <c r="N183" s="146"/>
      <c r="O183" s="146"/>
      <c r="P183" s="146"/>
      <c r="Q183" s="146"/>
      <c r="R183" s="146"/>
      <c r="S183" s="146"/>
      <c r="T183" s="146"/>
      <c r="U183" s="146"/>
      <c r="V183" s="146"/>
      <c r="W183" s="146"/>
      <c r="X183" s="146"/>
      <c r="Y183" s="146"/>
      <c r="Z183" s="146"/>
    </row>
    <row r="184" spans="1:26" ht="15.75" customHeight="1">
      <c r="A184" s="146"/>
      <c r="B184" s="146"/>
      <c r="C184" s="146"/>
      <c r="D184" s="146"/>
      <c r="E184" s="146"/>
      <c r="F184" s="146"/>
      <c r="G184" s="146"/>
      <c r="H184" s="146"/>
      <c r="I184" s="146"/>
      <c r="J184" s="146"/>
      <c r="K184" s="146"/>
      <c r="L184" s="146"/>
      <c r="M184" s="146"/>
      <c r="N184" s="146"/>
      <c r="O184" s="146"/>
      <c r="P184" s="146"/>
      <c r="Q184" s="146"/>
      <c r="R184" s="146"/>
      <c r="S184" s="146"/>
      <c r="T184" s="146"/>
      <c r="U184" s="146"/>
      <c r="V184" s="146"/>
      <c r="W184" s="146"/>
      <c r="X184" s="146"/>
      <c r="Y184" s="146"/>
      <c r="Z184" s="146"/>
    </row>
    <row r="185" spans="1:26" ht="15.75" customHeight="1">
      <c r="A185" s="146"/>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146"/>
      <c r="X185" s="146"/>
      <c r="Y185" s="146"/>
      <c r="Z185" s="146"/>
    </row>
    <row r="186" spans="1:26" ht="15.75" customHeight="1">
      <c r="A186" s="146"/>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row>
    <row r="187" spans="1:26" ht="15.75" customHeight="1">
      <c r="A187" s="146"/>
      <c r="B187" s="146"/>
      <c r="C187" s="146"/>
      <c r="D187" s="146"/>
      <c r="E187" s="146"/>
      <c r="F187" s="146"/>
      <c r="G187" s="146"/>
      <c r="H187" s="146"/>
      <c r="I187" s="146"/>
      <c r="J187" s="146"/>
      <c r="K187" s="146"/>
      <c r="L187" s="146"/>
      <c r="M187" s="146"/>
      <c r="N187" s="146"/>
      <c r="O187" s="146"/>
      <c r="P187" s="146"/>
      <c r="Q187" s="146"/>
      <c r="R187" s="146"/>
      <c r="S187" s="146"/>
      <c r="T187" s="146"/>
      <c r="U187" s="146"/>
      <c r="V187" s="146"/>
      <c r="W187" s="146"/>
      <c r="X187" s="146"/>
      <c r="Y187" s="146"/>
      <c r="Z187" s="146"/>
    </row>
    <row r="188" spans="1:26" ht="15.75" customHeight="1">
      <c r="A188" s="146"/>
      <c r="B188" s="146"/>
      <c r="C188" s="146"/>
      <c r="D188" s="146"/>
      <c r="E188" s="146"/>
      <c r="F188" s="146"/>
      <c r="G188" s="146"/>
      <c r="H188" s="146"/>
      <c r="I188" s="146"/>
      <c r="J188" s="146"/>
      <c r="K188" s="146"/>
      <c r="L188" s="146"/>
      <c r="M188" s="146"/>
      <c r="N188" s="146"/>
      <c r="O188" s="146"/>
      <c r="P188" s="146"/>
      <c r="Q188" s="146"/>
      <c r="R188" s="146"/>
      <c r="S188" s="146"/>
      <c r="T188" s="146"/>
      <c r="U188" s="146"/>
      <c r="V188" s="146"/>
      <c r="W188" s="146"/>
      <c r="X188" s="146"/>
      <c r="Y188" s="146"/>
      <c r="Z188" s="146"/>
    </row>
    <row r="189" spans="1:26" ht="15.75" customHeight="1">
      <c r="A189" s="146"/>
      <c r="B189" s="146"/>
      <c r="C189" s="146"/>
      <c r="D189" s="146"/>
      <c r="E189" s="146"/>
      <c r="F189" s="146"/>
      <c r="G189" s="146"/>
      <c r="H189" s="146"/>
      <c r="I189" s="146"/>
      <c r="J189" s="146"/>
      <c r="K189" s="146"/>
      <c r="L189" s="146"/>
      <c r="M189" s="146"/>
      <c r="N189" s="146"/>
      <c r="O189" s="146"/>
      <c r="P189" s="146"/>
      <c r="Q189" s="146"/>
      <c r="R189" s="146"/>
      <c r="S189" s="146"/>
      <c r="T189" s="146"/>
      <c r="U189" s="146"/>
      <c r="V189" s="146"/>
      <c r="W189" s="146"/>
      <c r="X189" s="146"/>
      <c r="Y189" s="146"/>
      <c r="Z189" s="146"/>
    </row>
    <row r="190" spans="1:26" ht="15.75" customHeight="1">
      <c r="A190" s="146"/>
      <c r="B190" s="146"/>
      <c r="C190" s="146"/>
      <c r="D190" s="146"/>
      <c r="E190" s="146"/>
      <c r="F190" s="146"/>
      <c r="G190" s="146"/>
      <c r="H190" s="146"/>
      <c r="I190" s="146"/>
      <c r="J190" s="146"/>
      <c r="K190" s="146"/>
      <c r="L190" s="146"/>
      <c r="M190" s="146"/>
      <c r="N190" s="146"/>
      <c r="O190" s="146"/>
      <c r="P190" s="146"/>
      <c r="Q190" s="146"/>
      <c r="R190" s="146"/>
      <c r="S190" s="146"/>
      <c r="T190" s="146"/>
      <c r="U190" s="146"/>
      <c r="V190" s="146"/>
      <c r="W190" s="146"/>
      <c r="X190" s="146"/>
      <c r="Y190" s="146"/>
      <c r="Z190" s="146"/>
    </row>
    <row r="191" spans="1:26" ht="15.75" customHeight="1">
      <c r="A191" s="146"/>
      <c r="B191" s="146"/>
      <c r="C191" s="146"/>
      <c r="D191" s="146"/>
      <c r="E191" s="146"/>
      <c r="F191" s="146"/>
      <c r="G191" s="146"/>
      <c r="H191" s="146"/>
      <c r="I191" s="146"/>
      <c r="J191" s="146"/>
      <c r="K191" s="146"/>
      <c r="L191" s="146"/>
      <c r="M191" s="146"/>
      <c r="N191" s="146"/>
      <c r="O191" s="146"/>
      <c r="P191" s="146"/>
      <c r="Q191" s="146"/>
      <c r="R191" s="146"/>
      <c r="S191" s="146"/>
      <c r="T191" s="146"/>
      <c r="U191" s="146"/>
      <c r="V191" s="146"/>
      <c r="W191" s="146"/>
      <c r="X191" s="146"/>
      <c r="Y191" s="146"/>
      <c r="Z191" s="146"/>
    </row>
    <row r="192" spans="1:26" ht="15.75" customHeight="1">
      <c r="A192" s="146"/>
      <c r="B192" s="146"/>
      <c r="C192" s="146"/>
      <c r="D192" s="146"/>
      <c r="E192" s="146"/>
      <c r="F192" s="146"/>
      <c r="G192" s="146"/>
      <c r="H192" s="146"/>
      <c r="I192" s="146"/>
      <c r="J192" s="146"/>
      <c r="K192" s="146"/>
      <c r="L192" s="146"/>
      <c r="M192" s="146"/>
      <c r="N192" s="146"/>
      <c r="O192" s="146"/>
      <c r="P192" s="146"/>
      <c r="Q192" s="146"/>
      <c r="R192" s="146"/>
      <c r="S192" s="146"/>
      <c r="T192" s="146"/>
      <c r="U192" s="146"/>
      <c r="V192" s="146"/>
      <c r="W192" s="146"/>
      <c r="X192" s="146"/>
      <c r="Y192" s="146"/>
      <c r="Z192" s="146"/>
    </row>
    <row r="193" spans="1:26" ht="15.75" customHeight="1">
      <c r="A193" s="146"/>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row>
    <row r="194" spans="1:26" ht="15.75" customHeight="1">
      <c r="A194" s="146"/>
      <c r="B194" s="146"/>
      <c r="C194" s="146"/>
      <c r="D194" s="146"/>
      <c r="E194" s="146"/>
      <c r="F194" s="146"/>
      <c r="G194" s="146"/>
      <c r="H194" s="146"/>
      <c r="I194" s="146"/>
      <c r="J194" s="146"/>
      <c r="K194" s="146"/>
      <c r="L194" s="146"/>
      <c r="M194" s="146"/>
      <c r="N194" s="146"/>
      <c r="O194" s="146"/>
      <c r="P194" s="146"/>
      <c r="Q194" s="146"/>
      <c r="R194" s="146"/>
      <c r="S194" s="146"/>
      <c r="T194" s="146"/>
      <c r="U194" s="146"/>
      <c r="V194" s="146"/>
      <c r="W194" s="146"/>
      <c r="X194" s="146"/>
      <c r="Y194" s="146"/>
      <c r="Z194" s="146"/>
    </row>
    <row r="195" spans="1:26" ht="15.75" customHeight="1">
      <c r="A195" s="146"/>
      <c r="B195" s="146"/>
      <c r="C195" s="146"/>
      <c r="D195" s="146"/>
      <c r="E195" s="146"/>
      <c r="F195" s="146"/>
      <c r="G195" s="146"/>
      <c r="H195" s="146"/>
      <c r="I195" s="146"/>
      <c r="J195" s="146"/>
      <c r="K195" s="146"/>
      <c r="L195" s="146"/>
      <c r="M195" s="146"/>
      <c r="N195" s="146"/>
      <c r="O195" s="146"/>
      <c r="P195" s="146"/>
      <c r="Q195" s="146"/>
      <c r="R195" s="146"/>
      <c r="S195" s="146"/>
      <c r="T195" s="146"/>
      <c r="U195" s="146"/>
      <c r="V195" s="146"/>
      <c r="W195" s="146"/>
      <c r="X195" s="146"/>
      <c r="Y195" s="146"/>
      <c r="Z195" s="146"/>
    </row>
    <row r="196" spans="1:26" ht="15.75" customHeight="1">
      <c r="A196" s="146"/>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row>
    <row r="197" spans="1:26" ht="15.75" customHeight="1">
      <c r="A197" s="146"/>
      <c r="B197" s="146"/>
      <c r="C197" s="146"/>
      <c r="D197" s="146"/>
      <c r="E197" s="146"/>
      <c r="F197" s="146"/>
      <c r="G197" s="146"/>
      <c r="H197" s="146"/>
      <c r="I197" s="146"/>
      <c r="J197" s="146"/>
      <c r="K197" s="146"/>
      <c r="L197" s="146"/>
      <c r="M197" s="146"/>
      <c r="N197" s="146"/>
      <c r="O197" s="146"/>
      <c r="P197" s="146"/>
      <c r="Q197" s="146"/>
      <c r="R197" s="146"/>
      <c r="S197" s="146"/>
      <c r="T197" s="146"/>
      <c r="U197" s="146"/>
      <c r="V197" s="146"/>
      <c r="W197" s="146"/>
      <c r="X197" s="146"/>
      <c r="Y197" s="146"/>
      <c r="Z197" s="146"/>
    </row>
    <row r="198" spans="1:26" ht="15.75" customHeight="1">
      <c r="A198" s="146"/>
      <c r="B198" s="146"/>
      <c r="C198" s="146"/>
      <c r="D198" s="146"/>
      <c r="E198" s="146"/>
      <c r="F198" s="146"/>
      <c r="G198" s="146"/>
      <c r="H198" s="146"/>
      <c r="I198" s="146"/>
      <c r="J198" s="146"/>
      <c r="K198" s="146"/>
      <c r="L198" s="146"/>
      <c r="M198" s="146"/>
      <c r="N198" s="146"/>
      <c r="O198" s="146"/>
      <c r="P198" s="146"/>
      <c r="Q198" s="146"/>
      <c r="R198" s="146"/>
      <c r="S198" s="146"/>
      <c r="T198" s="146"/>
      <c r="U198" s="146"/>
      <c r="V198" s="146"/>
      <c r="W198" s="146"/>
      <c r="X198" s="146"/>
      <c r="Y198" s="146"/>
      <c r="Z198" s="146"/>
    </row>
    <row r="199" spans="1:26" ht="15.75" customHeight="1">
      <c r="A199" s="146"/>
      <c r="B199" s="146"/>
      <c r="C199" s="146"/>
      <c r="D199" s="146"/>
      <c r="E199" s="146"/>
      <c r="F199" s="146"/>
      <c r="G199" s="146"/>
      <c r="H199" s="146"/>
      <c r="I199" s="146"/>
      <c r="J199" s="146"/>
      <c r="K199" s="146"/>
      <c r="L199" s="146"/>
      <c r="M199" s="146"/>
      <c r="N199" s="146"/>
      <c r="O199" s="146"/>
      <c r="P199" s="146"/>
      <c r="Q199" s="146"/>
      <c r="R199" s="146"/>
      <c r="S199" s="146"/>
      <c r="T199" s="146"/>
      <c r="U199" s="146"/>
      <c r="V199" s="146"/>
      <c r="W199" s="146"/>
      <c r="X199" s="146"/>
      <c r="Y199" s="146"/>
      <c r="Z199" s="146"/>
    </row>
    <row r="200" spans="1:26" ht="15.75" customHeight="1">
      <c r="A200" s="146"/>
      <c r="B200" s="146"/>
      <c r="C200" s="146"/>
      <c r="D200" s="146"/>
      <c r="E200" s="146"/>
      <c r="F200" s="146"/>
      <c r="G200" s="146"/>
      <c r="H200" s="146"/>
      <c r="I200" s="146"/>
      <c r="J200" s="146"/>
      <c r="K200" s="146"/>
      <c r="L200" s="146"/>
      <c r="M200" s="146"/>
      <c r="N200" s="146"/>
      <c r="O200" s="146"/>
      <c r="P200" s="146"/>
      <c r="Q200" s="146"/>
      <c r="R200" s="146"/>
      <c r="S200" s="146"/>
      <c r="T200" s="146"/>
      <c r="U200" s="146"/>
      <c r="V200" s="146"/>
      <c r="W200" s="146"/>
      <c r="X200" s="146"/>
      <c r="Y200" s="146"/>
      <c r="Z200" s="146"/>
    </row>
    <row r="201" spans="1:26" ht="15.75" customHeight="1">
      <c r="A201" s="146"/>
      <c r="B201" s="146"/>
      <c r="C201" s="146"/>
      <c r="D201" s="146"/>
      <c r="E201" s="146"/>
      <c r="F201" s="146"/>
      <c r="G201" s="146"/>
      <c r="H201" s="146"/>
      <c r="I201" s="146"/>
      <c r="J201" s="146"/>
      <c r="K201" s="146"/>
      <c r="L201" s="146"/>
      <c r="M201" s="146"/>
      <c r="N201" s="146"/>
      <c r="O201" s="146"/>
      <c r="P201" s="146"/>
      <c r="Q201" s="146"/>
      <c r="R201" s="146"/>
      <c r="S201" s="146"/>
      <c r="T201" s="146"/>
      <c r="U201" s="146"/>
      <c r="V201" s="146"/>
      <c r="W201" s="146"/>
      <c r="X201" s="146"/>
      <c r="Y201" s="146"/>
      <c r="Z201" s="146"/>
    </row>
    <row r="202" spans="1:26" ht="15.75" customHeight="1">
      <c r="A202" s="146"/>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146"/>
      <c r="X202" s="146"/>
      <c r="Y202" s="146"/>
      <c r="Z202" s="146"/>
    </row>
    <row r="203" spans="1:26" ht="15.75" customHeight="1">
      <c r="A203" s="146"/>
      <c r="B203" s="146"/>
      <c r="C203" s="146"/>
      <c r="D203" s="146"/>
      <c r="E203" s="146"/>
      <c r="F203" s="146"/>
      <c r="G203" s="146"/>
      <c r="H203" s="146"/>
      <c r="I203" s="146"/>
      <c r="J203" s="146"/>
      <c r="K203" s="146"/>
      <c r="L203" s="146"/>
      <c r="M203" s="146"/>
      <c r="N203" s="146"/>
      <c r="O203" s="146"/>
      <c r="P203" s="146"/>
      <c r="Q203" s="146"/>
      <c r="R203" s="146"/>
      <c r="S203" s="146"/>
      <c r="T203" s="146"/>
      <c r="U203" s="146"/>
      <c r="V203" s="146"/>
      <c r="W203" s="146"/>
      <c r="X203" s="146"/>
      <c r="Y203" s="146"/>
      <c r="Z203" s="146"/>
    </row>
    <row r="204" spans="1:26" ht="15.75" customHeight="1">
      <c r="A204" s="146"/>
      <c r="B204" s="146"/>
      <c r="C204" s="146"/>
      <c r="D204" s="146"/>
      <c r="E204" s="146"/>
      <c r="F204" s="146"/>
      <c r="G204" s="146"/>
      <c r="H204" s="146"/>
      <c r="I204" s="146"/>
      <c r="J204" s="146"/>
      <c r="K204" s="146"/>
      <c r="L204" s="146"/>
      <c r="M204" s="146"/>
      <c r="N204" s="146"/>
      <c r="O204" s="146"/>
      <c r="P204" s="146"/>
      <c r="Q204" s="146"/>
      <c r="R204" s="146"/>
      <c r="S204" s="146"/>
      <c r="T204" s="146"/>
      <c r="U204" s="146"/>
      <c r="V204" s="146"/>
      <c r="W204" s="146"/>
      <c r="X204" s="146"/>
      <c r="Y204" s="146"/>
      <c r="Z204" s="146"/>
    </row>
    <row r="205" spans="1:26" ht="15.75" customHeight="1">
      <c r="A205" s="146"/>
      <c r="B205" s="146"/>
      <c r="C205" s="146"/>
      <c r="D205" s="146"/>
      <c r="E205" s="146"/>
      <c r="F205" s="146"/>
      <c r="G205" s="146"/>
      <c r="H205" s="146"/>
      <c r="I205" s="146"/>
      <c r="J205" s="146"/>
      <c r="K205" s="146"/>
      <c r="L205" s="146"/>
      <c r="M205" s="146"/>
      <c r="N205" s="146"/>
      <c r="O205" s="146"/>
      <c r="P205" s="146"/>
      <c r="Q205" s="146"/>
      <c r="R205" s="146"/>
      <c r="S205" s="146"/>
      <c r="T205" s="146"/>
      <c r="U205" s="146"/>
      <c r="V205" s="146"/>
      <c r="W205" s="146"/>
      <c r="X205" s="146"/>
      <c r="Y205" s="146"/>
      <c r="Z205" s="146"/>
    </row>
    <row r="206" spans="1:26" ht="15.75" customHeight="1">
      <c r="A206" s="146"/>
      <c r="B206" s="146"/>
      <c r="C206" s="146"/>
      <c r="D206" s="146"/>
      <c r="E206" s="146"/>
      <c r="F206" s="146"/>
      <c r="G206" s="146"/>
      <c r="H206" s="146"/>
      <c r="I206" s="146"/>
      <c r="J206" s="146"/>
      <c r="K206" s="146"/>
      <c r="L206" s="146"/>
      <c r="M206" s="146"/>
      <c r="N206" s="146"/>
      <c r="O206" s="146"/>
      <c r="P206" s="146"/>
      <c r="Q206" s="146"/>
      <c r="R206" s="146"/>
      <c r="S206" s="146"/>
      <c r="T206" s="146"/>
      <c r="U206" s="146"/>
      <c r="V206" s="146"/>
      <c r="W206" s="146"/>
      <c r="X206" s="146"/>
      <c r="Y206" s="146"/>
      <c r="Z206" s="146"/>
    </row>
    <row r="207" spans="1:26" ht="15.75" customHeight="1">
      <c r="A207" s="146"/>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row>
    <row r="208" spans="1:26" ht="15.75" customHeight="1">
      <c r="A208" s="146"/>
      <c r="B208" s="146"/>
      <c r="C208" s="146"/>
      <c r="D208" s="146"/>
      <c r="E208" s="146"/>
      <c r="F208" s="146"/>
      <c r="G208" s="146"/>
      <c r="H208" s="146"/>
      <c r="I208" s="146"/>
      <c r="J208" s="146"/>
      <c r="K208" s="146"/>
      <c r="L208" s="146"/>
      <c r="M208" s="146"/>
      <c r="N208" s="146"/>
      <c r="O208" s="146"/>
      <c r="P208" s="146"/>
      <c r="Q208" s="146"/>
      <c r="R208" s="146"/>
      <c r="S208" s="146"/>
      <c r="T208" s="146"/>
      <c r="U208" s="146"/>
      <c r="V208" s="146"/>
      <c r="W208" s="146"/>
      <c r="X208" s="146"/>
      <c r="Y208" s="146"/>
      <c r="Z208" s="146"/>
    </row>
    <row r="209" spans="1:26" ht="15.75" customHeight="1">
      <c r="A209" s="146"/>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146"/>
      <c r="X209" s="146"/>
      <c r="Y209" s="146"/>
      <c r="Z209" s="146"/>
    </row>
    <row r="210" spans="1:26" ht="15.75" customHeight="1">
      <c r="A210" s="146"/>
      <c r="B210" s="146"/>
      <c r="C210" s="146"/>
      <c r="D210" s="146"/>
      <c r="E210" s="146"/>
      <c r="F210" s="146"/>
      <c r="G210" s="146"/>
      <c r="H210" s="146"/>
      <c r="I210" s="146"/>
      <c r="J210" s="146"/>
      <c r="K210" s="146"/>
      <c r="L210" s="146"/>
      <c r="M210" s="146"/>
      <c r="N210" s="146"/>
      <c r="O210" s="146"/>
      <c r="P210" s="146"/>
      <c r="Q210" s="146"/>
      <c r="R210" s="146"/>
      <c r="S210" s="146"/>
      <c r="T210" s="146"/>
      <c r="U210" s="146"/>
      <c r="V210" s="146"/>
      <c r="W210" s="146"/>
      <c r="X210" s="146"/>
      <c r="Y210" s="146"/>
      <c r="Z210" s="146"/>
    </row>
    <row r="211" spans="1:26" ht="15.75" customHeight="1">
      <c r="A211" s="146"/>
      <c r="B211" s="146"/>
      <c r="C211" s="146"/>
      <c r="D211" s="146"/>
      <c r="E211" s="146"/>
      <c r="F211" s="146"/>
      <c r="G211" s="146"/>
      <c r="H211" s="146"/>
      <c r="I211" s="146"/>
      <c r="J211" s="146"/>
      <c r="K211" s="146"/>
      <c r="L211" s="146"/>
      <c r="M211" s="146"/>
      <c r="N211" s="146"/>
      <c r="O211" s="146"/>
      <c r="P211" s="146"/>
      <c r="Q211" s="146"/>
      <c r="R211" s="146"/>
      <c r="S211" s="146"/>
      <c r="T211" s="146"/>
      <c r="U211" s="146"/>
      <c r="V211" s="146"/>
      <c r="W211" s="146"/>
      <c r="X211" s="146"/>
      <c r="Y211" s="146"/>
      <c r="Z211" s="146"/>
    </row>
    <row r="212" spans="1:26" ht="15.75" customHeight="1">
      <c r="A212" s="146"/>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146"/>
      <c r="X212" s="146"/>
      <c r="Y212" s="146"/>
      <c r="Z212" s="146"/>
    </row>
    <row r="213" spans="1:26" ht="15.75" customHeight="1">
      <c r="A213" s="146"/>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146"/>
      <c r="X213" s="146"/>
      <c r="Y213" s="146"/>
      <c r="Z213" s="146"/>
    </row>
    <row r="214" spans="1:26" ht="15.75" customHeight="1">
      <c r="A214" s="146"/>
      <c r="B214" s="146"/>
      <c r="C214" s="146"/>
      <c r="D214" s="146"/>
      <c r="E214" s="146"/>
      <c r="F214" s="146"/>
      <c r="G214" s="146"/>
      <c r="H214" s="146"/>
      <c r="I214" s="146"/>
      <c r="J214" s="146"/>
      <c r="K214" s="146"/>
      <c r="L214" s="146"/>
      <c r="M214" s="146"/>
      <c r="N214" s="146"/>
      <c r="O214" s="146"/>
      <c r="P214" s="146"/>
      <c r="Q214" s="146"/>
      <c r="R214" s="146"/>
      <c r="S214" s="146"/>
      <c r="T214" s="146"/>
      <c r="U214" s="146"/>
      <c r="V214" s="146"/>
      <c r="W214" s="146"/>
      <c r="X214" s="146"/>
      <c r="Y214" s="146"/>
      <c r="Z214" s="146"/>
    </row>
    <row r="215" spans="1:26" ht="15.75" customHeight="1">
      <c r="A215" s="146"/>
      <c r="B215" s="146"/>
      <c r="C215" s="146"/>
      <c r="D215" s="146"/>
      <c r="E215" s="146"/>
      <c r="F215" s="146"/>
      <c r="G215" s="146"/>
      <c r="H215" s="146"/>
      <c r="I215" s="146"/>
      <c r="J215" s="146"/>
      <c r="K215" s="146"/>
      <c r="L215" s="146"/>
      <c r="M215" s="146"/>
      <c r="N215" s="146"/>
      <c r="O215" s="146"/>
      <c r="P215" s="146"/>
      <c r="Q215" s="146"/>
      <c r="R215" s="146"/>
      <c r="S215" s="146"/>
      <c r="T215" s="146"/>
      <c r="U215" s="146"/>
      <c r="V215" s="146"/>
      <c r="W215" s="146"/>
      <c r="X215" s="146"/>
      <c r="Y215" s="146"/>
      <c r="Z215" s="146"/>
    </row>
    <row r="216" spans="1:26" ht="15.75" customHeight="1">
      <c r="A216" s="146"/>
      <c r="B216" s="146"/>
      <c r="C216" s="146"/>
      <c r="D216" s="146"/>
      <c r="E216" s="146"/>
      <c r="F216" s="146"/>
      <c r="G216" s="146"/>
      <c r="H216" s="146"/>
      <c r="I216" s="146"/>
      <c r="J216" s="146"/>
      <c r="K216" s="146"/>
      <c r="L216" s="146"/>
      <c r="M216" s="146"/>
      <c r="N216" s="146"/>
      <c r="O216" s="146"/>
      <c r="P216" s="146"/>
      <c r="Q216" s="146"/>
      <c r="R216" s="146"/>
      <c r="S216" s="146"/>
      <c r="T216" s="146"/>
      <c r="U216" s="146"/>
      <c r="V216" s="146"/>
      <c r="W216" s="146"/>
      <c r="X216" s="146"/>
      <c r="Y216" s="146"/>
      <c r="Z216" s="146"/>
    </row>
    <row r="217" spans="1:26" ht="15.75" customHeight="1">
      <c r="A217" s="146"/>
      <c r="B217" s="146"/>
      <c r="C217" s="146"/>
      <c r="D217" s="146"/>
      <c r="E217" s="146"/>
      <c r="F217" s="146"/>
      <c r="G217" s="146"/>
      <c r="H217" s="146"/>
      <c r="I217" s="146"/>
      <c r="J217" s="146"/>
      <c r="K217" s="146"/>
      <c r="L217" s="146"/>
      <c r="M217" s="146"/>
      <c r="N217" s="146"/>
      <c r="O217" s="146"/>
      <c r="P217" s="146"/>
      <c r="Q217" s="146"/>
      <c r="R217" s="146"/>
      <c r="S217" s="146"/>
      <c r="T217" s="146"/>
      <c r="U217" s="146"/>
      <c r="V217" s="146"/>
      <c r="W217" s="146"/>
      <c r="X217" s="146"/>
      <c r="Y217" s="146"/>
      <c r="Z217" s="146"/>
    </row>
    <row r="218" spans="1:26" ht="15.75" customHeight="1">
      <c r="A218" s="146"/>
      <c r="B218" s="146"/>
      <c r="C218" s="146"/>
      <c r="D218" s="146"/>
      <c r="E218" s="146"/>
      <c r="F218" s="146"/>
      <c r="G218" s="146"/>
      <c r="H218" s="146"/>
      <c r="I218" s="146"/>
      <c r="J218" s="146"/>
      <c r="K218" s="146"/>
      <c r="L218" s="146"/>
      <c r="M218" s="146"/>
      <c r="N218" s="146"/>
      <c r="O218" s="146"/>
      <c r="P218" s="146"/>
      <c r="Q218" s="146"/>
      <c r="R218" s="146"/>
      <c r="S218" s="146"/>
      <c r="T218" s="146"/>
      <c r="U218" s="146"/>
      <c r="V218" s="146"/>
      <c r="W218" s="146"/>
      <c r="X218" s="146"/>
      <c r="Y218" s="146"/>
      <c r="Z218" s="146"/>
    </row>
    <row r="219" spans="1:26" ht="15.75" customHeight="1">
      <c r="A219" s="146"/>
      <c r="B219" s="146"/>
      <c r="C219" s="146"/>
      <c r="D219" s="146"/>
      <c r="E219" s="146"/>
      <c r="F219" s="146"/>
      <c r="G219" s="146"/>
      <c r="H219" s="146"/>
      <c r="I219" s="146"/>
      <c r="J219" s="146"/>
      <c r="K219" s="146"/>
      <c r="L219" s="146"/>
      <c r="M219" s="146"/>
      <c r="N219" s="146"/>
      <c r="O219" s="146"/>
      <c r="P219" s="146"/>
      <c r="Q219" s="146"/>
      <c r="R219" s="146"/>
      <c r="S219" s="146"/>
      <c r="T219" s="146"/>
      <c r="U219" s="146"/>
      <c r="V219" s="146"/>
      <c r="W219" s="146"/>
      <c r="X219" s="146"/>
      <c r="Y219" s="146"/>
      <c r="Z219" s="146"/>
    </row>
    <row r="220" spans="1:26" ht="15.75" customHeight="1">
      <c r="A220" s="146"/>
      <c r="B220" s="146"/>
      <c r="C220" s="146"/>
      <c r="D220" s="146"/>
      <c r="E220" s="146"/>
      <c r="F220" s="146"/>
      <c r="G220" s="146"/>
      <c r="H220" s="146"/>
      <c r="I220" s="146"/>
      <c r="J220" s="146"/>
      <c r="K220" s="146"/>
      <c r="L220" s="146"/>
      <c r="M220" s="146"/>
      <c r="N220" s="146"/>
      <c r="O220" s="146"/>
      <c r="P220" s="146"/>
      <c r="Q220" s="146"/>
      <c r="R220" s="146"/>
      <c r="S220" s="146"/>
      <c r="T220" s="146"/>
      <c r="U220" s="146"/>
      <c r="V220" s="146"/>
      <c r="W220" s="146"/>
      <c r="X220" s="146"/>
      <c r="Y220" s="146"/>
      <c r="Z220" s="146"/>
    </row>
    <row r="221" spans="1:26" ht="15.75" customHeight="1">
      <c r="A221" s="146"/>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146"/>
      <c r="X221" s="146"/>
      <c r="Y221" s="146"/>
      <c r="Z221" s="146"/>
    </row>
    <row r="222" spans="1:26" ht="15.75" customHeight="1">
      <c r="A222" s="146"/>
      <c r="B222" s="146"/>
      <c r="C222" s="146"/>
      <c r="D222" s="146"/>
      <c r="E222" s="146"/>
      <c r="F222" s="146"/>
      <c r="G222" s="146"/>
      <c r="H222" s="146"/>
      <c r="I222" s="146"/>
      <c r="J222" s="146"/>
      <c r="K222" s="146"/>
      <c r="L222" s="146"/>
      <c r="M222" s="146"/>
      <c r="N222" s="146"/>
      <c r="O222" s="146"/>
      <c r="P222" s="146"/>
      <c r="Q222" s="146"/>
      <c r="R222" s="146"/>
      <c r="S222" s="146"/>
      <c r="T222" s="146"/>
      <c r="U222" s="146"/>
      <c r="V222" s="146"/>
      <c r="W222" s="146"/>
      <c r="X222" s="146"/>
      <c r="Y222" s="146"/>
      <c r="Z222" s="146"/>
    </row>
    <row r="223" spans="1:26" ht="15.75" customHeight="1">
      <c r="A223" s="146"/>
      <c r="B223" s="146"/>
      <c r="C223" s="146"/>
      <c r="D223" s="146"/>
      <c r="E223" s="146"/>
      <c r="F223" s="146"/>
      <c r="G223" s="146"/>
      <c r="H223" s="146"/>
      <c r="I223" s="146"/>
      <c r="J223" s="146"/>
      <c r="K223" s="146"/>
      <c r="L223" s="146"/>
      <c r="M223" s="146"/>
      <c r="N223" s="146"/>
      <c r="O223" s="146"/>
      <c r="P223" s="146"/>
      <c r="Q223" s="146"/>
      <c r="R223" s="146"/>
      <c r="S223" s="146"/>
      <c r="T223" s="146"/>
      <c r="U223" s="146"/>
      <c r="V223" s="146"/>
      <c r="W223" s="146"/>
      <c r="X223" s="146"/>
      <c r="Y223" s="146"/>
      <c r="Z223" s="146"/>
    </row>
    <row r="224" spans="1:26" ht="15.75" customHeight="1">
      <c r="A224" s="146"/>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146"/>
      <c r="X224" s="146"/>
      <c r="Y224" s="146"/>
      <c r="Z224" s="146"/>
    </row>
    <row r="225" spans="1:26" ht="15.75" customHeight="1">
      <c r="A225" s="146"/>
      <c r="B225" s="146"/>
      <c r="C225" s="146"/>
      <c r="D225" s="146"/>
      <c r="E225" s="146"/>
      <c r="F225" s="146"/>
      <c r="G225" s="146"/>
      <c r="H225" s="146"/>
      <c r="I225" s="146"/>
      <c r="J225" s="146"/>
      <c r="K225" s="146"/>
      <c r="L225" s="146"/>
      <c r="M225" s="146"/>
      <c r="N225" s="146"/>
      <c r="O225" s="146"/>
      <c r="P225" s="146"/>
      <c r="Q225" s="146"/>
      <c r="R225" s="146"/>
      <c r="S225" s="146"/>
      <c r="T225" s="146"/>
      <c r="U225" s="146"/>
      <c r="V225" s="146"/>
      <c r="W225" s="146"/>
      <c r="X225" s="146"/>
      <c r="Y225" s="146"/>
      <c r="Z225" s="146"/>
    </row>
    <row r="226" spans="1:26" ht="15.75" customHeight="1">
      <c r="A226" s="146"/>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146"/>
      <c r="X226" s="146"/>
      <c r="Y226" s="146"/>
      <c r="Z226" s="146"/>
    </row>
    <row r="227" spans="1:26" ht="15.75" customHeight="1">
      <c r="A227" s="146"/>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146"/>
      <c r="X227" s="146"/>
      <c r="Y227" s="146"/>
      <c r="Z227" s="146"/>
    </row>
    <row r="228" spans="1:26" ht="15.75" customHeight="1">
      <c r="A228" s="146"/>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146"/>
      <c r="X228" s="146"/>
      <c r="Y228" s="146"/>
      <c r="Z228" s="146"/>
    </row>
    <row r="229" spans="1:26" ht="15.75" customHeight="1">
      <c r="A229" s="146"/>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146"/>
      <c r="X229" s="146"/>
      <c r="Y229" s="146"/>
      <c r="Z229" s="146"/>
    </row>
    <row r="230" spans="1:26" ht="15.75" customHeight="1">
      <c r="A230" s="146"/>
      <c r="B230" s="146"/>
      <c r="C230" s="146"/>
      <c r="D230" s="146"/>
      <c r="E230" s="146"/>
      <c r="F230" s="146"/>
      <c r="G230" s="146"/>
      <c r="H230" s="146"/>
      <c r="I230" s="146"/>
      <c r="J230" s="146"/>
      <c r="K230" s="146"/>
      <c r="L230" s="146"/>
      <c r="M230" s="146"/>
      <c r="N230" s="146"/>
      <c r="O230" s="146"/>
      <c r="P230" s="146"/>
      <c r="Q230" s="146"/>
      <c r="R230" s="146"/>
      <c r="S230" s="146"/>
      <c r="T230" s="146"/>
      <c r="U230" s="146"/>
      <c r="V230" s="146"/>
      <c r="W230" s="146"/>
      <c r="X230" s="146"/>
      <c r="Y230" s="146"/>
      <c r="Z230" s="146"/>
    </row>
    <row r="231" spans="1:26" ht="15.75" customHeight="1">
      <c r="A231" s="146"/>
      <c r="B231" s="146"/>
      <c r="C231" s="146"/>
      <c r="D231" s="146"/>
      <c r="E231" s="146"/>
      <c r="F231" s="146"/>
      <c r="G231" s="146"/>
      <c r="H231" s="146"/>
      <c r="I231" s="146"/>
      <c r="J231" s="146"/>
      <c r="K231" s="146"/>
      <c r="L231" s="146"/>
      <c r="M231" s="146"/>
      <c r="N231" s="146"/>
      <c r="O231" s="146"/>
      <c r="P231" s="146"/>
      <c r="Q231" s="146"/>
      <c r="R231" s="146"/>
      <c r="S231" s="146"/>
      <c r="T231" s="146"/>
      <c r="U231" s="146"/>
      <c r="V231" s="146"/>
      <c r="W231" s="146"/>
      <c r="X231" s="146"/>
      <c r="Y231" s="146"/>
      <c r="Z231" s="146"/>
    </row>
    <row r="232" spans="1:26" ht="15.75" customHeight="1">
      <c r="A232" s="146"/>
      <c r="B232" s="146"/>
      <c r="C232" s="146"/>
      <c r="D232" s="146"/>
      <c r="E232" s="146"/>
      <c r="F232" s="146"/>
      <c r="G232" s="146"/>
      <c r="H232" s="146"/>
      <c r="I232" s="146"/>
      <c r="J232" s="146"/>
      <c r="K232" s="146"/>
      <c r="L232" s="146"/>
      <c r="M232" s="146"/>
      <c r="N232" s="146"/>
      <c r="O232" s="146"/>
      <c r="P232" s="146"/>
      <c r="Q232" s="146"/>
      <c r="R232" s="146"/>
      <c r="S232" s="146"/>
      <c r="T232" s="146"/>
      <c r="U232" s="146"/>
      <c r="V232" s="146"/>
      <c r="W232" s="146"/>
      <c r="X232" s="146"/>
      <c r="Y232" s="146"/>
      <c r="Z232" s="146"/>
    </row>
    <row r="233" spans="1:26" ht="15.75" customHeight="1">
      <c r="A233" s="146"/>
      <c r="B233" s="146"/>
      <c r="C233" s="146"/>
      <c r="D233" s="146"/>
      <c r="E233" s="146"/>
      <c r="F233" s="146"/>
      <c r="G233" s="146"/>
      <c r="H233" s="146"/>
      <c r="I233" s="146"/>
      <c r="J233" s="146"/>
      <c r="K233" s="146"/>
      <c r="L233" s="146"/>
      <c r="M233" s="146"/>
      <c r="N233" s="146"/>
      <c r="O233" s="146"/>
      <c r="P233" s="146"/>
      <c r="Q233" s="146"/>
      <c r="R233" s="146"/>
      <c r="S233" s="146"/>
      <c r="T233" s="146"/>
      <c r="U233" s="146"/>
      <c r="V233" s="146"/>
      <c r="W233" s="146"/>
      <c r="X233" s="146"/>
      <c r="Y233" s="146"/>
      <c r="Z233" s="146"/>
    </row>
    <row r="234" spans="1:26" ht="15.75" customHeight="1">
      <c r="A234" s="146"/>
      <c r="B234" s="146"/>
      <c r="C234" s="146"/>
      <c r="D234" s="146"/>
      <c r="E234" s="146"/>
      <c r="F234" s="146"/>
      <c r="G234" s="146"/>
      <c r="H234" s="146"/>
      <c r="I234" s="146"/>
      <c r="J234" s="146"/>
      <c r="K234" s="146"/>
      <c r="L234" s="146"/>
      <c r="M234" s="146"/>
      <c r="N234" s="146"/>
      <c r="O234" s="146"/>
      <c r="P234" s="146"/>
      <c r="Q234" s="146"/>
      <c r="R234" s="146"/>
      <c r="S234" s="146"/>
      <c r="T234" s="146"/>
      <c r="U234" s="146"/>
      <c r="V234" s="146"/>
      <c r="W234" s="146"/>
      <c r="X234" s="146"/>
      <c r="Y234" s="146"/>
      <c r="Z234" s="146"/>
    </row>
    <row r="235" spans="1:26" ht="15.75" customHeight="1">
      <c r="A235" s="146"/>
      <c r="B235" s="146"/>
      <c r="C235" s="146"/>
      <c r="D235" s="146"/>
      <c r="E235" s="146"/>
      <c r="F235" s="146"/>
      <c r="G235" s="146"/>
      <c r="H235" s="146"/>
      <c r="I235" s="146"/>
      <c r="J235" s="146"/>
      <c r="K235" s="146"/>
      <c r="L235" s="146"/>
      <c r="M235" s="146"/>
      <c r="N235" s="146"/>
      <c r="O235" s="146"/>
      <c r="P235" s="146"/>
      <c r="Q235" s="146"/>
      <c r="R235" s="146"/>
      <c r="S235" s="146"/>
      <c r="T235" s="146"/>
      <c r="U235" s="146"/>
      <c r="V235" s="146"/>
      <c r="W235" s="146"/>
      <c r="X235" s="146"/>
      <c r="Y235" s="146"/>
      <c r="Z235" s="146"/>
    </row>
    <row r="236" spans="1:26" ht="15.75" customHeight="1">
      <c r="A236" s="146"/>
      <c r="B236" s="146"/>
      <c r="C236" s="146"/>
      <c r="D236" s="146"/>
      <c r="E236" s="146"/>
      <c r="F236" s="146"/>
      <c r="G236" s="146"/>
      <c r="H236" s="146"/>
      <c r="I236" s="146"/>
      <c r="J236" s="146"/>
      <c r="K236" s="146"/>
      <c r="L236" s="146"/>
      <c r="M236" s="146"/>
      <c r="N236" s="146"/>
      <c r="O236" s="146"/>
      <c r="P236" s="146"/>
      <c r="Q236" s="146"/>
      <c r="R236" s="146"/>
      <c r="S236" s="146"/>
      <c r="T236" s="146"/>
      <c r="U236" s="146"/>
      <c r="V236" s="146"/>
      <c r="W236" s="146"/>
      <c r="X236" s="146"/>
      <c r="Y236" s="146"/>
      <c r="Z236" s="146"/>
    </row>
    <row r="237" spans="1:26" ht="15.75" customHeight="1">
      <c r="A237" s="146"/>
      <c r="B237" s="146"/>
      <c r="C237" s="146"/>
      <c r="D237" s="146"/>
      <c r="E237" s="146"/>
      <c r="F237" s="146"/>
      <c r="G237" s="146"/>
      <c r="H237" s="146"/>
      <c r="I237" s="146"/>
      <c r="J237" s="146"/>
      <c r="K237" s="146"/>
      <c r="L237" s="146"/>
      <c r="M237" s="146"/>
      <c r="N237" s="146"/>
      <c r="O237" s="146"/>
      <c r="P237" s="146"/>
      <c r="Q237" s="146"/>
      <c r="R237" s="146"/>
      <c r="S237" s="146"/>
      <c r="T237" s="146"/>
      <c r="U237" s="146"/>
      <c r="V237" s="146"/>
      <c r="W237" s="146"/>
      <c r="X237" s="146"/>
      <c r="Y237" s="146"/>
      <c r="Z237" s="146"/>
    </row>
    <row r="238" spans="1:26" ht="15.75" customHeight="1">
      <c r="A238" s="146"/>
      <c r="B238" s="146"/>
      <c r="C238" s="146"/>
      <c r="D238" s="146"/>
      <c r="E238" s="146"/>
      <c r="F238" s="146"/>
      <c r="G238" s="146"/>
      <c r="H238" s="146"/>
      <c r="I238" s="146"/>
      <c r="J238" s="146"/>
      <c r="K238" s="146"/>
      <c r="L238" s="146"/>
      <c r="M238" s="146"/>
      <c r="N238" s="146"/>
      <c r="O238" s="146"/>
      <c r="P238" s="146"/>
      <c r="Q238" s="146"/>
      <c r="R238" s="146"/>
      <c r="S238" s="146"/>
      <c r="T238" s="146"/>
      <c r="U238" s="146"/>
      <c r="V238" s="146"/>
      <c r="W238" s="146"/>
      <c r="X238" s="146"/>
      <c r="Y238" s="146"/>
      <c r="Z238" s="146"/>
    </row>
    <row r="239" spans="1:26" ht="15.75" customHeight="1">
      <c r="A239" s="146"/>
      <c r="B239" s="146"/>
      <c r="C239" s="146"/>
      <c r="D239" s="146"/>
      <c r="E239" s="146"/>
      <c r="F239" s="146"/>
      <c r="G239" s="146"/>
      <c r="H239" s="146"/>
      <c r="I239" s="146"/>
      <c r="J239" s="146"/>
      <c r="K239" s="146"/>
      <c r="L239" s="146"/>
      <c r="M239" s="146"/>
      <c r="N239" s="146"/>
      <c r="O239" s="146"/>
      <c r="P239" s="146"/>
      <c r="Q239" s="146"/>
      <c r="R239" s="146"/>
      <c r="S239" s="146"/>
      <c r="T239" s="146"/>
      <c r="U239" s="146"/>
      <c r="V239" s="146"/>
      <c r="W239" s="146"/>
      <c r="X239" s="146"/>
      <c r="Y239" s="146"/>
      <c r="Z239" s="146"/>
    </row>
    <row r="240" spans="1:26" ht="15.75" customHeight="1">
      <c r="A240" s="146"/>
      <c r="B240" s="146"/>
      <c r="C240" s="146"/>
      <c r="D240" s="146"/>
      <c r="E240" s="146"/>
      <c r="F240" s="146"/>
      <c r="G240" s="146"/>
      <c r="H240" s="146"/>
      <c r="I240" s="146"/>
      <c r="J240" s="146"/>
      <c r="K240" s="146"/>
      <c r="L240" s="146"/>
      <c r="M240" s="146"/>
      <c r="N240" s="146"/>
      <c r="O240" s="146"/>
      <c r="P240" s="146"/>
      <c r="Q240" s="146"/>
      <c r="R240" s="146"/>
      <c r="S240" s="146"/>
      <c r="T240" s="146"/>
      <c r="U240" s="146"/>
      <c r="V240" s="146"/>
      <c r="W240" s="146"/>
      <c r="X240" s="146"/>
      <c r="Y240" s="146"/>
      <c r="Z240" s="146"/>
    </row>
    <row r="241" spans="1:26" ht="15.75" customHeight="1">
      <c r="A241" s="146"/>
      <c r="B241" s="146"/>
      <c r="C241" s="146"/>
      <c r="D241" s="146"/>
      <c r="E241" s="146"/>
      <c r="F241" s="146"/>
      <c r="G241" s="146"/>
      <c r="H241" s="146"/>
      <c r="I241" s="146"/>
      <c r="J241" s="146"/>
      <c r="K241" s="146"/>
      <c r="L241" s="146"/>
      <c r="M241" s="146"/>
      <c r="N241" s="146"/>
      <c r="O241" s="146"/>
      <c r="P241" s="146"/>
      <c r="Q241" s="146"/>
      <c r="R241" s="146"/>
      <c r="S241" s="146"/>
      <c r="T241" s="146"/>
      <c r="U241" s="146"/>
      <c r="V241" s="146"/>
      <c r="W241" s="146"/>
      <c r="X241" s="146"/>
      <c r="Y241" s="146"/>
      <c r="Z241" s="146"/>
    </row>
    <row r="242" spans="1:26" ht="15.75" customHeight="1">
      <c r="A242" s="146"/>
      <c r="B242" s="146"/>
      <c r="C242" s="146"/>
      <c r="D242" s="146"/>
      <c r="E242" s="146"/>
      <c r="F242" s="146"/>
      <c r="G242" s="146"/>
      <c r="H242" s="146"/>
      <c r="I242" s="146"/>
      <c r="J242" s="146"/>
      <c r="K242" s="146"/>
      <c r="L242" s="146"/>
      <c r="M242" s="146"/>
      <c r="N242" s="146"/>
      <c r="O242" s="146"/>
      <c r="P242" s="146"/>
      <c r="Q242" s="146"/>
      <c r="R242" s="146"/>
      <c r="S242" s="146"/>
      <c r="T242" s="146"/>
      <c r="U242" s="146"/>
      <c r="V242" s="146"/>
      <c r="W242" s="146"/>
      <c r="X242" s="146"/>
      <c r="Y242" s="146"/>
      <c r="Z242" s="146"/>
    </row>
    <row r="243" spans="1:26" ht="15.75" customHeight="1">
      <c r="A243" s="146"/>
      <c r="B243" s="146"/>
      <c r="C243" s="146"/>
      <c r="D243" s="146"/>
      <c r="E243" s="146"/>
      <c r="F243" s="146"/>
      <c r="G243" s="146"/>
      <c r="H243" s="146"/>
      <c r="I243" s="146"/>
      <c r="J243" s="146"/>
      <c r="K243" s="146"/>
      <c r="L243" s="146"/>
      <c r="M243" s="146"/>
      <c r="N243" s="146"/>
      <c r="O243" s="146"/>
      <c r="P243" s="146"/>
      <c r="Q243" s="146"/>
      <c r="R243" s="146"/>
      <c r="S243" s="146"/>
      <c r="T243" s="146"/>
      <c r="U243" s="146"/>
      <c r="V243" s="146"/>
      <c r="W243" s="146"/>
      <c r="X243" s="146"/>
      <c r="Y243" s="146"/>
      <c r="Z243" s="146"/>
    </row>
    <row r="244" spans="1:26" ht="15.75" customHeight="1">
      <c r="A244" s="146"/>
      <c r="B244" s="146"/>
      <c r="C244" s="146"/>
      <c r="D244" s="146"/>
      <c r="E244" s="146"/>
      <c r="F244" s="146"/>
      <c r="G244" s="146"/>
      <c r="H244" s="146"/>
      <c r="I244" s="146"/>
      <c r="J244" s="146"/>
      <c r="K244" s="146"/>
      <c r="L244" s="146"/>
      <c r="M244" s="146"/>
      <c r="N244" s="146"/>
      <c r="O244" s="146"/>
      <c r="P244" s="146"/>
      <c r="Q244" s="146"/>
      <c r="R244" s="146"/>
      <c r="S244" s="146"/>
      <c r="T244" s="146"/>
      <c r="U244" s="146"/>
      <c r="V244" s="146"/>
      <c r="W244" s="146"/>
      <c r="X244" s="146"/>
      <c r="Y244" s="146"/>
      <c r="Z244" s="146"/>
    </row>
    <row r="245" spans="1:26" ht="15.75" customHeight="1">
      <c r="A245" s="146"/>
      <c r="B245" s="146"/>
      <c r="C245" s="146"/>
      <c r="D245" s="146"/>
      <c r="E245" s="146"/>
      <c r="F245" s="146"/>
      <c r="G245" s="146"/>
      <c r="H245" s="146"/>
      <c r="I245" s="146"/>
      <c r="J245" s="146"/>
      <c r="K245" s="146"/>
      <c r="L245" s="146"/>
      <c r="M245" s="146"/>
      <c r="N245" s="146"/>
      <c r="O245" s="146"/>
      <c r="P245" s="146"/>
      <c r="Q245" s="146"/>
      <c r="R245" s="146"/>
      <c r="S245" s="146"/>
      <c r="T245" s="146"/>
      <c r="U245" s="146"/>
      <c r="V245" s="146"/>
      <c r="W245" s="146"/>
      <c r="X245" s="146"/>
      <c r="Y245" s="146"/>
      <c r="Z245" s="146"/>
    </row>
    <row r="246" spans="1:26" ht="15.75" customHeight="1">
      <c r="A246" s="146"/>
      <c r="B246" s="146"/>
      <c r="C246" s="146"/>
      <c r="D246" s="146"/>
      <c r="E246" s="146"/>
      <c r="F246" s="146"/>
      <c r="G246" s="146"/>
      <c r="H246" s="146"/>
      <c r="I246" s="146"/>
      <c r="J246" s="146"/>
      <c r="K246" s="146"/>
      <c r="L246" s="146"/>
      <c r="M246" s="146"/>
      <c r="N246" s="146"/>
      <c r="O246" s="146"/>
      <c r="P246" s="146"/>
      <c r="Q246" s="146"/>
      <c r="R246" s="146"/>
      <c r="S246" s="146"/>
      <c r="T246" s="146"/>
      <c r="U246" s="146"/>
      <c r="V246" s="146"/>
      <c r="W246" s="146"/>
      <c r="X246" s="146"/>
      <c r="Y246" s="146"/>
      <c r="Z246" s="146"/>
    </row>
    <row r="247" spans="1:26" ht="15.75" customHeight="1">
      <c r="A247" s="146"/>
      <c r="B247" s="146"/>
      <c r="C247" s="146"/>
      <c r="D247" s="146"/>
      <c r="E247" s="146"/>
      <c r="F247" s="146"/>
      <c r="G247" s="146"/>
      <c r="H247" s="146"/>
      <c r="I247" s="146"/>
      <c r="J247" s="146"/>
      <c r="K247" s="146"/>
      <c r="L247" s="146"/>
      <c r="M247" s="146"/>
      <c r="N247" s="146"/>
      <c r="O247" s="146"/>
      <c r="P247" s="146"/>
      <c r="Q247" s="146"/>
      <c r="R247" s="146"/>
      <c r="S247" s="146"/>
      <c r="T247" s="146"/>
      <c r="U247" s="146"/>
      <c r="V247" s="146"/>
      <c r="W247" s="146"/>
      <c r="X247" s="146"/>
      <c r="Y247" s="146"/>
      <c r="Z247" s="146"/>
    </row>
    <row r="248" spans="1:26" ht="15.75" customHeight="1">
      <c r="A248" s="146"/>
      <c r="B248" s="146"/>
      <c r="C248" s="146"/>
      <c r="D248" s="146"/>
      <c r="E248" s="146"/>
      <c r="F248" s="146"/>
      <c r="G248" s="146"/>
      <c r="H248" s="146"/>
      <c r="I248" s="146"/>
      <c r="J248" s="146"/>
      <c r="K248" s="146"/>
      <c r="L248" s="146"/>
      <c r="M248" s="146"/>
      <c r="N248" s="146"/>
      <c r="O248" s="146"/>
      <c r="P248" s="146"/>
      <c r="Q248" s="146"/>
      <c r="R248" s="146"/>
      <c r="S248" s="146"/>
      <c r="T248" s="146"/>
      <c r="U248" s="146"/>
      <c r="V248" s="146"/>
      <c r="W248" s="146"/>
      <c r="X248" s="146"/>
      <c r="Y248" s="146"/>
      <c r="Z248" s="146"/>
    </row>
    <row r="249" spans="1:26" ht="15.75" customHeight="1">
      <c r="A249" s="146"/>
      <c r="B249" s="146"/>
      <c r="C249" s="146"/>
      <c r="D249" s="146"/>
      <c r="E249" s="146"/>
      <c r="F249" s="146"/>
      <c r="G249" s="146"/>
      <c r="H249" s="146"/>
      <c r="I249" s="146"/>
      <c r="J249" s="146"/>
      <c r="K249" s="146"/>
      <c r="L249" s="146"/>
      <c r="M249" s="146"/>
      <c r="N249" s="146"/>
      <c r="O249" s="146"/>
      <c r="P249" s="146"/>
      <c r="Q249" s="146"/>
      <c r="R249" s="146"/>
      <c r="S249" s="146"/>
      <c r="T249" s="146"/>
      <c r="U249" s="146"/>
      <c r="V249" s="146"/>
      <c r="W249" s="146"/>
      <c r="X249" s="146"/>
      <c r="Y249" s="146"/>
      <c r="Z249" s="146"/>
    </row>
    <row r="250" spans="1:26" ht="15.75" customHeight="1">
      <c r="A250" s="146"/>
      <c r="B250" s="146"/>
      <c r="C250" s="146"/>
      <c r="D250" s="146"/>
      <c r="E250" s="146"/>
      <c r="F250" s="146"/>
      <c r="G250" s="146"/>
      <c r="H250" s="146"/>
      <c r="I250" s="146"/>
      <c r="J250" s="146"/>
      <c r="K250" s="146"/>
      <c r="L250" s="146"/>
      <c r="M250" s="146"/>
      <c r="N250" s="146"/>
      <c r="O250" s="146"/>
      <c r="P250" s="146"/>
      <c r="Q250" s="146"/>
      <c r="R250" s="146"/>
      <c r="S250" s="146"/>
      <c r="T250" s="146"/>
      <c r="U250" s="146"/>
      <c r="V250" s="146"/>
      <c r="W250" s="146"/>
      <c r="X250" s="146"/>
      <c r="Y250" s="146"/>
      <c r="Z250" s="146"/>
    </row>
    <row r="251" spans="1:26" ht="15.75" customHeight="1">
      <c r="A251" s="146"/>
      <c r="B251" s="146"/>
      <c r="C251" s="146"/>
      <c r="D251" s="146"/>
      <c r="E251" s="146"/>
      <c r="F251" s="146"/>
      <c r="G251" s="146"/>
      <c r="H251" s="146"/>
      <c r="I251" s="146"/>
      <c r="J251" s="146"/>
      <c r="K251" s="146"/>
      <c r="L251" s="146"/>
      <c r="M251" s="146"/>
      <c r="N251" s="146"/>
      <c r="O251" s="146"/>
      <c r="P251" s="146"/>
      <c r="Q251" s="146"/>
      <c r="R251" s="146"/>
      <c r="S251" s="146"/>
      <c r="T251" s="146"/>
      <c r="U251" s="146"/>
      <c r="V251" s="146"/>
      <c r="W251" s="146"/>
      <c r="X251" s="146"/>
      <c r="Y251" s="146"/>
      <c r="Z251" s="146"/>
    </row>
    <row r="252" spans="1:26" ht="15.75" customHeight="1">
      <c r="A252" s="146"/>
      <c r="B252" s="146"/>
      <c r="C252" s="146"/>
      <c r="D252" s="146"/>
      <c r="E252" s="146"/>
      <c r="F252" s="146"/>
      <c r="G252" s="146"/>
      <c r="H252" s="146"/>
      <c r="I252" s="146"/>
      <c r="J252" s="146"/>
      <c r="K252" s="146"/>
      <c r="L252" s="146"/>
      <c r="M252" s="146"/>
      <c r="N252" s="146"/>
      <c r="O252" s="146"/>
      <c r="P252" s="146"/>
      <c r="Q252" s="146"/>
      <c r="R252" s="146"/>
      <c r="S252" s="146"/>
      <c r="T252" s="146"/>
      <c r="U252" s="146"/>
      <c r="V252" s="146"/>
      <c r="W252" s="146"/>
      <c r="X252" s="146"/>
      <c r="Y252" s="146"/>
      <c r="Z252" s="146"/>
    </row>
    <row r="253" spans="1:26" ht="15.75" customHeight="1">
      <c r="A253" s="146"/>
      <c r="B253" s="146"/>
      <c r="C253" s="146"/>
      <c r="D253" s="146"/>
      <c r="E253" s="146"/>
      <c r="F253" s="146"/>
      <c r="G253" s="146"/>
      <c r="H253" s="146"/>
      <c r="I253" s="146"/>
      <c r="J253" s="146"/>
      <c r="K253" s="146"/>
      <c r="L253" s="146"/>
      <c r="M253" s="146"/>
      <c r="N253" s="146"/>
      <c r="O253" s="146"/>
      <c r="P253" s="146"/>
      <c r="Q253" s="146"/>
      <c r="R253" s="146"/>
      <c r="S253" s="146"/>
      <c r="T253" s="146"/>
      <c r="U253" s="146"/>
      <c r="V253" s="146"/>
      <c r="W253" s="146"/>
      <c r="X253" s="146"/>
      <c r="Y253" s="146"/>
      <c r="Z253" s="146"/>
    </row>
    <row r="254" spans="1:26" ht="15.75" customHeight="1">
      <c r="A254" s="146"/>
      <c r="B254" s="146"/>
      <c r="C254" s="146"/>
      <c r="D254" s="146"/>
      <c r="E254" s="146"/>
      <c r="F254" s="146"/>
      <c r="G254" s="146"/>
      <c r="H254" s="146"/>
      <c r="I254" s="146"/>
      <c r="J254" s="146"/>
      <c r="K254" s="146"/>
      <c r="L254" s="146"/>
      <c r="M254" s="146"/>
      <c r="N254" s="146"/>
      <c r="O254" s="146"/>
      <c r="P254" s="146"/>
      <c r="Q254" s="146"/>
      <c r="R254" s="146"/>
      <c r="S254" s="146"/>
      <c r="T254" s="146"/>
      <c r="U254" s="146"/>
      <c r="V254" s="146"/>
      <c r="W254" s="146"/>
      <c r="X254" s="146"/>
      <c r="Y254" s="146"/>
      <c r="Z254" s="146"/>
    </row>
    <row r="255" spans="1:26" ht="15.75" customHeight="1">
      <c r="A255" s="146"/>
      <c r="B255" s="146"/>
      <c r="C255" s="146"/>
      <c r="D255" s="146"/>
      <c r="E255" s="146"/>
      <c r="F255" s="146"/>
      <c r="G255" s="146"/>
      <c r="H255" s="146"/>
      <c r="I255" s="146"/>
      <c r="J255" s="146"/>
      <c r="K255" s="146"/>
      <c r="L255" s="146"/>
      <c r="M255" s="146"/>
      <c r="N255" s="146"/>
      <c r="O255" s="146"/>
      <c r="P255" s="146"/>
      <c r="Q255" s="146"/>
      <c r="R255" s="146"/>
      <c r="S255" s="146"/>
      <c r="T255" s="146"/>
      <c r="U255" s="146"/>
      <c r="V255" s="146"/>
      <c r="W255" s="146"/>
      <c r="X255" s="146"/>
      <c r="Y255" s="146"/>
      <c r="Z255" s="146"/>
    </row>
    <row r="256" spans="1:26" ht="15.75" customHeight="1">
      <c r="A256" s="146"/>
      <c r="B256" s="146"/>
      <c r="C256" s="146"/>
      <c r="D256" s="146"/>
      <c r="E256" s="146"/>
      <c r="F256" s="146"/>
      <c r="G256" s="146"/>
      <c r="H256" s="146"/>
      <c r="I256" s="146"/>
      <c r="J256" s="146"/>
      <c r="K256" s="146"/>
      <c r="L256" s="146"/>
      <c r="M256" s="146"/>
      <c r="N256" s="146"/>
      <c r="O256" s="146"/>
      <c r="P256" s="146"/>
      <c r="Q256" s="146"/>
      <c r="R256" s="146"/>
      <c r="S256" s="146"/>
      <c r="T256" s="146"/>
      <c r="U256" s="146"/>
      <c r="V256" s="146"/>
      <c r="W256" s="146"/>
      <c r="X256" s="146"/>
      <c r="Y256" s="146"/>
      <c r="Z256" s="146"/>
    </row>
    <row r="257" spans="1:26" ht="15.75" customHeight="1">
      <c r="A257" s="146"/>
      <c r="B257" s="146"/>
      <c r="C257" s="146"/>
      <c r="D257" s="146"/>
      <c r="E257" s="146"/>
      <c r="F257" s="146"/>
      <c r="G257" s="146"/>
      <c r="H257" s="146"/>
      <c r="I257" s="146"/>
      <c r="J257" s="146"/>
      <c r="K257" s="146"/>
      <c r="L257" s="146"/>
      <c r="M257" s="146"/>
      <c r="N257" s="146"/>
      <c r="O257" s="146"/>
      <c r="P257" s="146"/>
      <c r="Q257" s="146"/>
      <c r="R257" s="146"/>
      <c r="S257" s="146"/>
      <c r="T257" s="146"/>
      <c r="U257" s="146"/>
      <c r="V257" s="146"/>
      <c r="W257" s="146"/>
      <c r="X257" s="146"/>
      <c r="Y257" s="146"/>
      <c r="Z257" s="146"/>
    </row>
    <row r="258" spans="1:26" ht="15.75" customHeight="1">
      <c r="A258" s="146"/>
      <c r="B258" s="146"/>
      <c r="C258" s="146"/>
      <c r="D258" s="146"/>
      <c r="E258" s="146"/>
      <c r="F258" s="146"/>
      <c r="G258" s="146"/>
      <c r="H258" s="146"/>
      <c r="I258" s="146"/>
      <c r="J258" s="146"/>
      <c r="K258" s="146"/>
      <c r="L258" s="146"/>
      <c r="M258" s="146"/>
      <c r="N258" s="146"/>
      <c r="O258" s="146"/>
      <c r="P258" s="146"/>
      <c r="Q258" s="146"/>
      <c r="R258" s="146"/>
      <c r="S258" s="146"/>
      <c r="T258" s="146"/>
      <c r="U258" s="146"/>
      <c r="V258" s="146"/>
      <c r="W258" s="146"/>
      <c r="X258" s="146"/>
      <c r="Y258" s="146"/>
      <c r="Z258" s="146"/>
    </row>
    <row r="259" spans="1:26" ht="15.75" customHeight="1">
      <c r="A259" s="146"/>
      <c r="B259" s="146"/>
      <c r="C259" s="146"/>
      <c r="D259" s="146"/>
      <c r="E259" s="146"/>
      <c r="F259" s="146"/>
      <c r="G259" s="146"/>
      <c r="H259" s="146"/>
      <c r="I259" s="146"/>
      <c r="J259" s="146"/>
      <c r="K259" s="146"/>
      <c r="L259" s="146"/>
      <c r="M259" s="146"/>
      <c r="N259" s="146"/>
      <c r="O259" s="146"/>
      <c r="P259" s="146"/>
      <c r="Q259" s="146"/>
      <c r="R259" s="146"/>
      <c r="S259" s="146"/>
      <c r="T259" s="146"/>
      <c r="U259" s="146"/>
      <c r="V259" s="146"/>
      <c r="W259" s="146"/>
      <c r="X259" s="146"/>
      <c r="Y259" s="146"/>
      <c r="Z259" s="146"/>
    </row>
    <row r="260" spans="1:26" ht="15.75" customHeight="1">
      <c r="A260" s="146"/>
      <c r="B260" s="146"/>
      <c r="C260" s="146"/>
      <c r="D260" s="146"/>
      <c r="E260" s="146"/>
      <c r="F260" s="146"/>
      <c r="G260" s="146"/>
      <c r="H260" s="146"/>
      <c r="I260" s="146"/>
      <c r="J260" s="146"/>
      <c r="K260" s="146"/>
      <c r="L260" s="146"/>
      <c r="M260" s="146"/>
      <c r="N260" s="146"/>
      <c r="O260" s="146"/>
      <c r="P260" s="146"/>
      <c r="Q260" s="146"/>
      <c r="R260" s="146"/>
      <c r="S260" s="146"/>
      <c r="T260" s="146"/>
      <c r="U260" s="146"/>
      <c r="V260" s="146"/>
      <c r="W260" s="146"/>
      <c r="X260" s="146"/>
      <c r="Y260" s="146"/>
      <c r="Z260" s="146"/>
    </row>
    <row r="261" spans="1:26" ht="15.75" customHeight="1">
      <c r="A261" s="146"/>
      <c r="B261" s="146"/>
      <c r="C261" s="146"/>
      <c r="D261" s="146"/>
      <c r="E261" s="146"/>
      <c r="F261" s="146"/>
      <c r="G261" s="146"/>
      <c r="H261" s="146"/>
      <c r="I261" s="146"/>
      <c r="J261" s="146"/>
      <c r="K261" s="146"/>
      <c r="L261" s="146"/>
      <c r="M261" s="146"/>
      <c r="N261" s="146"/>
      <c r="O261" s="146"/>
      <c r="P261" s="146"/>
      <c r="Q261" s="146"/>
      <c r="R261" s="146"/>
      <c r="S261" s="146"/>
      <c r="T261" s="146"/>
      <c r="U261" s="146"/>
      <c r="V261" s="146"/>
      <c r="W261" s="146"/>
      <c r="X261" s="146"/>
      <c r="Y261" s="146"/>
      <c r="Z261" s="146"/>
    </row>
    <row r="262" spans="1:26" ht="15.75" customHeight="1">
      <c r="A262" s="146"/>
      <c r="B262" s="146"/>
      <c r="C262" s="146"/>
      <c r="D262" s="146"/>
      <c r="E262" s="146"/>
      <c r="F262" s="146"/>
      <c r="G262" s="146"/>
      <c r="H262" s="146"/>
      <c r="I262" s="146"/>
      <c r="J262" s="146"/>
      <c r="K262" s="146"/>
      <c r="L262" s="146"/>
      <c r="M262" s="146"/>
      <c r="N262" s="146"/>
      <c r="O262" s="146"/>
      <c r="P262" s="146"/>
      <c r="Q262" s="146"/>
      <c r="R262" s="146"/>
      <c r="S262" s="146"/>
      <c r="T262" s="146"/>
      <c r="U262" s="146"/>
      <c r="V262" s="146"/>
      <c r="W262" s="146"/>
      <c r="X262" s="146"/>
      <c r="Y262" s="146"/>
      <c r="Z262" s="146"/>
    </row>
    <row r="263" spans="1:26" ht="15.75" customHeight="1">
      <c r="A263" s="146"/>
      <c r="B263" s="146"/>
      <c r="C263" s="146"/>
      <c r="D263" s="146"/>
      <c r="E263" s="146"/>
      <c r="F263" s="146"/>
      <c r="G263" s="146"/>
      <c r="H263" s="146"/>
      <c r="I263" s="146"/>
      <c r="J263" s="146"/>
      <c r="K263" s="146"/>
      <c r="L263" s="146"/>
      <c r="M263" s="146"/>
      <c r="N263" s="146"/>
      <c r="O263" s="146"/>
      <c r="P263" s="146"/>
      <c r="Q263" s="146"/>
      <c r="R263" s="146"/>
      <c r="S263" s="146"/>
      <c r="T263" s="146"/>
      <c r="U263" s="146"/>
      <c r="V263" s="146"/>
      <c r="W263" s="146"/>
      <c r="X263" s="146"/>
      <c r="Y263" s="146"/>
      <c r="Z263" s="146"/>
    </row>
    <row r="264" spans="1:26" ht="15.75" customHeight="1">
      <c r="A264" s="146"/>
      <c r="B264" s="146"/>
      <c r="C264" s="146"/>
      <c r="D264" s="146"/>
      <c r="E264" s="146"/>
      <c r="F264" s="146"/>
      <c r="G264" s="146"/>
      <c r="H264" s="146"/>
      <c r="I264" s="146"/>
      <c r="J264" s="146"/>
      <c r="K264" s="146"/>
      <c r="L264" s="146"/>
      <c r="M264" s="146"/>
      <c r="N264" s="146"/>
      <c r="O264" s="146"/>
      <c r="P264" s="146"/>
      <c r="Q264" s="146"/>
      <c r="R264" s="146"/>
      <c r="S264" s="146"/>
      <c r="T264" s="146"/>
      <c r="U264" s="146"/>
      <c r="V264" s="146"/>
      <c r="W264" s="146"/>
      <c r="X264" s="146"/>
      <c r="Y264" s="146"/>
      <c r="Z264" s="146"/>
    </row>
    <row r="265" spans="1:26" ht="15.75" customHeight="1">
      <c r="A265" s="146"/>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146"/>
      <c r="X265" s="146"/>
      <c r="Y265" s="146"/>
      <c r="Z265" s="146"/>
    </row>
    <row r="266" spans="1:26" ht="15.75" customHeight="1">
      <c r="A266" s="146"/>
      <c r="B266" s="146"/>
      <c r="C266" s="146"/>
      <c r="D266" s="146"/>
      <c r="E266" s="146"/>
      <c r="F266" s="146"/>
      <c r="G266" s="146"/>
      <c r="H266" s="146"/>
      <c r="I266" s="146"/>
      <c r="J266" s="146"/>
      <c r="K266" s="146"/>
      <c r="L266" s="146"/>
      <c r="M266" s="146"/>
      <c r="N266" s="146"/>
      <c r="O266" s="146"/>
      <c r="P266" s="146"/>
      <c r="Q266" s="146"/>
      <c r="R266" s="146"/>
      <c r="S266" s="146"/>
      <c r="T266" s="146"/>
      <c r="U266" s="146"/>
      <c r="V266" s="146"/>
      <c r="W266" s="146"/>
      <c r="X266" s="146"/>
      <c r="Y266" s="146"/>
      <c r="Z266" s="146"/>
    </row>
    <row r="267" spans="1:26" ht="15.75" customHeight="1">
      <c r="A267" s="146"/>
      <c r="B267" s="146"/>
      <c r="C267" s="146"/>
      <c r="D267" s="146"/>
      <c r="E267" s="146"/>
      <c r="F267" s="146"/>
      <c r="G267" s="146"/>
      <c r="H267" s="146"/>
      <c r="I267" s="146"/>
      <c r="J267" s="146"/>
      <c r="K267" s="146"/>
      <c r="L267" s="146"/>
      <c r="M267" s="146"/>
      <c r="N267" s="146"/>
      <c r="O267" s="146"/>
      <c r="P267" s="146"/>
      <c r="Q267" s="146"/>
      <c r="R267" s="146"/>
      <c r="S267" s="146"/>
      <c r="T267" s="146"/>
      <c r="U267" s="146"/>
      <c r="V267" s="146"/>
      <c r="W267" s="146"/>
      <c r="X267" s="146"/>
      <c r="Y267" s="146"/>
      <c r="Z267" s="146"/>
    </row>
    <row r="268" spans="1:26" ht="15.75" customHeight="1">
      <c r="A268" s="146"/>
      <c r="B268" s="146"/>
      <c r="C268" s="146"/>
      <c r="D268" s="146"/>
      <c r="E268" s="146"/>
      <c r="F268" s="146"/>
      <c r="G268" s="146"/>
      <c r="H268" s="146"/>
      <c r="I268" s="146"/>
      <c r="J268" s="146"/>
      <c r="K268" s="146"/>
      <c r="L268" s="146"/>
      <c r="M268" s="146"/>
      <c r="N268" s="146"/>
      <c r="O268" s="146"/>
      <c r="P268" s="146"/>
      <c r="Q268" s="146"/>
      <c r="R268" s="146"/>
      <c r="S268" s="146"/>
      <c r="T268" s="146"/>
      <c r="U268" s="146"/>
      <c r="V268" s="146"/>
      <c r="W268" s="146"/>
      <c r="X268" s="146"/>
      <c r="Y268" s="146"/>
      <c r="Z268" s="146"/>
    </row>
    <row r="269" spans="1:26" ht="15.75" customHeight="1">
      <c r="A269" s="146"/>
      <c r="B269" s="146"/>
      <c r="C269" s="146"/>
      <c r="D269" s="146"/>
      <c r="E269" s="146"/>
      <c r="F269" s="146"/>
      <c r="G269" s="146"/>
      <c r="H269" s="146"/>
      <c r="I269" s="146"/>
      <c r="J269" s="146"/>
      <c r="K269" s="146"/>
      <c r="L269" s="146"/>
      <c r="M269" s="146"/>
      <c r="N269" s="146"/>
      <c r="O269" s="146"/>
      <c r="P269" s="146"/>
      <c r="Q269" s="146"/>
      <c r="R269" s="146"/>
      <c r="S269" s="146"/>
      <c r="T269" s="146"/>
      <c r="U269" s="146"/>
      <c r="V269" s="146"/>
      <c r="W269" s="146"/>
      <c r="X269" s="146"/>
      <c r="Y269" s="146"/>
      <c r="Z269" s="146"/>
    </row>
    <row r="270" spans="1:26" ht="15.75" customHeight="1">
      <c r="A270" s="146"/>
      <c r="B270" s="146"/>
      <c r="C270" s="146"/>
      <c r="D270" s="146"/>
      <c r="E270" s="146"/>
      <c r="F270" s="146"/>
      <c r="G270" s="146"/>
      <c r="H270" s="146"/>
      <c r="I270" s="146"/>
      <c r="J270" s="146"/>
      <c r="K270" s="146"/>
      <c r="L270" s="146"/>
      <c r="M270" s="146"/>
      <c r="N270" s="146"/>
      <c r="O270" s="146"/>
      <c r="P270" s="146"/>
      <c r="Q270" s="146"/>
      <c r="R270" s="146"/>
      <c r="S270" s="146"/>
      <c r="T270" s="146"/>
      <c r="U270" s="146"/>
      <c r="V270" s="146"/>
      <c r="W270" s="146"/>
      <c r="X270" s="146"/>
      <c r="Y270" s="146"/>
      <c r="Z270" s="146"/>
    </row>
    <row r="271" spans="1:26" ht="15.75" customHeight="1">
      <c r="A271" s="146"/>
      <c r="B271" s="146"/>
      <c r="C271" s="146"/>
      <c r="D271" s="146"/>
      <c r="E271" s="146"/>
      <c r="F271" s="146"/>
      <c r="G271" s="146"/>
      <c r="H271" s="146"/>
      <c r="I271" s="146"/>
      <c r="J271" s="146"/>
      <c r="K271" s="146"/>
      <c r="L271" s="146"/>
      <c r="M271" s="146"/>
      <c r="N271" s="146"/>
      <c r="O271" s="146"/>
      <c r="P271" s="146"/>
      <c r="Q271" s="146"/>
      <c r="R271" s="146"/>
      <c r="S271" s="146"/>
      <c r="T271" s="146"/>
      <c r="U271" s="146"/>
      <c r="V271" s="146"/>
      <c r="W271" s="146"/>
      <c r="X271" s="146"/>
      <c r="Y271" s="146"/>
      <c r="Z271" s="146"/>
    </row>
    <row r="272" spans="1:26" ht="15.75" customHeight="1">
      <c r="A272" s="146"/>
      <c r="B272" s="146"/>
      <c r="C272" s="146"/>
      <c r="D272" s="146"/>
      <c r="E272" s="146"/>
      <c r="F272" s="146"/>
      <c r="G272" s="146"/>
      <c r="H272" s="146"/>
      <c r="I272" s="146"/>
      <c r="J272" s="146"/>
      <c r="K272" s="146"/>
      <c r="L272" s="146"/>
      <c r="M272" s="146"/>
      <c r="N272" s="146"/>
      <c r="O272" s="146"/>
      <c r="P272" s="146"/>
      <c r="Q272" s="146"/>
      <c r="R272" s="146"/>
      <c r="S272" s="146"/>
      <c r="T272" s="146"/>
      <c r="U272" s="146"/>
      <c r="V272" s="146"/>
      <c r="W272" s="146"/>
      <c r="X272" s="146"/>
      <c r="Y272" s="146"/>
      <c r="Z272" s="146"/>
    </row>
    <row r="273" spans="1:26" ht="15.75" customHeight="1">
      <c r="A273" s="146"/>
      <c r="B273" s="146"/>
      <c r="C273" s="146"/>
      <c r="D273" s="146"/>
      <c r="E273" s="146"/>
      <c r="F273" s="146"/>
      <c r="G273" s="146"/>
      <c r="H273" s="146"/>
      <c r="I273" s="146"/>
      <c r="J273" s="146"/>
      <c r="K273" s="146"/>
      <c r="L273" s="146"/>
      <c r="M273" s="146"/>
      <c r="N273" s="146"/>
      <c r="O273" s="146"/>
      <c r="P273" s="146"/>
      <c r="Q273" s="146"/>
      <c r="R273" s="146"/>
      <c r="S273" s="146"/>
      <c r="T273" s="146"/>
      <c r="U273" s="146"/>
      <c r="V273" s="146"/>
      <c r="W273" s="146"/>
      <c r="X273" s="146"/>
      <c r="Y273" s="146"/>
      <c r="Z273" s="146"/>
    </row>
    <row r="274" spans="1:26" ht="15.75" customHeight="1">
      <c r="A274" s="146"/>
      <c r="B274" s="146"/>
      <c r="C274" s="146"/>
      <c r="D274" s="146"/>
      <c r="E274" s="146"/>
      <c r="F274" s="146"/>
      <c r="G274" s="146"/>
      <c r="H274" s="146"/>
      <c r="I274" s="146"/>
      <c r="J274" s="146"/>
      <c r="K274" s="146"/>
      <c r="L274" s="146"/>
      <c r="M274" s="146"/>
      <c r="N274" s="146"/>
      <c r="O274" s="146"/>
      <c r="P274" s="146"/>
      <c r="Q274" s="146"/>
      <c r="R274" s="146"/>
      <c r="S274" s="146"/>
      <c r="T274" s="146"/>
      <c r="U274" s="146"/>
      <c r="V274" s="146"/>
      <c r="W274" s="146"/>
      <c r="X274" s="146"/>
      <c r="Y274" s="146"/>
      <c r="Z274" s="146"/>
    </row>
    <row r="275" spans="1:26" ht="15.75" customHeight="1">
      <c r="A275" s="146"/>
      <c r="B275" s="146"/>
      <c r="C275" s="146"/>
      <c r="D275" s="146"/>
      <c r="E275" s="146"/>
      <c r="F275" s="146"/>
      <c r="G275" s="146"/>
      <c r="H275" s="146"/>
      <c r="I275" s="146"/>
      <c r="J275" s="146"/>
      <c r="K275" s="146"/>
      <c r="L275" s="146"/>
      <c r="M275" s="146"/>
      <c r="N275" s="146"/>
      <c r="O275" s="146"/>
      <c r="P275" s="146"/>
      <c r="Q275" s="146"/>
      <c r="R275" s="146"/>
      <c r="S275" s="146"/>
      <c r="T275" s="146"/>
      <c r="U275" s="146"/>
      <c r="V275" s="146"/>
      <c r="W275" s="146"/>
      <c r="X275" s="146"/>
      <c r="Y275" s="146"/>
      <c r="Z275" s="146"/>
    </row>
    <row r="276" spans="1:26" ht="15.75" customHeight="1">
      <c r="A276" s="146"/>
      <c r="B276" s="146"/>
      <c r="C276" s="146"/>
      <c r="D276" s="146"/>
      <c r="E276" s="146"/>
      <c r="F276" s="146"/>
      <c r="G276" s="146"/>
      <c r="H276" s="146"/>
      <c r="I276" s="146"/>
      <c r="J276" s="146"/>
      <c r="K276" s="146"/>
      <c r="L276" s="146"/>
      <c r="M276" s="146"/>
      <c r="N276" s="146"/>
      <c r="O276" s="146"/>
      <c r="P276" s="146"/>
      <c r="Q276" s="146"/>
      <c r="R276" s="146"/>
      <c r="S276" s="146"/>
      <c r="T276" s="146"/>
      <c r="U276" s="146"/>
      <c r="V276" s="146"/>
      <c r="W276" s="146"/>
      <c r="X276" s="146"/>
      <c r="Y276" s="146"/>
      <c r="Z276" s="146"/>
    </row>
    <row r="277" spans="1:26" ht="15.75" customHeight="1">
      <c r="A277" s="146"/>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146"/>
      <c r="X277" s="146"/>
      <c r="Y277" s="146"/>
      <c r="Z277" s="146"/>
    </row>
    <row r="278" spans="1:26" ht="15.75" customHeight="1">
      <c r="A278" s="146"/>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row>
    <row r="279" spans="1:26" ht="15.75" customHeight="1">
      <c r="A279" s="146"/>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146"/>
      <c r="X279" s="146"/>
      <c r="Y279" s="146"/>
      <c r="Z279" s="146"/>
    </row>
    <row r="280" spans="1:26" ht="15.75" customHeight="1">
      <c r="A280" s="146"/>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146"/>
      <c r="X280" s="146"/>
      <c r="Y280" s="146"/>
      <c r="Z280" s="146"/>
    </row>
    <row r="281" spans="1:26" ht="15.75" customHeight="1">
      <c r="A281" s="146"/>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row>
    <row r="282" spans="1:26" ht="15.75" customHeight="1">
      <c r="A282" s="146"/>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row>
    <row r="283" spans="1:26" ht="15.75" customHeight="1">
      <c r="A283" s="146"/>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146"/>
      <c r="X283" s="146"/>
      <c r="Y283" s="146"/>
      <c r="Z283" s="146"/>
    </row>
    <row r="284" spans="1:26" ht="15.75" customHeight="1">
      <c r="A284" s="146"/>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146"/>
      <c r="X284" s="146"/>
      <c r="Y284" s="146"/>
      <c r="Z284" s="146"/>
    </row>
    <row r="285" spans="1:26" ht="15.75" customHeight="1">
      <c r="A285" s="146"/>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146"/>
      <c r="X285" s="146"/>
      <c r="Y285" s="146"/>
      <c r="Z285" s="146"/>
    </row>
    <row r="286" spans="1:26" ht="15.75" customHeight="1">
      <c r="A286" s="146"/>
      <c r="B286" s="146"/>
      <c r="C286" s="146"/>
      <c r="D286" s="146"/>
      <c r="E286" s="146"/>
      <c r="F286" s="146"/>
      <c r="G286" s="146"/>
      <c r="H286" s="146"/>
      <c r="I286" s="146"/>
      <c r="J286" s="146"/>
      <c r="K286" s="146"/>
      <c r="L286" s="146"/>
      <c r="M286" s="146"/>
      <c r="N286" s="146"/>
      <c r="O286" s="146"/>
      <c r="P286" s="146"/>
      <c r="Q286" s="146"/>
      <c r="R286" s="146"/>
      <c r="S286" s="146"/>
      <c r="T286" s="146"/>
      <c r="U286" s="146"/>
      <c r="V286" s="146"/>
      <c r="W286" s="146"/>
      <c r="X286" s="146"/>
      <c r="Y286" s="146"/>
      <c r="Z286" s="146"/>
    </row>
    <row r="287" spans="1:26" ht="15.75" customHeight="1">
      <c r="A287" s="146"/>
      <c r="B287" s="146"/>
      <c r="C287" s="146"/>
      <c r="D287" s="146"/>
      <c r="E287" s="146"/>
      <c r="F287" s="146"/>
      <c r="G287" s="146"/>
      <c r="H287" s="146"/>
      <c r="I287" s="146"/>
      <c r="J287" s="146"/>
      <c r="K287" s="146"/>
      <c r="L287" s="146"/>
      <c r="M287" s="146"/>
      <c r="N287" s="146"/>
      <c r="O287" s="146"/>
      <c r="P287" s="146"/>
      <c r="Q287" s="146"/>
      <c r="R287" s="146"/>
      <c r="S287" s="146"/>
      <c r="T287" s="146"/>
      <c r="U287" s="146"/>
      <c r="V287" s="146"/>
      <c r="W287" s="146"/>
      <c r="X287" s="146"/>
      <c r="Y287" s="146"/>
      <c r="Z287" s="146"/>
    </row>
    <row r="288" spans="1:26" ht="15.75" customHeight="1">
      <c r="A288" s="146"/>
      <c r="B288" s="146"/>
      <c r="C288" s="146"/>
      <c r="D288" s="146"/>
      <c r="E288" s="146"/>
      <c r="F288" s="146"/>
      <c r="G288" s="146"/>
      <c r="H288" s="146"/>
      <c r="I288" s="146"/>
      <c r="J288" s="146"/>
      <c r="K288" s="146"/>
      <c r="L288" s="146"/>
      <c r="M288" s="146"/>
      <c r="N288" s="146"/>
      <c r="O288" s="146"/>
      <c r="P288" s="146"/>
      <c r="Q288" s="146"/>
      <c r="R288" s="146"/>
      <c r="S288" s="146"/>
      <c r="T288" s="146"/>
      <c r="U288" s="146"/>
      <c r="V288" s="146"/>
      <c r="W288" s="146"/>
      <c r="X288" s="146"/>
      <c r="Y288" s="146"/>
      <c r="Z288" s="146"/>
    </row>
    <row r="289" spans="1:26" ht="15.75" customHeight="1">
      <c r="A289" s="146"/>
      <c r="B289" s="146"/>
      <c r="C289" s="146"/>
      <c r="D289" s="146"/>
      <c r="E289" s="146"/>
      <c r="F289" s="146"/>
      <c r="G289" s="146"/>
      <c r="H289" s="146"/>
      <c r="I289" s="146"/>
      <c r="J289" s="146"/>
      <c r="K289" s="146"/>
      <c r="L289" s="146"/>
      <c r="M289" s="146"/>
      <c r="N289" s="146"/>
      <c r="O289" s="146"/>
      <c r="P289" s="146"/>
      <c r="Q289" s="146"/>
      <c r="R289" s="146"/>
      <c r="S289" s="146"/>
      <c r="T289" s="146"/>
      <c r="U289" s="146"/>
      <c r="V289" s="146"/>
      <c r="W289" s="146"/>
      <c r="X289" s="146"/>
      <c r="Y289" s="146"/>
      <c r="Z289" s="146"/>
    </row>
    <row r="290" spans="1:26" ht="15.75" customHeight="1">
      <c r="A290" s="146"/>
      <c r="B290" s="146"/>
      <c r="C290" s="146"/>
      <c r="D290" s="146"/>
      <c r="E290" s="146"/>
      <c r="F290" s="146"/>
      <c r="G290" s="146"/>
      <c r="H290" s="146"/>
      <c r="I290" s="146"/>
      <c r="J290" s="146"/>
      <c r="K290" s="146"/>
      <c r="L290" s="146"/>
      <c r="M290" s="146"/>
      <c r="N290" s="146"/>
      <c r="O290" s="146"/>
      <c r="P290" s="146"/>
      <c r="Q290" s="146"/>
      <c r="R290" s="146"/>
      <c r="S290" s="146"/>
      <c r="T290" s="146"/>
      <c r="U290" s="146"/>
      <c r="V290" s="146"/>
      <c r="W290" s="146"/>
      <c r="X290" s="146"/>
      <c r="Y290" s="146"/>
      <c r="Z290" s="146"/>
    </row>
    <row r="291" spans="1:26" ht="15.75" customHeight="1">
      <c r="A291" s="146"/>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row>
    <row r="292" spans="1:26" ht="15.75" customHeight="1">
      <c r="A292" s="146"/>
      <c r="B292" s="146"/>
      <c r="C292" s="146"/>
      <c r="D292" s="146"/>
      <c r="E292" s="146"/>
      <c r="F292" s="146"/>
      <c r="G292" s="146"/>
      <c r="H292" s="146"/>
      <c r="I292" s="146"/>
      <c r="J292" s="146"/>
      <c r="K292" s="146"/>
      <c r="L292" s="146"/>
      <c r="M292" s="146"/>
      <c r="N292" s="146"/>
      <c r="O292" s="146"/>
      <c r="P292" s="146"/>
      <c r="Q292" s="146"/>
      <c r="R292" s="146"/>
      <c r="S292" s="146"/>
      <c r="T292" s="146"/>
      <c r="U292" s="146"/>
      <c r="V292" s="146"/>
      <c r="W292" s="146"/>
      <c r="X292" s="146"/>
      <c r="Y292" s="146"/>
      <c r="Z292" s="146"/>
    </row>
    <row r="293" spans="1:26" ht="15.75" customHeight="1">
      <c r="A293" s="146"/>
      <c r="B293" s="146"/>
      <c r="C293" s="146"/>
      <c r="D293" s="146"/>
      <c r="E293" s="146"/>
      <c r="F293" s="146"/>
      <c r="G293" s="146"/>
      <c r="H293" s="146"/>
      <c r="I293" s="146"/>
      <c r="J293" s="146"/>
      <c r="K293" s="146"/>
      <c r="L293" s="146"/>
      <c r="M293" s="146"/>
      <c r="N293" s="146"/>
      <c r="O293" s="146"/>
      <c r="P293" s="146"/>
      <c r="Q293" s="146"/>
      <c r="R293" s="146"/>
      <c r="S293" s="146"/>
      <c r="T293" s="146"/>
      <c r="U293" s="146"/>
      <c r="V293" s="146"/>
      <c r="W293" s="146"/>
      <c r="X293" s="146"/>
      <c r="Y293" s="146"/>
      <c r="Z293" s="146"/>
    </row>
    <row r="294" spans="1:26" ht="15.75" customHeight="1">
      <c r="A294" s="146"/>
      <c r="B294" s="146"/>
      <c r="C294" s="146"/>
      <c r="D294" s="146"/>
      <c r="E294" s="146"/>
      <c r="F294" s="146"/>
      <c r="G294" s="146"/>
      <c r="H294" s="146"/>
      <c r="I294" s="146"/>
      <c r="J294" s="146"/>
      <c r="K294" s="146"/>
      <c r="L294" s="146"/>
      <c r="M294" s="146"/>
      <c r="N294" s="146"/>
      <c r="O294" s="146"/>
      <c r="P294" s="146"/>
      <c r="Q294" s="146"/>
      <c r="R294" s="146"/>
      <c r="S294" s="146"/>
      <c r="T294" s="146"/>
      <c r="U294" s="146"/>
      <c r="V294" s="146"/>
      <c r="W294" s="146"/>
      <c r="X294" s="146"/>
      <c r="Y294" s="146"/>
      <c r="Z294" s="146"/>
    </row>
    <row r="295" spans="1:26" ht="15.75" customHeight="1">
      <c r="A295" s="146"/>
      <c r="B295" s="146"/>
      <c r="C295" s="146"/>
      <c r="D295" s="146"/>
      <c r="E295" s="146"/>
      <c r="F295" s="146"/>
      <c r="G295" s="146"/>
      <c r="H295" s="146"/>
      <c r="I295" s="146"/>
      <c r="J295" s="146"/>
      <c r="K295" s="146"/>
      <c r="L295" s="146"/>
      <c r="M295" s="146"/>
      <c r="N295" s="146"/>
      <c r="O295" s="146"/>
      <c r="P295" s="146"/>
      <c r="Q295" s="146"/>
      <c r="R295" s="146"/>
      <c r="S295" s="146"/>
      <c r="T295" s="146"/>
      <c r="U295" s="146"/>
      <c r="V295" s="146"/>
      <c r="W295" s="146"/>
      <c r="X295" s="146"/>
      <c r="Y295" s="146"/>
      <c r="Z295" s="146"/>
    </row>
    <row r="296" spans="1:26" ht="15.75" customHeight="1">
      <c r="A296" s="146"/>
      <c r="B296" s="146"/>
      <c r="C296" s="146"/>
      <c r="D296" s="146"/>
      <c r="E296" s="146"/>
      <c r="F296" s="146"/>
      <c r="G296" s="146"/>
      <c r="H296" s="146"/>
      <c r="I296" s="146"/>
      <c r="J296" s="146"/>
      <c r="K296" s="146"/>
      <c r="L296" s="146"/>
      <c r="M296" s="146"/>
      <c r="N296" s="146"/>
      <c r="O296" s="146"/>
      <c r="P296" s="146"/>
      <c r="Q296" s="146"/>
      <c r="R296" s="146"/>
      <c r="S296" s="146"/>
      <c r="T296" s="146"/>
      <c r="U296" s="146"/>
      <c r="V296" s="146"/>
      <c r="W296" s="146"/>
      <c r="X296" s="146"/>
      <c r="Y296" s="146"/>
      <c r="Z296" s="146"/>
    </row>
    <row r="297" spans="1:26" ht="15.75" customHeight="1">
      <c r="A297" s="146"/>
      <c r="B297" s="146"/>
      <c r="C297" s="146"/>
      <c r="D297" s="146"/>
      <c r="E297" s="146"/>
      <c r="F297" s="146"/>
      <c r="G297" s="146"/>
      <c r="H297" s="146"/>
      <c r="I297" s="146"/>
      <c r="J297" s="146"/>
      <c r="K297" s="146"/>
      <c r="L297" s="146"/>
      <c r="M297" s="146"/>
      <c r="N297" s="146"/>
      <c r="O297" s="146"/>
      <c r="P297" s="146"/>
      <c r="Q297" s="146"/>
      <c r="R297" s="146"/>
      <c r="S297" s="146"/>
      <c r="T297" s="146"/>
      <c r="U297" s="146"/>
      <c r="V297" s="146"/>
      <c r="W297" s="146"/>
      <c r="X297" s="146"/>
      <c r="Y297" s="146"/>
      <c r="Z297" s="146"/>
    </row>
    <row r="298" spans="1:26" ht="15.75" customHeight="1">
      <c r="A298" s="146"/>
      <c r="B298" s="146"/>
      <c r="C298" s="146"/>
      <c r="D298" s="146"/>
      <c r="E298" s="146"/>
      <c r="F298" s="146"/>
      <c r="G298" s="146"/>
      <c r="H298" s="146"/>
      <c r="I298" s="146"/>
      <c r="J298" s="146"/>
      <c r="K298" s="146"/>
      <c r="L298" s="146"/>
      <c r="M298" s="146"/>
      <c r="N298" s="146"/>
      <c r="O298" s="146"/>
      <c r="P298" s="146"/>
      <c r="Q298" s="146"/>
      <c r="R298" s="146"/>
      <c r="S298" s="146"/>
      <c r="T298" s="146"/>
      <c r="U298" s="146"/>
      <c r="V298" s="146"/>
      <c r="W298" s="146"/>
      <c r="X298" s="146"/>
      <c r="Y298" s="146"/>
      <c r="Z298" s="146"/>
    </row>
    <row r="299" spans="1:26" ht="15.75" customHeight="1">
      <c r="A299" s="146"/>
      <c r="B299" s="146"/>
      <c r="C299" s="146"/>
      <c r="D299" s="146"/>
      <c r="E299" s="146"/>
      <c r="F299" s="146"/>
      <c r="G299" s="146"/>
      <c r="H299" s="146"/>
      <c r="I299" s="146"/>
      <c r="J299" s="146"/>
      <c r="K299" s="146"/>
      <c r="L299" s="146"/>
      <c r="M299" s="146"/>
      <c r="N299" s="146"/>
      <c r="O299" s="146"/>
      <c r="P299" s="146"/>
      <c r="Q299" s="146"/>
      <c r="R299" s="146"/>
      <c r="S299" s="146"/>
      <c r="T299" s="146"/>
      <c r="U299" s="146"/>
      <c r="V299" s="146"/>
      <c r="W299" s="146"/>
      <c r="X299" s="146"/>
      <c r="Y299" s="146"/>
      <c r="Z299" s="146"/>
    </row>
    <row r="300" spans="1:26" ht="15.75" customHeight="1">
      <c r="A300" s="146"/>
      <c r="B300" s="146"/>
      <c r="C300" s="146"/>
      <c r="D300" s="146"/>
      <c r="E300" s="146"/>
      <c r="F300" s="146"/>
      <c r="G300" s="146"/>
      <c r="H300" s="146"/>
      <c r="I300" s="146"/>
      <c r="J300" s="146"/>
      <c r="K300" s="146"/>
      <c r="L300" s="146"/>
      <c r="M300" s="146"/>
      <c r="N300" s="146"/>
      <c r="O300" s="146"/>
      <c r="P300" s="146"/>
      <c r="Q300" s="146"/>
      <c r="R300" s="146"/>
      <c r="S300" s="146"/>
      <c r="T300" s="146"/>
      <c r="U300" s="146"/>
      <c r="V300" s="146"/>
      <c r="W300" s="146"/>
      <c r="X300" s="146"/>
      <c r="Y300" s="146"/>
      <c r="Z300" s="146"/>
    </row>
    <row r="301" spans="1:26" ht="15.75" customHeight="1">
      <c r="A301" s="146"/>
      <c r="B301" s="146"/>
      <c r="C301" s="146"/>
      <c r="D301" s="146"/>
      <c r="E301" s="146"/>
      <c r="F301" s="146"/>
      <c r="G301" s="146"/>
      <c r="H301" s="146"/>
      <c r="I301" s="146"/>
      <c r="J301" s="146"/>
      <c r="K301" s="146"/>
      <c r="L301" s="146"/>
      <c r="M301" s="146"/>
      <c r="N301" s="146"/>
      <c r="O301" s="146"/>
      <c r="P301" s="146"/>
      <c r="Q301" s="146"/>
      <c r="R301" s="146"/>
      <c r="S301" s="146"/>
      <c r="T301" s="146"/>
      <c r="U301" s="146"/>
      <c r="V301" s="146"/>
      <c r="W301" s="146"/>
      <c r="X301" s="146"/>
      <c r="Y301" s="146"/>
      <c r="Z301" s="146"/>
    </row>
    <row r="302" spans="1:26" ht="15.75" customHeight="1">
      <c r="A302" s="146"/>
      <c r="B302" s="146"/>
      <c r="C302" s="146"/>
      <c r="D302" s="146"/>
      <c r="E302" s="146"/>
      <c r="F302" s="146"/>
      <c r="G302" s="146"/>
      <c r="H302" s="146"/>
      <c r="I302" s="146"/>
      <c r="J302" s="146"/>
      <c r="K302" s="146"/>
      <c r="L302" s="146"/>
      <c r="M302" s="146"/>
      <c r="N302" s="146"/>
      <c r="O302" s="146"/>
      <c r="P302" s="146"/>
      <c r="Q302" s="146"/>
      <c r="R302" s="146"/>
      <c r="S302" s="146"/>
      <c r="T302" s="146"/>
      <c r="U302" s="146"/>
      <c r="V302" s="146"/>
      <c r="W302" s="146"/>
      <c r="X302" s="146"/>
      <c r="Y302" s="146"/>
      <c r="Z302" s="146"/>
    </row>
    <row r="303" spans="1:26" ht="15.75" customHeight="1">
      <c r="A303" s="146"/>
      <c r="B303" s="146"/>
      <c r="C303" s="146"/>
      <c r="D303" s="146"/>
      <c r="E303" s="146"/>
      <c r="F303" s="146"/>
      <c r="G303" s="146"/>
      <c r="H303" s="146"/>
      <c r="I303" s="146"/>
      <c r="J303" s="146"/>
      <c r="K303" s="146"/>
      <c r="L303" s="146"/>
      <c r="M303" s="146"/>
      <c r="N303" s="146"/>
      <c r="O303" s="146"/>
      <c r="P303" s="146"/>
      <c r="Q303" s="146"/>
      <c r="R303" s="146"/>
      <c r="S303" s="146"/>
      <c r="T303" s="146"/>
      <c r="U303" s="146"/>
      <c r="V303" s="146"/>
      <c r="W303" s="146"/>
      <c r="X303" s="146"/>
      <c r="Y303" s="146"/>
      <c r="Z303" s="146"/>
    </row>
    <row r="304" spans="1:26" ht="15.75" customHeight="1">
      <c r="A304" s="146"/>
      <c r="B304" s="146"/>
      <c r="C304" s="146"/>
      <c r="D304" s="146"/>
      <c r="E304" s="146"/>
      <c r="F304" s="146"/>
      <c r="G304" s="146"/>
      <c r="H304" s="146"/>
      <c r="I304" s="146"/>
      <c r="J304" s="146"/>
      <c r="K304" s="146"/>
      <c r="L304" s="146"/>
      <c r="M304" s="146"/>
      <c r="N304" s="146"/>
      <c r="O304" s="146"/>
      <c r="P304" s="146"/>
      <c r="Q304" s="146"/>
      <c r="R304" s="146"/>
      <c r="S304" s="146"/>
      <c r="T304" s="146"/>
      <c r="U304" s="146"/>
      <c r="V304" s="146"/>
      <c r="W304" s="146"/>
      <c r="X304" s="146"/>
      <c r="Y304" s="146"/>
      <c r="Z304" s="146"/>
    </row>
    <row r="305" spans="1:26" ht="15.75" customHeight="1">
      <c r="A305" s="146"/>
      <c r="B305" s="146"/>
      <c r="C305" s="146"/>
      <c r="D305" s="146"/>
      <c r="E305" s="146"/>
      <c r="F305" s="146"/>
      <c r="G305" s="146"/>
      <c r="H305" s="146"/>
      <c r="I305" s="146"/>
      <c r="J305" s="146"/>
      <c r="K305" s="146"/>
      <c r="L305" s="146"/>
      <c r="M305" s="146"/>
      <c r="N305" s="146"/>
      <c r="O305" s="146"/>
      <c r="P305" s="146"/>
      <c r="Q305" s="146"/>
      <c r="R305" s="146"/>
      <c r="S305" s="146"/>
      <c r="T305" s="146"/>
      <c r="U305" s="146"/>
      <c r="V305" s="146"/>
      <c r="W305" s="146"/>
      <c r="X305" s="146"/>
      <c r="Y305" s="146"/>
      <c r="Z305" s="146"/>
    </row>
    <row r="306" spans="1:26" ht="15.75" customHeight="1">
      <c r="A306" s="146"/>
      <c r="B306" s="146"/>
      <c r="C306" s="146"/>
      <c r="D306" s="146"/>
      <c r="E306" s="146"/>
      <c r="F306" s="146"/>
      <c r="G306" s="146"/>
      <c r="H306" s="146"/>
      <c r="I306" s="146"/>
      <c r="J306" s="146"/>
      <c r="K306" s="146"/>
      <c r="L306" s="146"/>
      <c r="M306" s="146"/>
      <c r="N306" s="146"/>
      <c r="O306" s="146"/>
      <c r="P306" s="146"/>
      <c r="Q306" s="146"/>
      <c r="R306" s="146"/>
      <c r="S306" s="146"/>
      <c r="T306" s="146"/>
      <c r="U306" s="146"/>
      <c r="V306" s="146"/>
      <c r="W306" s="146"/>
      <c r="X306" s="146"/>
      <c r="Y306" s="146"/>
      <c r="Z306" s="146"/>
    </row>
    <row r="307" spans="1:26" ht="15.75" customHeight="1">
      <c r="A307" s="146"/>
      <c r="B307" s="146"/>
      <c r="C307" s="146"/>
      <c r="D307" s="146"/>
      <c r="E307" s="146"/>
      <c r="F307" s="146"/>
      <c r="G307" s="146"/>
      <c r="H307" s="146"/>
      <c r="I307" s="146"/>
      <c r="J307" s="146"/>
      <c r="K307" s="146"/>
      <c r="L307" s="146"/>
      <c r="M307" s="146"/>
      <c r="N307" s="146"/>
      <c r="O307" s="146"/>
      <c r="P307" s="146"/>
      <c r="Q307" s="146"/>
      <c r="R307" s="146"/>
      <c r="S307" s="146"/>
      <c r="T307" s="146"/>
      <c r="U307" s="146"/>
      <c r="V307" s="146"/>
      <c r="W307" s="146"/>
      <c r="X307" s="146"/>
      <c r="Y307" s="146"/>
      <c r="Z307" s="146"/>
    </row>
    <row r="308" spans="1:26" ht="15.75" customHeight="1">
      <c r="A308" s="146"/>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row>
    <row r="309" spans="1:26" ht="15.75" customHeight="1">
      <c r="A309" s="146"/>
      <c r="B309" s="146"/>
      <c r="C309" s="146"/>
      <c r="D309" s="146"/>
      <c r="E309" s="146"/>
      <c r="F309" s="146"/>
      <c r="G309" s="146"/>
      <c r="H309" s="146"/>
      <c r="I309" s="146"/>
      <c r="J309" s="146"/>
      <c r="K309" s="146"/>
      <c r="L309" s="146"/>
      <c r="M309" s="146"/>
      <c r="N309" s="146"/>
      <c r="O309" s="146"/>
      <c r="P309" s="146"/>
      <c r="Q309" s="146"/>
      <c r="R309" s="146"/>
      <c r="S309" s="146"/>
      <c r="T309" s="146"/>
      <c r="U309" s="146"/>
      <c r="V309" s="146"/>
      <c r="W309" s="146"/>
      <c r="X309" s="146"/>
      <c r="Y309" s="146"/>
      <c r="Z309" s="146"/>
    </row>
    <row r="310" spans="1:26" ht="15.75" customHeight="1">
      <c r="A310" s="146"/>
      <c r="B310" s="146"/>
      <c r="C310" s="146"/>
      <c r="D310" s="146"/>
      <c r="E310" s="146"/>
      <c r="F310" s="146"/>
      <c r="G310" s="146"/>
      <c r="H310" s="146"/>
      <c r="I310" s="146"/>
      <c r="J310" s="146"/>
      <c r="K310" s="146"/>
      <c r="L310" s="146"/>
      <c r="M310" s="146"/>
      <c r="N310" s="146"/>
      <c r="O310" s="146"/>
      <c r="P310" s="146"/>
      <c r="Q310" s="146"/>
      <c r="R310" s="146"/>
      <c r="S310" s="146"/>
      <c r="T310" s="146"/>
      <c r="U310" s="146"/>
      <c r="V310" s="146"/>
      <c r="W310" s="146"/>
      <c r="X310" s="146"/>
      <c r="Y310" s="146"/>
      <c r="Z310" s="146"/>
    </row>
    <row r="311" spans="1:26" ht="15.75" customHeight="1">
      <c r="A311" s="146"/>
      <c r="B311" s="146"/>
      <c r="C311" s="146"/>
      <c r="D311" s="146"/>
      <c r="E311" s="146"/>
      <c r="F311" s="146"/>
      <c r="G311" s="146"/>
      <c r="H311" s="146"/>
      <c r="I311" s="146"/>
      <c r="J311" s="146"/>
      <c r="K311" s="146"/>
      <c r="L311" s="146"/>
      <c r="M311" s="146"/>
      <c r="N311" s="146"/>
      <c r="O311" s="146"/>
      <c r="P311" s="146"/>
      <c r="Q311" s="146"/>
      <c r="R311" s="146"/>
      <c r="S311" s="146"/>
      <c r="T311" s="146"/>
      <c r="U311" s="146"/>
      <c r="V311" s="146"/>
      <c r="W311" s="146"/>
      <c r="X311" s="146"/>
      <c r="Y311" s="146"/>
      <c r="Z311" s="146"/>
    </row>
    <row r="312" spans="1:26" ht="15.75" customHeight="1">
      <c r="A312" s="146"/>
      <c r="B312" s="146"/>
      <c r="C312" s="146"/>
      <c r="D312" s="146"/>
      <c r="E312" s="146"/>
      <c r="F312" s="146"/>
      <c r="G312" s="146"/>
      <c r="H312" s="146"/>
      <c r="I312" s="146"/>
      <c r="J312" s="146"/>
      <c r="K312" s="146"/>
      <c r="L312" s="146"/>
      <c r="M312" s="146"/>
      <c r="N312" s="146"/>
      <c r="O312" s="146"/>
      <c r="P312" s="146"/>
      <c r="Q312" s="146"/>
      <c r="R312" s="146"/>
      <c r="S312" s="146"/>
      <c r="T312" s="146"/>
      <c r="U312" s="146"/>
      <c r="V312" s="146"/>
      <c r="W312" s="146"/>
      <c r="X312" s="146"/>
      <c r="Y312" s="146"/>
      <c r="Z312" s="146"/>
    </row>
    <row r="313" spans="1:26" ht="15.75" customHeight="1">
      <c r="A313" s="146"/>
      <c r="B313" s="146"/>
      <c r="C313" s="146"/>
      <c r="D313" s="146"/>
      <c r="E313" s="146"/>
      <c r="F313" s="146"/>
      <c r="G313" s="146"/>
      <c r="H313" s="146"/>
      <c r="I313" s="146"/>
      <c r="J313" s="146"/>
      <c r="K313" s="146"/>
      <c r="L313" s="146"/>
      <c r="M313" s="146"/>
      <c r="N313" s="146"/>
      <c r="O313" s="146"/>
      <c r="P313" s="146"/>
      <c r="Q313" s="146"/>
      <c r="R313" s="146"/>
      <c r="S313" s="146"/>
      <c r="T313" s="146"/>
      <c r="U313" s="146"/>
      <c r="V313" s="146"/>
      <c r="W313" s="146"/>
      <c r="X313" s="146"/>
      <c r="Y313" s="146"/>
      <c r="Z313" s="146"/>
    </row>
    <row r="314" spans="1:26" ht="15.75" customHeight="1">
      <c r="A314" s="146"/>
      <c r="B314" s="146"/>
      <c r="C314" s="146"/>
      <c r="D314" s="146"/>
      <c r="E314" s="146"/>
      <c r="F314" s="146"/>
      <c r="G314" s="146"/>
      <c r="H314" s="146"/>
      <c r="I314" s="146"/>
      <c r="J314" s="146"/>
      <c r="K314" s="146"/>
      <c r="L314" s="146"/>
      <c r="M314" s="146"/>
      <c r="N314" s="146"/>
      <c r="O314" s="146"/>
      <c r="P314" s="146"/>
      <c r="Q314" s="146"/>
      <c r="R314" s="146"/>
      <c r="S314" s="146"/>
      <c r="T314" s="146"/>
      <c r="U314" s="146"/>
      <c r="V314" s="146"/>
      <c r="W314" s="146"/>
      <c r="X314" s="146"/>
      <c r="Y314" s="146"/>
      <c r="Z314" s="146"/>
    </row>
    <row r="315" spans="1:26" ht="15.75" customHeight="1">
      <c r="A315" s="146"/>
      <c r="B315" s="146"/>
      <c r="C315" s="146"/>
      <c r="D315" s="146"/>
      <c r="E315" s="146"/>
      <c r="F315" s="146"/>
      <c r="G315" s="146"/>
      <c r="H315" s="146"/>
      <c r="I315" s="146"/>
      <c r="J315" s="146"/>
      <c r="K315" s="146"/>
      <c r="L315" s="146"/>
      <c r="M315" s="146"/>
      <c r="N315" s="146"/>
      <c r="O315" s="146"/>
      <c r="P315" s="146"/>
      <c r="Q315" s="146"/>
      <c r="R315" s="146"/>
      <c r="S315" s="146"/>
      <c r="T315" s="146"/>
      <c r="U315" s="146"/>
      <c r="V315" s="146"/>
      <c r="W315" s="146"/>
      <c r="X315" s="146"/>
      <c r="Y315" s="146"/>
      <c r="Z315" s="146"/>
    </row>
    <row r="316" spans="1:26" ht="15.75" customHeight="1">
      <c r="A316" s="146"/>
      <c r="B316" s="146"/>
      <c r="C316" s="146"/>
      <c r="D316" s="146"/>
      <c r="E316" s="146"/>
      <c r="F316" s="146"/>
      <c r="G316" s="146"/>
      <c r="H316" s="146"/>
      <c r="I316" s="146"/>
      <c r="J316" s="146"/>
      <c r="K316" s="146"/>
      <c r="L316" s="146"/>
      <c r="M316" s="146"/>
      <c r="N316" s="146"/>
      <c r="O316" s="146"/>
      <c r="P316" s="146"/>
      <c r="Q316" s="146"/>
      <c r="R316" s="146"/>
      <c r="S316" s="146"/>
      <c r="T316" s="146"/>
      <c r="U316" s="146"/>
      <c r="V316" s="146"/>
      <c r="W316" s="146"/>
      <c r="X316" s="146"/>
      <c r="Y316" s="146"/>
      <c r="Z316" s="146"/>
    </row>
    <row r="317" spans="1:26" ht="15.75" customHeight="1">
      <c r="A317" s="146"/>
      <c r="B317" s="146"/>
      <c r="C317" s="146"/>
      <c r="D317" s="146"/>
      <c r="E317" s="146"/>
      <c r="F317" s="146"/>
      <c r="G317" s="146"/>
      <c r="H317" s="146"/>
      <c r="I317" s="146"/>
      <c r="J317" s="146"/>
      <c r="K317" s="146"/>
      <c r="L317" s="146"/>
      <c r="M317" s="146"/>
      <c r="N317" s="146"/>
      <c r="O317" s="146"/>
      <c r="P317" s="146"/>
      <c r="Q317" s="146"/>
      <c r="R317" s="146"/>
      <c r="S317" s="146"/>
      <c r="T317" s="146"/>
      <c r="U317" s="146"/>
      <c r="V317" s="146"/>
      <c r="W317" s="146"/>
      <c r="X317" s="146"/>
      <c r="Y317" s="146"/>
      <c r="Z317" s="146"/>
    </row>
    <row r="318" spans="1:26" ht="15.75" customHeight="1">
      <c r="A318" s="146"/>
      <c r="B318" s="146"/>
      <c r="C318" s="146"/>
      <c r="D318" s="146"/>
      <c r="E318" s="146"/>
      <c r="F318" s="146"/>
      <c r="G318" s="146"/>
      <c r="H318" s="146"/>
      <c r="I318" s="146"/>
      <c r="J318" s="146"/>
      <c r="K318" s="146"/>
      <c r="L318" s="146"/>
      <c r="M318" s="146"/>
      <c r="N318" s="146"/>
      <c r="O318" s="146"/>
      <c r="P318" s="146"/>
      <c r="Q318" s="146"/>
      <c r="R318" s="146"/>
      <c r="S318" s="146"/>
      <c r="T318" s="146"/>
      <c r="U318" s="146"/>
      <c r="V318" s="146"/>
      <c r="W318" s="146"/>
      <c r="X318" s="146"/>
      <c r="Y318" s="146"/>
      <c r="Z318" s="146"/>
    </row>
    <row r="319" spans="1:26" ht="15.75" customHeight="1">
      <c r="A319" s="146"/>
      <c r="B319" s="146"/>
      <c r="C319" s="146"/>
      <c r="D319" s="146"/>
      <c r="E319" s="146"/>
      <c r="F319" s="146"/>
      <c r="G319" s="146"/>
      <c r="H319" s="146"/>
      <c r="I319" s="146"/>
      <c r="J319" s="146"/>
      <c r="K319" s="146"/>
      <c r="L319" s="146"/>
      <c r="M319" s="146"/>
      <c r="N319" s="146"/>
      <c r="O319" s="146"/>
      <c r="P319" s="146"/>
      <c r="Q319" s="146"/>
      <c r="R319" s="146"/>
      <c r="S319" s="146"/>
      <c r="T319" s="146"/>
      <c r="U319" s="146"/>
      <c r="V319" s="146"/>
      <c r="W319" s="146"/>
      <c r="X319" s="146"/>
      <c r="Y319" s="146"/>
      <c r="Z319" s="146"/>
    </row>
    <row r="320" spans="1:26" ht="15.75" customHeight="1">
      <c r="A320" s="146"/>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row>
    <row r="321" spans="1:26" ht="15.75" customHeight="1">
      <c r="A321" s="146"/>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row>
    <row r="322" spans="1:26" ht="15.75" customHeight="1">
      <c r="A322" s="146"/>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row>
    <row r="323" spans="1:26" ht="15.75" customHeight="1">
      <c r="A323" s="146"/>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row>
    <row r="324" spans="1:26" ht="15.75" customHeight="1">
      <c r="A324" s="146"/>
      <c r="B324" s="146"/>
      <c r="C324" s="146"/>
      <c r="D324" s="146"/>
      <c r="E324" s="146"/>
      <c r="F324" s="146"/>
      <c r="G324" s="146"/>
      <c r="H324" s="146"/>
      <c r="I324" s="146"/>
      <c r="J324" s="146"/>
      <c r="K324" s="146"/>
      <c r="L324" s="146"/>
      <c r="M324" s="146"/>
      <c r="N324" s="146"/>
      <c r="O324" s="146"/>
      <c r="P324" s="146"/>
      <c r="Q324" s="146"/>
      <c r="R324" s="146"/>
      <c r="S324" s="146"/>
      <c r="T324" s="146"/>
      <c r="U324" s="146"/>
      <c r="V324" s="146"/>
      <c r="W324" s="146"/>
      <c r="X324" s="146"/>
      <c r="Y324" s="146"/>
      <c r="Z324" s="146"/>
    </row>
    <row r="325" spans="1:26" ht="15.75" customHeight="1">
      <c r="A325" s="146"/>
      <c r="B325" s="146"/>
      <c r="C325" s="146"/>
      <c r="D325" s="146"/>
      <c r="E325" s="146"/>
      <c r="F325" s="146"/>
      <c r="G325" s="146"/>
      <c r="H325" s="146"/>
      <c r="I325" s="146"/>
      <c r="J325" s="146"/>
      <c r="K325" s="146"/>
      <c r="L325" s="146"/>
      <c r="M325" s="146"/>
      <c r="N325" s="146"/>
      <c r="O325" s="146"/>
      <c r="P325" s="146"/>
      <c r="Q325" s="146"/>
      <c r="R325" s="146"/>
      <c r="S325" s="146"/>
      <c r="T325" s="146"/>
      <c r="U325" s="146"/>
      <c r="V325" s="146"/>
      <c r="W325" s="146"/>
      <c r="X325" s="146"/>
      <c r="Y325" s="146"/>
      <c r="Z325" s="146"/>
    </row>
    <row r="326" spans="1:26" ht="15.75" customHeight="1">
      <c r="A326" s="146"/>
      <c r="B326" s="146"/>
      <c r="C326" s="146"/>
      <c r="D326" s="146"/>
      <c r="E326" s="146"/>
      <c r="F326" s="146"/>
      <c r="G326" s="146"/>
      <c r="H326" s="146"/>
      <c r="I326" s="146"/>
      <c r="J326" s="146"/>
      <c r="K326" s="146"/>
      <c r="L326" s="146"/>
      <c r="M326" s="146"/>
      <c r="N326" s="146"/>
      <c r="O326" s="146"/>
      <c r="P326" s="146"/>
      <c r="Q326" s="146"/>
      <c r="R326" s="146"/>
      <c r="S326" s="146"/>
      <c r="T326" s="146"/>
      <c r="U326" s="146"/>
      <c r="V326" s="146"/>
      <c r="W326" s="146"/>
      <c r="X326" s="146"/>
      <c r="Y326" s="146"/>
      <c r="Z326" s="146"/>
    </row>
    <row r="327" spans="1:26" ht="15.75" customHeight="1">
      <c r="A327" s="146"/>
      <c r="B327" s="146"/>
      <c r="C327" s="146"/>
      <c r="D327" s="146"/>
      <c r="E327" s="146"/>
      <c r="F327" s="146"/>
      <c r="G327" s="146"/>
      <c r="H327" s="146"/>
      <c r="I327" s="146"/>
      <c r="J327" s="146"/>
      <c r="K327" s="146"/>
      <c r="L327" s="146"/>
      <c r="M327" s="146"/>
      <c r="N327" s="146"/>
      <c r="O327" s="146"/>
      <c r="P327" s="146"/>
      <c r="Q327" s="146"/>
      <c r="R327" s="146"/>
      <c r="S327" s="146"/>
      <c r="T327" s="146"/>
      <c r="U327" s="146"/>
      <c r="V327" s="146"/>
      <c r="W327" s="146"/>
      <c r="X327" s="146"/>
      <c r="Y327" s="146"/>
      <c r="Z327" s="146"/>
    </row>
    <row r="328" spans="1:26" ht="15.75" customHeight="1">
      <c r="A328" s="146"/>
      <c r="B328" s="146"/>
      <c r="C328" s="146"/>
      <c r="D328" s="146"/>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row>
    <row r="329" spans="1:26" ht="15.75" customHeight="1">
      <c r="A329" s="146"/>
      <c r="B329" s="146"/>
      <c r="C329" s="146"/>
      <c r="D329" s="146"/>
      <c r="E329" s="146"/>
      <c r="F329" s="146"/>
      <c r="G329" s="146"/>
      <c r="H329" s="146"/>
      <c r="I329" s="146"/>
      <c r="J329" s="146"/>
      <c r="K329" s="146"/>
      <c r="L329" s="146"/>
      <c r="M329" s="146"/>
      <c r="N329" s="146"/>
      <c r="O329" s="146"/>
      <c r="P329" s="146"/>
      <c r="Q329" s="146"/>
      <c r="R329" s="146"/>
      <c r="S329" s="146"/>
      <c r="T329" s="146"/>
      <c r="U329" s="146"/>
      <c r="V329" s="146"/>
      <c r="W329" s="146"/>
      <c r="X329" s="146"/>
      <c r="Y329" s="146"/>
      <c r="Z329" s="146"/>
    </row>
    <row r="330" spans="1:26" ht="15.75" customHeight="1">
      <c r="A330" s="146"/>
      <c r="B330" s="146"/>
      <c r="C330" s="146"/>
      <c r="D330" s="146"/>
      <c r="E330" s="146"/>
      <c r="F330" s="146"/>
      <c r="G330" s="146"/>
      <c r="H330" s="146"/>
      <c r="I330" s="146"/>
      <c r="J330" s="146"/>
      <c r="K330" s="146"/>
      <c r="L330" s="146"/>
      <c r="M330" s="146"/>
      <c r="N330" s="146"/>
      <c r="O330" s="146"/>
      <c r="P330" s="146"/>
      <c r="Q330" s="146"/>
      <c r="R330" s="146"/>
      <c r="S330" s="146"/>
      <c r="T330" s="146"/>
      <c r="U330" s="146"/>
      <c r="V330" s="146"/>
      <c r="W330" s="146"/>
      <c r="X330" s="146"/>
      <c r="Y330" s="146"/>
      <c r="Z330" s="146"/>
    </row>
    <row r="331" spans="1:26" ht="15.75" customHeight="1">
      <c r="A331" s="146"/>
      <c r="B331" s="146"/>
      <c r="C331" s="146"/>
      <c r="D331" s="146"/>
      <c r="E331" s="146"/>
      <c r="F331" s="146"/>
      <c r="G331" s="146"/>
      <c r="H331" s="146"/>
      <c r="I331" s="146"/>
      <c r="J331" s="146"/>
      <c r="K331" s="146"/>
      <c r="L331" s="146"/>
      <c r="M331" s="146"/>
      <c r="N331" s="146"/>
      <c r="O331" s="146"/>
      <c r="P331" s="146"/>
      <c r="Q331" s="146"/>
      <c r="R331" s="146"/>
      <c r="S331" s="146"/>
      <c r="T331" s="146"/>
      <c r="U331" s="146"/>
      <c r="V331" s="146"/>
      <c r="W331" s="146"/>
      <c r="X331" s="146"/>
      <c r="Y331" s="146"/>
      <c r="Z331" s="146"/>
    </row>
    <row r="332" spans="1:26" ht="15.75" customHeight="1">
      <c r="A332" s="146"/>
      <c r="B332" s="146"/>
      <c r="C332" s="146"/>
      <c r="D332" s="146"/>
      <c r="E332" s="146"/>
      <c r="F332" s="146"/>
      <c r="G332" s="146"/>
      <c r="H332" s="146"/>
      <c r="I332" s="146"/>
      <c r="J332" s="146"/>
      <c r="K332" s="146"/>
      <c r="L332" s="146"/>
      <c r="M332" s="146"/>
      <c r="N332" s="146"/>
      <c r="O332" s="146"/>
      <c r="P332" s="146"/>
      <c r="Q332" s="146"/>
      <c r="R332" s="146"/>
      <c r="S332" s="146"/>
      <c r="T332" s="146"/>
      <c r="U332" s="146"/>
      <c r="V332" s="146"/>
      <c r="W332" s="146"/>
      <c r="X332" s="146"/>
      <c r="Y332" s="146"/>
      <c r="Z332" s="146"/>
    </row>
    <row r="333" spans="1:26" ht="15.75" customHeight="1">
      <c r="A333" s="146"/>
      <c r="B333" s="146"/>
      <c r="C333" s="146"/>
      <c r="D333" s="146"/>
      <c r="E333" s="146"/>
      <c r="F333" s="146"/>
      <c r="G333" s="146"/>
      <c r="H333" s="146"/>
      <c r="I333" s="146"/>
      <c r="J333" s="146"/>
      <c r="K333" s="146"/>
      <c r="L333" s="146"/>
      <c r="M333" s="146"/>
      <c r="N333" s="146"/>
      <c r="O333" s="146"/>
      <c r="P333" s="146"/>
      <c r="Q333" s="146"/>
      <c r="R333" s="146"/>
      <c r="S333" s="146"/>
      <c r="T333" s="146"/>
      <c r="U333" s="146"/>
      <c r="V333" s="146"/>
      <c r="W333" s="146"/>
      <c r="X333" s="146"/>
      <c r="Y333" s="146"/>
      <c r="Z333" s="146"/>
    </row>
    <row r="334" spans="1:26" ht="15.75" customHeight="1">
      <c r="A334" s="146"/>
      <c r="B334" s="146"/>
      <c r="C334" s="146"/>
      <c r="D334" s="146"/>
      <c r="E334" s="146"/>
      <c r="F334" s="146"/>
      <c r="G334" s="146"/>
      <c r="H334" s="146"/>
      <c r="I334" s="146"/>
      <c r="J334" s="146"/>
      <c r="K334" s="146"/>
      <c r="L334" s="146"/>
      <c r="M334" s="146"/>
      <c r="N334" s="146"/>
      <c r="O334" s="146"/>
      <c r="P334" s="146"/>
      <c r="Q334" s="146"/>
      <c r="R334" s="146"/>
      <c r="S334" s="146"/>
      <c r="T334" s="146"/>
      <c r="U334" s="146"/>
      <c r="V334" s="146"/>
      <c r="W334" s="146"/>
      <c r="X334" s="146"/>
      <c r="Y334" s="146"/>
      <c r="Z334" s="146"/>
    </row>
    <row r="335" spans="1:26" ht="15.75" customHeight="1">
      <c r="A335" s="146"/>
      <c r="B335" s="146"/>
      <c r="C335" s="146"/>
      <c r="D335" s="146"/>
      <c r="E335" s="146"/>
      <c r="F335" s="146"/>
      <c r="G335" s="146"/>
      <c r="H335" s="146"/>
      <c r="I335" s="146"/>
      <c r="J335" s="146"/>
      <c r="K335" s="146"/>
      <c r="L335" s="146"/>
      <c r="M335" s="146"/>
      <c r="N335" s="146"/>
      <c r="O335" s="146"/>
      <c r="P335" s="146"/>
      <c r="Q335" s="146"/>
      <c r="R335" s="146"/>
      <c r="S335" s="146"/>
      <c r="T335" s="146"/>
      <c r="U335" s="146"/>
      <c r="V335" s="146"/>
      <c r="W335" s="146"/>
      <c r="X335" s="146"/>
      <c r="Y335" s="146"/>
      <c r="Z335" s="146"/>
    </row>
    <row r="336" spans="1:26" ht="15.75" customHeight="1">
      <c r="A336" s="146"/>
      <c r="B336" s="146"/>
      <c r="C336" s="146"/>
      <c r="D336" s="146"/>
      <c r="E336" s="146"/>
      <c r="F336" s="146"/>
      <c r="G336" s="146"/>
      <c r="H336" s="146"/>
      <c r="I336" s="146"/>
      <c r="J336" s="146"/>
      <c r="K336" s="146"/>
      <c r="L336" s="146"/>
      <c r="M336" s="146"/>
      <c r="N336" s="146"/>
      <c r="O336" s="146"/>
      <c r="P336" s="146"/>
      <c r="Q336" s="146"/>
      <c r="R336" s="146"/>
      <c r="S336" s="146"/>
      <c r="T336" s="146"/>
      <c r="U336" s="146"/>
      <c r="V336" s="146"/>
      <c r="W336" s="146"/>
      <c r="X336" s="146"/>
      <c r="Y336" s="146"/>
      <c r="Z336" s="146"/>
    </row>
    <row r="337" spans="1:26" ht="15.75" customHeight="1">
      <c r="A337" s="146"/>
      <c r="B337" s="146"/>
      <c r="C337" s="146"/>
      <c r="D337" s="146"/>
      <c r="E337" s="146"/>
      <c r="F337" s="146"/>
      <c r="G337" s="146"/>
      <c r="H337" s="146"/>
      <c r="I337" s="146"/>
      <c r="J337" s="146"/>
      <c r="K337" s="146"/>
      <c r="L337" s="146"/>
      <c r="M337" s="146"/>
      <c r="N337" s="146"/>
      <c r="O337" s="146"/>
      <c r="P337" s="146"/>
      <c r="Q337" s="146"/>
      <c r="R337" s="146"/>
      <c r="S337" s="146"/>
      <c r="T337" s="146"/>
      <c r="U337" s="146"/>
      <c r="V337" s="146"/>
      <c r="W337" s="146"/>
      <c r="X337" s="146"/>
      <c r="Y337" s="146"/>
      <c r="Z337" s="146"/>
    </row>
    <row r="338" spans="1:26" ht="15.75" customHeight="1">
      <c r="A338" s="146"/>
      <c r="B338" s="146"/>
      <c r="C338" s="146"/>
      <c r="D338" s="146"/>
      <c r="E338" s="146"/>
      <c r="F338" s="146"/>
      <c r="G338" s="146"/>
      <c r="H338" s="146"/>
      <c r="I338" s="146"/>
      <c r="J338" s="146"/>
      <c r="K338" s="146"/>
      <c r="L338" s="146"/>
      <c r="M338" s="146"/>
      <c r="N338" s="146"/>
      <c r="O338" s="146"/>
      <c r="P338" s="146"/>
      <c r="Q338" s="146"/>
      <c r="R338" s="146"/>
      <c r="S338" s="146"/>
      <c r="T338" s="146"/>
      <c r="U338" s="146"/>
      <c r="V338" s="146"/>
      <c r="W338" s="146"/>
      <c r="X338" s="146"/>
      <c r="Y338" s="146"/>
      <c r="Z338" s="146"/>
    </row>
    <row r="339" spans="1:26" ht="15.75" customHeight="1">
      <c r="A339" s="146"/>
      <c r="B339" s="146"/>
      <c r="C339" s="146"/>
      <c r="D339" s="146"/>
      <c r="E339" s="146"/>
      <c r="F339" s="146"/>
      <c r="G339" s="146"/>
      <c r="H339" s="146"/>
      <c r="I339" s="146"/>
      <c r="J339" s="146"/>
      <c r="K339" s="146"/>
      <c r="L339" s="146"/>
      <c r="M339" s="146"/>
      <c r="N339" s="146"/>
      <c r="O339" s="146"/>
      <c r="P339" s="146"/>
      <c r="Q339" s="146"/>
      <c r="R339" s="146"/>
      <c r="S339" s="146"/>
      <c r="T339" s="146"/>
      <c r="U339" s="146"/>
      <c r="V339" s="146"/>
      <c r="W339" s="146"/>
      <c r="X339" s="146"/>
      <c r="Y339" s="146"/>
      <c r="Z339" s="146"/>
    </row>
    <row r="340" spans="1:26" ht="15.75" customHeight="1">
      <c r="A340" s="146"/>
      <c r="B340" s="146"/>
      <c r="C340" s="146"/>
      <c r="D340" s="146"/>
      <c r="E340" s="146"/>
      <c r="F340" s="146"/>
      <c r="G340" s="146"/>
      <c r="H340" s="146"/>
      <c r="I340" s="146"/>
      <c r="J340" s="146"/>
      <c r="K340" s="146"/>
      <c r="L340" s="146"/>
      <c r="M340" s="146"/>
      <c r="N340" s="146"/>
      <c r="O340" s="146"/>
      <c r="P340" s="146"/>
      <c r="Q340" s="146"/>
      <c r="R340" s="146"/>
      <c r="S340" s="146"/>
      <c r="T340" s="146"/>
      <c r="U340" s="146"/>
      <c r="V340" s="146"/>
      <c r="W340" s="146"/>
      <c r="X340" s="146"/>
      <c r="Y340" s="146"/>
      <c r="Z340" s="146"/>
    </row>
    <row r="341" spans="1:26" ht="15.75" customHeight="1">
      <c r="A341" s="14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row>
    <row r="342" spans="1:26" ht="15.75" customHeight="1">
      <c r="A342" s="146"/>
      <c r="B342" s="146"/>
      <c r="C342" s="146"/>
      <c r="D342" s="146"/>
      <c r="E342" s="146"/>
      <c r="F342" s="146"/>
      <c r="G342" s="146"/>
      <c r="H342" s="146"/>
      <c r="I342" s="146"/>
      <c r="J342" s="146"/>
      <c r="K342" s="146"/>
      <c r="L342" s="146"/>
      <c r="M342" s="146"/>
      <c r="N342" s="146"/>
      <c r="O342" s="146"/>
      <c r="P342" s="146"/>
      <c r="Q342" s="146"/>
      <c r="R342" s="146"/>
      <c r="S342" s="146"/>
      <c r="T342" s="146"/>
      <c r="U342" s="146"/>
      <c r="V342" s="146"/>
      <c r="W342" s="146"/>
      <c r="X342" s="146"/>
      <c r="Y342" s="146"/>
      <c r="Z342" s="146"/>
    </row>
    <row r="343" spans="1:26" ht="15.75" customHeight="1">
      <c r="A343" s="146"/>
      <c r="B343" s="146"/>
      <c r="C343" s="146"/>
      <c r="D343" s="146"/>
      <c r="E343" s="146"/>
      <c r="F343" s="146"/>
      <c r="G343" s="146"/>
      <c r="H343" s="146"/>
      <c r="I343" s="146"/>
      <c r="J343" s="146"/>
      <c r="K343" s="146"/>
      <c r="L343" s="146"/>
      <c r="M343" s="146"/>
      <c r="N343" s="146"/>
      <c r="O343" s="146"/>
      <c r="P343" s="146"/>
      <c r="Q343" s="146"/>
      <c r="R343" s="146"/>
      <c r="S343" s="146"/>
      <c r="T343" s="146"/>
      <c r="U343" s="146"/>
      <c r="V343" s="146"/>
      <c r="W343" s="146"/>
      <c r="X343" s="146"/>
      <c r="Y343" s="146"/>
      <c r="Z343" s="146"/>
    </row>
    <row r="344" spans="1:26" ht="15.75" customHeight="1">
      <c r="A344" s="146"/>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row>
    <row r="345" spans="1:26" ht="15.75" customHeight="1">
      <c r="A345" s="146"/>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row>
    <row r="346" spans="1:26" ht="15.75" customHeight="1">
      <c r="A346" s="146"/>
      <c r="B346" s="146"/>
      <c r="C346" s="146"/>
      <c r="D346" s="146"/>
      <c r="E346" s="146"/>
      <c r="F346" s="146"/>
      <c r="G346" s="146"/>
      <c r="H346" s="146"/>
      <c r="I346" s="146"/>
      <c r="J346" s="146"/>
      <c r="K346" s="146"/>
      <c r="L346" s="146"/>
      <c r="M346" s="146"/>
      <c r="N346" s="146"/>
      <c r="O346" s="146"/>
      <c r="P346" s="146"/>
      <c r="Q346" s="146"/>
      <c r="R346" s="146"/>
      <c r="S346" s="146"/>
      <c r="T346" s="146"/>
      <c r="U346" s="146"/>
      <c r="V346" s="146"/>
      <c r="W346" s="146"/>
      <c r="X346" s="146"/>
      <c r="Y346" s="146"/>
      <c r="Z346" s="146"/>
    </row>
    <row r="347" spans="1:26" ht="15.75" customHeight="1">
      <c r="A347" s="146"/>
      <c r="B347" s="146"/>
      <c r="C347" s="146"/>
      <c r="D347" s="146"/>
      <c r="E347" s="146"/>
      <c r="F347" s="146"/>
      <c r="G347" s="146"/>
      <c r="H347" s="146"/>
      <c r="I347" s="146"/>
      <c r="J347" s="146"/>
      <c r="K347" s="146"/>
      <c r="L347" s="146"/>
      <c r="M347" s="146"/>
      <c r="N347" s="146"/>
      <c r="O347" s="146"/>
      <c r="P347" s="146"/>
      <c r="Q347" s="146"/>
      <c r="R347" s="146"/>
      <c r="S347" s="146"/>
      <c r="T347" s="146"/>
      <c r="U347" s="146"/>
      <c r="V347" s="146"/>
      <c r="W347" s="146"/>
      <c r="X347" s="146"/>
      <c r="Y347" s="146"/>
      <c r="Z347" s="146"/>
    </row>
    <row r="348" spans="1:26" ht="15.75" customHeight="1">
      <c r="A348" s="146"/>
      <c r="B348" s="146"/>
      <c r="C348" s="146"/>
      <c r="D348" s="146"/>
      <c r="E348" s="146"/>
      <c r="F348" s="146"/>
      <c r="G348" s="146"/>
      <c r="H348" s="146"/>
      <c r="I348" s="146"/>
      <c r="J348" s="146"/>
      <c r="K348" s="146"/>
      <c r="L348" s="146"/>
      <c r="M348" s="146"/>
      <c r="N348" s="146"/>
      <c r="O348" s="146"/>
      <c r="P348" s="146"/>
      <c r="Q348" s="146"/>
      <c r="R348" s="146"/>
      <c r="S348" s="146"/>
      <c r="T348" s="146"/>
      <c r="U348" s="146"/>
      <c r="V348" s="146"/>
      <c r="W348" s="146"/>
      <c r="X348" s="146"/>
      <c r="Y348" s="146"/>
      <c r="Z348" s="146"/>
    </row>
    <row r="349" spans="1:26" ht="15.75" customHeight="1">
      <c r="A349" s="146"/>
      <c r="B349" s="146"/>
      <c r="C349" s="146"/>
      <c r="D349" s="146"/>
      <c r="E349" s="146"/>
      <c r="F349" s="146"/>
      <c r="G349" s="146"/>
      <c r="H349" s="146"/>
      <c r="I349" s="146"/>
      <c r="J349" s="146"/>
      <c r="K349" s="146"/>
      <c r="L349" s="146"/>
      <c r="M349" s="146"/>
      <c r="N349" s="146"/>
      <c r="O349" s="146"/>
      <c r="P349" s="146"/>
      <c r="Q349" s="146"/>
      <c r="R349" s="146"/>
      <c r="S349" s="146"/>
      <c r="T349" s="146"/>
      <c r="U349" s="146"/>
      <c r="V349" s="146"/>
      <c r="W349" s="146"/>
      <c r="X349" s="146"/>
      <c r="Y349" s="146"/>
      <c r="Z349" s="146"/>
    </row>
    <row r="350" spans="1:26" ht="15.75" customHeight="1">
      <c r="A350" s="146"/>
      <c r="B350" s="146"/>
      <c r="C350" s="146"/>
      <c r="D350" s="146"/>
      <c r="E350" s="146"/>
      <c r="F350" s="146"/>
      <c r="G350" s="146"/>
      <c r="H350" s="146"/>
      <c r="I350" s="146"/>
      <c r="J350" s="146"/>
      <c r="K350" s="146"/>
      <c r="L350" s="146"/>
      <c r="M350" s="146"/>
      <c r="N350" s="146"/>
      <c r="O350" s="146"/>
      <c r="P350" s="146"/>
      <c r="Q350" s="146"/>
      <c r="R350" s="146"/>
      <c r="S350" s="146"/>
      <c r="T350" s="146"/>
      <c r="U350" s="146"/>
      <c r="V350" s="146"/>
      <c r="W350" s="146"/>
      <c r="X350" s="146"/>
      <c r="Y350" s="146"/>
      <c r="Z350" s="146"/>
    </row>
    <row r="351" spans="1:26" ht="15.75" customHeight="1">
      <c r="A351" s="146"/>
      <c r="B351" s="146"/>
      <c r="C351" s="146"/>
      <c r="D351" s="146"/>
      <c r="E351" s="146"/>
      <c r="F351" s="146"/>
      <c r="G351" s="146"/>
      <c r="H351" s="146"/>
      <c r="I351" s="146"/>
      <c r="J351" s="146"/>
      <c r="K351" s="146"/>
      <c r="L351" s="146"/>
      <c r="M351" s="146"/>
      <c r="N351" s="146"/>
      <c r="O351" s="146"/>
      <c r="P351" s="146"/>
      <c r="Q351" s="146"/>
      <c r="R351" s="146"/>
      <c r="S351" s="146"/>
      <c r="T351" s="146"/>
      <c r="U351" s="146"/>
      <c r="V351" s="146"/>
      <c r="W351" s="146"/>
      <c r="X351" s="146"/>
      <c r="Y351" s="146"/>
      <c r="Z351" s="146"/>
    </row>
    <row r="352" spans="1:26" ht="15.75" customHeight="1">
      <c r="A352" s="146"/>
      <c r="B352" s="146"/>
      <c r="C352" s="146"/>
      <c r="D352" s="146"/>
      <c r="E352" s="146"/>
      <c r="F352" s="146"/>
      <c r="G352" s="146"/>
      <c r="H352" s="146"/>
      <c r="I352" s="146"/>
      <c r="J352" s="146"/>
      <c r="K352" s="146"/>
      <c r="L352" s="146"/>
      <c r="M352" s="146"/>
      <c r="N352" s="146"/>
      <c r="O352" s="146"/>
      <c r="P352" s="146"/>
      <c r="Q352" s="146"/>
      <c r="R352" s="146"/>
      <c r="S352" s="146"/>
      <c r="T352" s="146"/>
      <c r="U352" s="146"/>
      <c r="V352" s="146"/>
      <c r="W352" s="146"/>
      <c r="X352" s="146"/>
      <c r="Y352" s="146"/>
      <c r="Z352" s="146"/>
    </row>
    <row r="353" spans="1:26" ht="15.75" customHeight="1">
      <c r="A353" s="146"/>
      <c r="B353" s="146"/>
      <c r="C353" s="146"/>
      <c r="D353" s="146"/>
      <c r="E353" s="146"/>
      <c r="F353" s="146"/>
      <c r="G353" s="146"/>
      <c r="H353" s="146"/>
      <c r="I353" s="146"/>
      <c r="J353" s="146"/>
      <c r="K353" s="146"/>
      <c r="L353" s="146"/>
      <c r="M353" s="146"/>
      <c r="N353" s="146"/>
      <c r="O353" s="146"/>
      <c r="P353" s="146"/>
      <c r="Q353" s="146"/>
      <c r="R353" s="146"/>
      <c r="S353" s="146"/>
      <c r="T353" s="146"/>
      <c r="U353" s="146"/>
      <c r="V353" s="146"/>
      <c r="W353" s="146"/>
      <c r="X353" s="146"/>
      <c r="Y353" s="146"/>
      <c r="Z353" s="146"/>
    </row>
    <row r="354" spans="1:26" ht="15.75" customHeight="1">
      <c r="A354" s="146"/>
      <c r="B354" s="146"/>
      <c r="C354" s="146"/>
      <c r="D354" s="146"/>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row>
    <row r="355" spans="1:26" ht="15.75" customHeight="1">
      <c r="A355" s="146"/>
      <c r="B355" s="146"/>
      <c r="C355" s="146"/>
      <c r="D355" s="146"/>
      <c r="E355" s="146"/>
      <c r="F355" s="146"/>
      <c r="G355" s="146"/>
      <c r="H355" s="146"/>
      <c r="I355" s="146"/>
      <c r="J355" s="146"/>
      <c r="K355" s="146"/>
      <c r="L355" s="146"/>
      <c r="M355" s="146"/>
      <c r="N355" s="146"/>
      <c r="O355" s="146"/>
      <c r="P355" s="146"/>
      <c r="Q355" s="146"/>
      <c r="R355" s="146"/>
      <c r="S355" s="146"/>
      <c r="T355" s="146"/>
      <c r="U355" s="146"/>
      <c r="V355" s="146"/>
      <c r="W355" s="146"/>
      <c r="X355" s="146"/>
      <c r="Y355" s="146"/>
      <c r="Z355" s="146"/>
    </row>
    <row r="356" spans="1:26" ht="15.75" customHeight="1">
      <c r="A356" s="146"/>
      <c r="B356" s="146"/>
      <c r="C356" s="146"/>
      <c r="D356" s="146"/>
      <c r="E356" s="146"/>
      <c r="F356" s="146"/>
      <c r="G356" s="146"/>
      <c r="H356" s="146"/>
      <c r="I356" s="146"/>
      <c r="J356" s="146"/>
      <c r="K356" s="146"/>
      <c r="L356" s="146"/>
      <c r="M356" s="146"/>
      <c r="N356" s="146"/>
      <c r="O356" s="146"/>
      <c r="P356" s="146"/>
      <c r="Q356" s="146"/>
      <c r="R356" s="146"/>
      <c r="S356" s="146"/>
      <c r="T356" s="146"/>
      <c r="U356" s="146"/>
      <c r="V356" s="146"/>
      <c r="W356" s="146"/>
      <c r="X356" s="146"/>
      <c r="Y356" s="146"/>
      <c r="Z356" s="146"/>
    </row>
    <row r="357" spans="1:26" ht="15.75" customHeight="1">
      <c r="A357" s="146"/>
      <c r="B357" s="146"/>
      <c r="C357" s="146"/>
      <c r="D357" s="146"/>
      <c r="E357" s="146"/>
      <c r="F357" s="146"/>
      <c r="G357" s="146"/>
      <c r="H357" s="146"/>
      <c r="I357" s="146"/>
      <c r="J357" s="146"/>
      <c r="K357" s="146"/>
      <c r="L357" s="146"/>
      <c r="M357" s="146"/>
      <c r="N357" s="146"/>
      <c r="O357" s="146"/>
      <c r="P357" s="146"/>
      <c r="Q357" s="146"/>
      <c r="R357" s="146"/>
      <c r="S357" s="146"/>
      <c r="T357" s="146"/>
      <c r="U357" s="146"/>
      <c r="V357" s="146"/>
      <c r="W357" s="146"/>
      <c r="X357" s="146"/>
      <c r="Y357" s="146"/>
      <c r="Z357" s="146"/>
    </row>
    <row r="358" spans="1:26" ht="15.75" customHeight="1">
      <c r="A358" s="146"/>
      <c r="B358" s="146"/>
      <c r="C358" s="146"/>
      <c r="D358" s="146"/>
      <c r="E358" s="146"/>
      <c r="F358" s="146"/>
      <c r="G358" s="146"/>
      <c r="H358" s="146"/>
      <c r="I358" s="146"/>
      <c r="J358" s="146"/>
      <c r="K358" s="146"/>
      <c r="L358" s="146"/>
      <c r="M358" s="146"/>
      <c r="N358" s="146"/>
      <c r="O358" s="146"/>
      <c r="P358" s="146"/>
      <c r="Q358" s="146"/>
      <c r="R358" s="146"/>
      <c r="S358" s="146"/>
      <c r="T358" s="146"/>
      <c r="U358" s="146"/>
      <c r="V358" s="146"/>
      <c r="W358" s="146"/>
      <c r="X358" s="146"/>
      <c r="Y358" s="146"/>
      <c r="Z358" s="146"/>
    </row>
    <row r="359" spans="1:26" ht="15.75" customHeight="1">
      <c r="A359" s="146"/>
      <c r="B359" s="146"/>
      <c r="C359" s="146"/>
      <c r="D359" s="146"/>
      <c r="E359" s="146"/>
      <c r="F359" s="146"/>
      <c r="G359" s="146"/>
      <c r="H359" s="146"/>
      <c r="I359" s="146"/>
      <c r="J359" s="146"/>
      <c r="K359" s="146"/>
      <c r="L359" s="146"/>
      <c r="M359" s="146"/>
      <c r="N359" s="146"/>
      <c r="O359" s="146"/>
      <c r="P359" s="146"/>
      <c r="Q359" s="146"/>
      <c r="R359" s="146"/>
      <c r="S359" s="146"/>
      <c r="T359" s="146"/>
      <c r="U359" s="146"/>
      <c r="V359" s="146"/>
      <c r="W359" s="146"/>
      <c r="X359" s="146"/>
      <c r="Y359" s="146"/>
      <c r="Z359" s="146"/>
    </row>
    <row r="360" spans="1:26" ht="15.75" customHeight="1">
      <c r="A360" s="146"/>
      <c r="B360" s="146"/>
      <c r="C360" s="146"/>
      <c r="D360" s="146"/>
      <c r="E360" s="146"/>
      <c r="F360" s="146"/>
      <c r="G360" s="146"/>
      <c r="H360" s="146"/>
      <c r="I360" s="146"/>
      <c r="J360" s="146"/>
      <c r="K360" s="146"/>
      <c r="L360" s="146"/>
      <c r="M360" s="146"/>
      <c r="N360" s="146"/>
      <c r="O360" s="146"/>
      <c r="P360" s="146"/>
      <c r="Q360" s="146"/>
      <c r="R360" s="146"/>
      <c r="S360" s="146"/>
      <c r="T360" s="146"/>
      <c r="U360" s="146"/>
      <c r="V360" s="146"/>
      <c r="W360" s="146"/>
      <c r="X360" s="146"/>
      <c r="Y360" s="146"/>
      <c r="Z360" s="146"/>
    </row>
    <row r="361" spans="1:26" ht="15.75" customHeight="1">
      <c r="A361" s="146"/>
      <c r="B361" s="146"/>
      <c r="C361" s="146"/>
      <c r="D361" s="146"/>
      <c r="E361" s="146"/>
      <c r="F361" s="146"/>
      <c r="G361" s="146"/>
      <c r="H361" s="146"/>
      <c r="I361" s="146"/>
      <c r="J361" s="146"/>
      <c r="K361" s="146"/>
      <c r="L361" s="146"/>
      <c r="M361" s="146"/>
      <c r="N361" s="146"/>
      <c r="O361" s="146"/>
      <c r="P361" s="146"/>
      <c r="Q361" s="146"/>
      <c r="R361" s="146"/>
      <c r="S361" s="146"/>
      <c r="T361" s="146"/>
      <c r="U361" s="146"/>
      <c r="V361" s="146"/>
      <c r="W361" s="146"/>
      <c r="X361" s="146"/>
      <c r="Y361" s="146"/>
      <c r="Z361" s="146"/>
    </row>
    <row r="362" spans="1:26" ht="15.75" customHeight="1">
      <c r="A362" s="146"/>
      <c r="B362" s="146"/>
      <c r="C362" s="146"/>
      <c r="D362" s="146"/>
      <c r="E362" s="146"/>
      <c r="F362" s="146"/>
      <c r="G362" s="146"/>
      <c r="H362" s="146"/>
      <c r="I362" s="146"/>
      <c r="J362" s="146"/>
      <c r="K362" s="146"/>
      <c r="L362" s="146"/>
      <c r="M362" s="146"/>
      <c r="N362" s="146"/>
      <c r="O362" s="146"/>
      <c r="P362" s="146"/>
      <c r="Q362" s="146"/>
      <c r="R362" s="146"/>
      <c r="S362" s="146"/>
      <c r="T362" s="146"/>
      <c r="U362" s="146"/>
      <c r="V362" s="146"/>
      <c r="W362" s="146"/>
      <c r="X362" s="146"/>
      <c r="Y362" s="146"/>
      <c r="Z362" s="146"/>
    </row>
    <row r="363" spans="1:26" ht="15.75" customHeight="1">
      <c r="A363" s="146"/>
      <c r="B363" s="146"/>
      <c r="C363" s="146"/>
      <c r="D363" s="146"/>
      <c r="E363" s="146"/>
      <c r="F363" s="146"/>
      <c r="G363" s="146"/>
      <c r="H363" s="146"/>
      <c r="I363" s="146"/>
      <c r="J363" s="146"/>
      <c r="K363" s="146"/>
      <c r="L363" s="146"/>
      <c r="M363" s="146"/>
      <c r="N363" s="146"/>
      <c r="O363" s="146"/>
      <c r="P363" s="146"/>
      <c r="Q363" s="146"/>
      <c r="R363" s="146"/>
      <c r="S363" s="146"/>
      <c r="T363" s="146"/>
      <c r="U363" s="146"/>
      <c r="V363" s="146"/>
      <c r="W363" s="146"/>
      <c r="X363" s="146"/>
      <c r="Y363" s="146"/>
      <c r="Z363" s="146"/>
    </row>
    <row r="364" spans="1:26" ht="15.75" customHeight="1">
      <c r="A364" s="146"/>
      <c r="B364" s="146"/>
      <c r="C364" s="146"/>
      <c r="D364" s="146"/>
      <c r="E364" s="146"/>
      <c r="F364" s="146"/>
      <c r="G364" s="146"/>
      <c r="H364" s="146"/>
      <c r="I364" s="146"/>
      <c r="J364" s="146"/>
      <c r="K364" s="146"/>
      <c r="L364" s="146"/>
      <c r="M364" s="146"/>
      <c r="N364" s="146"/>
      <c r="O364" s="146"/>
      <c r="P364" s="146"/>
      <c r="Q364" s="146"/>
      <c r="R364" s="146"/>
      <c r="S364" s="146"/>
      <c r="T364" s="146"/>
      <c r="U364" s="146"/>
      <c r="V364" s="146"/>
      <c r="W364" s="146"/>
      <c r="X364" s="146"/>
      <c r="Y364" s="146"/>
      <c r="Z364" s="146"/>
    </row>
    <row r="365" spans="1:26" ht="15.75" customHeight="1">
      <c r="A365" s="146"/>
      <c r="B365" s="146"/>
      <c r="C365" s="146"/>
      <c r="D365" s="146"/>
      <c r="E365" s="146"/>
      <c r="F365" s="146"/>
      <c r="G365" s="146"/>
      <c r="H365" s="146"/>
      <c r="I365" s="146"/>
      <c r="J365" s="146"/>
      <c r="K365" s="146"/>
      <c r="L365" s="146"/>
      <c r="M365" s="146"/>
      <c r="N365" s="146"/>
      <c r="O365" s="146"/>
      <c r="P365" s="146"/>
      <c r="Q365" s="146"/>
      <c r="R365" s="146"/>
      <c r="S365" s="146"/>
      <c r="T365" s="146"/>
      <c r="U365" s="146"/>
      <c r="V365" s="146"/>
      <c r="W365" s="146"/>
      <c r="X365" s="146"/>
      <c r="Y365" s="146"/>
      <c r="Z365" s="146"/>
    </row>
    <row r="366" spans="1:26" ht="15.75" customHeight="1">
      <c r="A366" s="146"/>
      <c r="B366" s="146"/>
      <c r="C366" s="146"/>
      <c r="D366" s="146"/>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row>
    <row r="367" spans="1:26" ht="15.75" customHeight="1">
      <c r="A367" s="146"/>
      <c r="B367" s="146"/>
      <c r="C367" s="146"/>
      <c r="D367" s="146"/>
      <c r="E367" s="146"/>
      <c r="F367" s="146"/>
      <c r="G367" s="146"/>
      <c r="H367" s="146"/>
      <c r="I367" s="146"/>
      <c r="J367" s="146"/>
      <c r="K367" s="146"/>
      <c r="L367" s="146"/>
      <c r="M367" s="146"/>
      <c r="N367" s="146"/>
      <c r="O367" s="146"/>
      <c r="P367" s="146"/>
      <c r="Q367" s="146"/>
      <c r="R367" s="146"/>
      <c r="S367" s="146"/>
      <c r="T367" s="146"/>
      <c r="U367" s="146"/>
      <c r="V367" s="146"/>
      <c r="W367" s="146"/>
      <c r="X367" s="146"/>
      <c r="Y367" s="146"/>
      <c r="Z367" s="146"/>
    </row>
    <row r="368" spans="1:26" ht="15.75" customHeight="1">
      <c r="A368" s="146"/>
      <c r="B368" s="146"/>
      <c r="C368" s="146"/>
      <c r="D368" s="146"/>
      <c r="E368" s="146"/>
      <c r="F368" s="146"/>
      <c r="G368" s="146"/>
      <c r="H368" s="146"/>
      <c r="I368" s="146"/>
      <c r="J368" s="146"/>
      <c r="K368" s="146"/>
      <c r="L368" s="146"/>
      <c r="M368" s="146"/>
      <c r="N368" s="146"/>
      <c r="O368" s="146"/>
      <c r="P368" s="146"/>
      <c r="Q368" s="146"/>
      <c r="R368" s="146"/>
      <c r="S368" s="146"/>
      <c r="T368" s="146"/>
      <c r="U368" s="146"/>
      <c r="V368" s="146"/>
      <c r="W368" s="146"/>
      <c r="X368" s="146"/>
      <c r="Y368" s="146"/>
      <c r="Z368" s="146"/>
    </row>
    <row r="369" spans="1:26" ht="15.75" customHeight="1">
      <c r="A369" s="146"/>
      <c r="B369" s="146"/>
      <c r="C369" s="146"/>
      <c r="D369" s="146"/>
      <c r="E369" s="146"/>
      <c r="F369" s="146"/>
      <c r="G369" s="146"/>
      <c r="H369" s="146"/>
      <c r="I369" s="146"/>
      <c r="J369" s="146"/>
      <c r="K369" s="146"/>
      <c r="L369" s="146"/>
      <c r="M369" s="146"/>
      <c r="N369" s="146"/>
      <c r="O369" s="146"/>
      <c r="P369" s="146"/>
      <c r="Q369" s="146"/>
      <c r="R369" s="146"/>
      <c r="S369" s="146"/>
      <c r="T369" s="146"/>
      <c r="U369" s="146"/>
      <c r="V369" s="146"/>
      <c r="W369" s="146"/>
      <c r="X369" s="146"/>
      <c r="Y369" s="146"/>
      <c r="Z369" s="146"/>
    </row>
    <row r="370" spans="1:26" ht="15.75" customHeight="1">
      <c r="A370" s="146"/>
      <c r="B370" s="146"/>
      <c r="C370" s="146"/>
      <c r="D370" s="146"/>
      <c r="E370" s="146"/>
      <c r="F370" s="146"/>
      <c r="G370" s="146"/>
      <c r="H370" s="146"/>
      <c r="I370" s="146"/>
      <c r="J370" s="146"/>
      <c r="K370" s="146"/>
      <c r="L370" s="146"/>
      <c r="M370" s="146"/>
      <c r="N370" s="146"/>
      <c r="O370" s="146"/>
      <c r="P370" s="146"/>
      <c r="Q370" s="146"/>
      <c r="R370" s="146"/>
      <c r="S370" s="146"/>
      <c r="T370" s="146"/>
      <c r="U370" s="146"/>
      <c r="V370" s="146"/>
      <c r="W370" s="146"/>
      <c r="X370" s="146"/>
      <c r="Y370" s="146"/>
      <c r="Z370" s="146"/>
    </row>
    <row r="371" spans="1:26" ht="15.75" customHeight="1">
      <c r="A371" s="146"/>
      <c r="B371" s="146"/>
      <c r="C371" s="146"/>
      <c r="D371" s="146"/>
      <c r="E371" s="146"/>
      <c r="F371" s="146"/>
      <c r="G371" s="146"/>
      <c r="H371" s="146"/>
      <c r="I371" s="146"/>
      <c r="J371" s="146"/>
      <c r="K371" s="146"/>
      <c r="L371" s="146"/>
      <c r="M371" s="146"/>
      <c r="N371" s="146"/>
      <c r="O371" s="146"/>
      <c r="P371" s="146"/>
      <c r="Q371" s="146"/>
      <c r="R371" s="146"/>
      <c r="S371" s="146"/>
      <c r="T371" s="146"/>
      <c r="U371" s="146"/>
      <c r="V371" s="146"/>
      <c r="W371" s="146"/>
      <c r="X371" s="146"/>
      <c r="Y371" s="146"/>
      <c r="Z371" s="146"/>
    </row>
    <row r="372" spans="1:26" ht="15.75" customHeight="1">
      <c r="A372" s="146"/>
      <c r="B372" s="146"/>
      <c r="C372" s="146"/>
      <c r="D372" s="146"/>
      <c r="E372" s="146"/>
      <c r="F372" s="146"/>
      <c r="G372" s="146"/>
      <c r="H372" s="146"/>
      <c r="I372" s="146"/>
      <c r="J372" s="146"/>
      <c r="K372" s="146"/>
      <c r="L372" s="146"/>
      <c r="M372" s="146"/>
      <c r="N372" s="146"/>
      <c r="O372" s="146"/>
      <c r="P372" s="146"/>
      <c r="Q372" s="146"/>
      <c r="R372" s="146"/>
      <c r="S372" s="146"/>
      <c r="T372" s="146"/>
      <c r="U372" s="146"/>
      <c r="V372" s="146"/>
      <c r="W372" s="146"/>
      <c r="X372" s="146"/>
      <c r="Y372" s="146"/>
      <c r="Z372" s="146"/>
    </row>
    <row r="373" spans="1:26" ht="15.75" customHeight="1">
      <c r="A373" s="146"/>
      <c r="B373" s="146"/>
      <c r="C373" s="146"/>
      <c r="D373" s="146"/>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row>
    <row r="374" spans="1:26" ht="15.75" customHeight="1">
      <c r="A374" s="146"/>
      <c r="B374" s="146"/>
      <c r="C374" s="146"/>
      <c r="D374" s="146"/>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row>
    <row r="375" spans="1:26" ht="15.75" customHeight="1">
      <c r="A375" s="146"/>
      <c r="B375" s="146"/>
      <c r="C375" s="146"/>
      <c r="D375" s="146"/>
      <c r="E375" s="146"/>
      <c r="F375" s="146"/>
      <c r="G375" s="146"/>
      <c r="H375" s="146"/>
      <c r="I375" s="146"/>
      <c r="J375" s="146"/>
      <c r="K375" s="146"/>
      <c r="L375" s="146"/>
      <c r="M375" s="146"/>
      <c r="N375" s="146"/>
      <c r="O375" s="146"/>
      <c r="P375" s="146"/>
      <c r="Q375" s="146"/>
      <c r="R375" s="146"/>
      <c r="S375" s="146"/>
      <c r="T375" s="146"/>
      <c r="U375" s="146"/>
      <c r="V375" s="146"/>
      <c r="W375" s="146"/>
      <c r="X375" s="146"/>
      <c r="Y375" s="146"/>
      <c r="Z375" s="146"/>
    </row>
    <row r="376" spans="1:26" ht="15.75" customHeight="1">
      <c r="A376" s="146"/>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row>
    <row r="377" spans="1:26" ht="15.75" customHeight="1">
      <c r="A377" s="146"/>
      <c r="B377" s="146"/>
      <c r="C377" s="146"/>
      <c r="D377" s="146"/>
      <c r="E377" s="146"/>
      <c r="F377" s="146"/>
      <c r="G377" s="146"/>
      <c r="H377" s="146"/>
      <c r="I377" s="146"/>
      <c r="J377" s="146"/>
      <c r="K377" s="146"/>
      <c r="L377" s="146"/>
      <c r="M377" s="146"/>
      <c r="N377" s="146"/>
      <c r="O377" s="146"/>
      <c r="P377" s="146"/>
      <c r="Q377" s="146"/>
      <c r="R377" s="146"/>
      <c r="S377" s="146"/>
      <c r="T377" s="146"/>
      <c r="U377" s="146"/>
      <c r="V377" s="146"/>
      <c r="W377" s="146"/>
      <c r="X377" s="146"/>
      <c r="Y377" s="146"/>
      <c r="Z377" s="146"/>
    </row>
    <row r="378" spans="1:26" ht="15.75" customHeight="1">
      <c r="A378" s="146"/>
      <c r="B378" s="146"/>
      <c r="C378" s="146"/>
      <c r="D378" s="146"/>
      <c r="E378" s="146"/>
      <c r="F378" s="146"/>
      <c r="G378" s="146"/>
      <c r="H378" s="146"/>
      <c r="I378" s="146"/>
      <c r="J378" s="146"/>
      <c r="K378" s="146"/>
      <c r="L378" s="146"/>
      <c r="M378" s="146"/>
      <c r="N378" s="146"/>
      <c r="O378" s="146"/>
      <c r="P378" s="146"/>
      <c r="Q378" s="146"/>
      <c r="R378" s="146"/>
      <c r="S378" s="146"/>
      <c r="T378" s="146"/>
      <c r="U378" s="146"/>
      <c r="V378" s="146"/>
      <c r="W378" s="146"/>
      <c r="X378" s="146"/>
      <c r="Y378" s="146"/>
      <c r="Z378" s="146"/>
    </row>
    <row r="379" spans="1:26" ht="15.75" customHeight="1">
      <c r="A379" s="146"/>
      <c r="B379" s="146"/>
      <c r="C379" s="146"/>
      <c r="D379" s="146"/>
      <c r="E379" s="146"/>
      <c r="F379" s="146"/>
      <c r="G379" s="146"/>
      <c r="H379" s="146"/>
      <c r="I379" s="146"/>
      <c r="J379" s="146"/>
      <c r="K379" s="146"/>
      <c r="L379" s="146"/>
      <c r="M379" s="146"/>
      <c r="N379" s="146"/>
      <c r="O379" s="146"/>
      <c r="P379" s="146"/>
      <c r="Q379" s="146"/>
      <c r="R379" s="146"/>
      <c r="S379" s="146"/>
      <c r="T379" s="146"/>
      <c r="U379" s="146"/>
      <c r="V379" s="146"/>
      <c r="W379" s="146"/>
      <c r="X379" s="146"/>
      <c r="Y379" s="146"/>
      <c r="Z379" s="146"/>
    </row>
    <row r="380" spans="1:26" ht="15.75" customHeight="1">
      <c r="A380" s="146"/>
      <c r="B380" s="146"/>
      <c r="C380" s="146"/>
      <c r="D380" s="146"/>
      <c r="E380" s="146"/>
      <c r="F380" s="146"/>
      <c r="G380" s="146"/>
      <c r="H380" s="146"/>
      <c r="I380" s="146"/>
      <c r="J380" s="146"/>
      <c r="K380" s="146"/>
      <c r="L380" s="146"/>
      <c r="M380" s="146"/>
      <c r="N380" s="146"/>
      <c r="O380" s="146"/>
      <c r="P380" s="146"/>
      <c r="Q380" s="146"/>
      <c r="R380" s="146"/>
      <c r="S380" s="146"/>
      <c r="T380" s="146"/>
      <c r="U380" s="146"/>
      <c r="V380" s="146"/>
      <c r="W380" s="146"/>
      <c r="X380" s="146"/>
      <c r="Y380" s="146"/>
      <c r="Z380" s="146"/>
    </row>
    <row r="381" spans="1:26" ht="15.75" customHeight="1">
      <c r="A381" s="146"/>
      <c r="B381" s="146"/>
      <c r="C381" s="146"/>
      <c r="D381" s="146"/>
      <c r="E381" s="146"/>
      <c r="F381" s="146"/>
      <c r="G381" s="146"/>
      <c r="H381" s="146"/>
      <c r="I381" s="146"/>
      <c r="J381" s="146"/>
      <c r="K381" s="146"/>
      <c r="L381" s="146"/>
      <c r="M381" s="146"/>
      <c r="N381" s="146"/>
      <c r="O381" s="146"/>
      <c r="P381" s="146"/>
      <c r="Q381" s="146"/>
      <c r="R381" s="146"/>
      <c r="S381" s="146"/>
      <c r="T381" s="146"/>
      <c r="U381" s="146"/>
      <c r="V381" s="146"/>
      <c r="W381" s="146"/>
      <c r="X381" s="146"/>
      <c r="Y381" s="146"/>
      <c r="Z381" s="146"/>
    </row>
    <row r="382" spans="1:26" ht="15.75" customHeight="1">
      <c r="A382" s="146"/>
      <c r="B382" s="146"/>
      <c r="C382" s="146"/>
      <c r="D382" s="146"/>
      <c r="E382" s="146"/>
      <c r="F382" s="146"/>
      <c r="G382" s="146"/>
      <c r="H382" s="146"/>
      <c r="I382" s="146"/>
      <c r="J382" s="146"/>
      <c r="K382" s="146"/>
      <c r="L382" s="146"/>
      <c r="M382" s="146"/>
      <c r="N382" s="146"/>
      <c r="O382" s="146"/>
      <c r="P382" s="146"/>
      <c r="Q382" s="146"/>
      <c r="R382" s="146"/>
      <c r="S382" s="146"/>
      <c r="T382" s="146"/>
      <c r="U382" s="146"/>
      <c r="V382" s="146"/>
      <c r="W382" s="146"/>
      <c r="X382" s="146"/>
      <c r="Y382" s="146"/>
      <c r="Z382" s="146"/>
    </row>
    <row r="383" spans="1:26" ht="15.75" customHeight="1">
      <c r="A383" s="146"/>
      <c r="B383" s="146"/>
      <c r="C383" s="146"/>
      <c r="D383" s="146"/>
      <c r="E383" s="146"/>
      <c r="F383" s="146"/>
      <c r="G383" s="146"/>
      <c r="H383" s="146"/>
      <c r="I383" s="146"/>
      <c r="J383" s="146"/>
      <c r="K383" s="146"/>
      <c r="L383" s="146"/>
      <c r="M383" s="146"/>
      <c r="N383" s="146"/>
      <c r="O383" s="146"/>
      <c r="P383" s="146"/>
      <c r="Q383" s="146"/>
      <c r="R383" s="146"/>
      <c r="S383" s="146"/>
      <c r="T383" s="146"/>
      <c r="U383" s="146"/>
      <c r="V383" s="146"/>
      <c r="W383" s="146"/>
      <c r="X383" s="146"/>
      <c r="Y383" s="146"/>
      <c r="Z383" s="146"/>
    </row>
    <row r="384" spans="1:26" ht="15.75" customHeight="1">
      <c r="A384" s="146"/>
      <c r="B384" s="146"/>
      <c r="C384" s="146"/>
      <c r="D384" s="146"/>
      <c r="E384" s="146"/>
      <c r="F384" s="146"/>
      <c r="G384" s="146"/>
      <c r="H384" s="146"/>
      <c r="I384" s="146"/>
      <c r="J384" s="146"/>
      <c r="K384" s="146"/>
      <c r="L384" s="146"/>
      <c r="M384" s="146"/>
      <c r="N384" s="146"/>
      <c r="O384" s="146"/>
      <c r="P384" s="146"/>
      <c r="Q384" s="146"/>
      <c r="R384" s="146"/>
      <c r="S384" s="146"/>
      <c r="T384" s="146"/>
      <c r="U384" s="146"/>
      <c r="V384" s="146"/>
      <c r="W384" s="146"/>
      <c r="X384" s="146"/>
      <c r="Y384" s="146"/>
      <c r="Z384" s="146"/>
    </row>
    <row r="385" spans="1:26" ht="15.75" customHeight="1">
      <c r="A385" s="146"/>
      <c r="B385" s="146"/>
      <c r="C385" s="146"/>
      <c r="D385" s="146"/>
      <c r="E385" s="146"/>
      <c r="F385" s="146"/>
      <c r="G385" s="146"/>
      <c r="H385" s="146"/>
      <c r="I385" s="146"/>
      <c r="J385" s="146"/>
      <c r="K385" s="146"/>
      <c r="L385" s="146"/>
      <c r="M385" s="146"/>
      <c r="N385" s="146"/>
      <c r="O385" s="146"/>
      <c r="P385" s="146"/>
      <c r="Q385" s="146"/>
      <c r="R385" s="146"/>
      <c r="S385" s="146"/>
      <c r="T385" s="146"/>
      <c r="U385" s="146"/>
      <c r="V385" s="146"/>
      <c r="W385" s="146"/>
      <c r="X385" s="146"/>
      <c r="Y385" s="146"/>
      <c r="Z385" s="146"/>
    </row>
    <row r="386" spans="1:26" ht="15.75" customHeight="1">
      <c r="A386" s="146"/>
      <c r="B386" s="146"/>
      <c r="C386" s="146"/>
      <c r="D386" s="146"/>
      <c r="E386" s="146"/>
      <c r="F386" s="146"/>
      <c r="G386" s="146"/>
      <c r="H386" s="146"/>
      <c r="I386" s="146"/>
      <c r="J386" s="146"/>
      <c r="K386" s="146"/>
      <c r="L386" s="146"/>
      <c r="M386" s="146"/>
      <c r="N386" s="146"/>
      <c r="O386" s="146"/>
      <c r="P386" s="146"/>
      <c r="Q386" s="146"/>
      <c r="R386" s="146"/>
      <c r="S386" s="146"/>
      <c r="T386" s="146"/>
      <c r="U386" s="146"/>
      <c r="V386" s="146"/>
      <c r="W386" s="146"/>
      <c r="X386" s="146"/>
      <c r="Y386" s="146"/>
      <c r="Z386" s="146"/>
    </row>
    <row r="387" spans="1:26" ht="15.75" customHeight="1">
      <c r="A387" s="146"/>
      <c r="B387" s="146"/>
      <c r="C387" s="146"/>
      <c r="D387" s="146"/>
      <c r="E387" s="146"/>
      <c r="F387" s="146"/>
      <c r="G387" s="146"/>
      <c r="H387" s="146"/>
      <c r="I387" s="146"/>
      <c r="J387" s="146"/>
      <c r="K387" s="146"/>
      <c r="L387" s="146"/>
      <c r="M387" s="146"/>
      <c r="N387" s="146"/>
      <c r="O387" s="146"/>
      <c r="P387" s="146"/>
      <c r="Q387" s="146"/>
      <c r="R387" s="146"/>
      <c r="S387" s="146"/>
      <c r="T387" s="146"/>
      <c r="U387" s="146"/>
      <c r="V387" s="146"/>
      <c r="W387" s="146"/>
      <c r="X387" s="146"/>
      <c r="Y387" s="146"/>
      <c r="Z387" s="146"/>
    </row>
    <row r="388" spans="1:26" ht="15.75" customHeight="1">
      <c r="A388" s="146"/>
      <c r="B388" s="146"/>
      <c r="C388" s="146"/>
      <c r="D388" s="146"/>
      <c r="E388" s="146"/>
      <c r="F388" s="146"/>
      <c r="G388" s="146"/>
      <c r="H388" s="146"/>
      <c r="I388" s="146"/>
      <c r="J388" s="146"/>
      <c r="K388" s="146"/>
      <c r="L388" s="146"/>
      <c r="M388" s="146"/>
      <c r="N388" s="146"/>
      <c r="O388" s="146"/>
      <c r="P388" s="146"/>
      <c r="Q388" s="146"/>
      <c r="R388" s="146"/>
      <c r="S388" s="146"/>
      <c r="T388" s="146"/>
      <c r="U388" s="146"/>
      <c r="V388" s="146"/>
      <c r="W388" s="146"/>
      <c r="X388" s="146"/>
      <c r="Y388" s="146"/>
      <c r="Z388" s="146"/>
    </row>
    <row r="389" spans="1:26" ht="15.75" customHeight="1">
      <c r="A389" s="146"/>
      <c r="B389" s="146"/>
      <c r="C389" s="146"/>
      <c r="D389" s="146"/>
      <c r="E389" s="146"/>
      <c r="F389" s="146"/>
      <c r="G389" s="146"/>
      <c r="H389" s="146"/>
      <c r="I389" s="146"/>
      <c r="J389" s="146"/>
      <c r="K389" s="146"/>
      <c r="L389" s="146"/>
      <c r="M389" s="146"/>
      <c r="N389" s="146"/>
      <c r="O389" s="146"/>
      <c r="P389" s="146"/>
      <c r="Q389" s="146"/>
      <c r="R389" s="146"/>
      <c r="S389" s="146"/>
      <c r="T389" s="146"/>
      <c r="U389" s="146"/>
      <c r="V389" s="146"/>
      <c r="W389" s="146"/>
      <c r="X389" s="146"/>
      <c r="Y389" s="146"/>
      <c r="Z389" s="146"/>
    </row>
    <row r="390" spans="1:26" ht="15.75" customHeight="1">
      <c r="A390" s="146"/>
      <c r="B390" s="146"/>
      <c r="C390" s="146"/>
      <c r="D390" s="146"/>
      <c r="E390" s="146"/>
      <c r="F390" s="146"/>
      <c r="G390" s="146"/>
      <c r="H390" s="146"/>
      <c r="I390" s="146"/>
      <c r="J390" s="146"/>
      <c r="K390" s="146"/>
      <c r="L390" s="146"/>
      <c r="M390" s="146"/>
      <c r="N390" s="146"/>
      <c r="O390" s="146"/>
      <c r="P390" s="146"/>
      <c r="Q390" s="146"/>
      <c r="R390" s="146"/>
      <c r="S390" s="146"/>
      <c r="T390" s="146"/>
      <c r="U390" s="146"/>
      <c r="V390" s="146"/>
      <c r="W390" s="146"/>
      <c r="X390" s="146"/>
      <c r="Y390" s="146"/>
      <c r="Z390" s="146"/>
    </row>
    <row r="391" spans="1:26" ht="15.75" customHeight="1">
      <c r="A391" s="146"/>
      <c r="B391" s="146"/>
      <c r="C391" s="146"/>
      <c r="D391" s="146"/>
      <c r="E391" s="146"/>
      <c r="F391" s="146"/>
      <c r="G391" s="146"/>
      <c r="H391" s="146"/>
      <c r="I391" s="146"/>
      <c r="J391" s="146"/>
      <c r="K391" s="146"/>
      <c r="L391" s="146"/>
      <c r="M391" s="146"/>
      <c r="N391" s="146"/>
      <c r="O391" s="146"/>
      <c r="P391" s="146"/>
      <c r="Q391" s="146"/>
      <c r="R391" s="146"/>
      <c r="S391" s="146"/>
      <c r="T391" s="146"/>
      <c r="U391" s="146"/>
      <c r="V391" s="146"/>
      <c r="W391" s="146"/>
      <c r="X391" s="146"/>
      <c r="Y391" s="146"/>
      <c r="Z391" s="146"/>
    </row>
    <row r="392" spans="1:26" ht="15.75" customHeight="1">
      <c r="A392" s="146"/>
      <c r="B392" s="146"/>
      <c r="C392" s="146"/>
      <c r="D392" s="146"/>
      <c r="E392" s="146"/>
      <c r="F392" s="146"/>
      <c r="G392" s="146"/>
      <c r="H392" s="146"/>
      <c r="I392" s="146"/>
      <c r="J392" s="146"/>
      <c r="K392" s="146"/>
      <c r="L392" s="146"/>
      <c r="M392" s="146"/>
      <c r="N392" s="146"/>
      <c r="O392" s="146"/>
      <c r="P392" s="146"/>
      <c r="Q392" s="146"/>
      <c r="R392" s="146"/>
      <c r="S392" s="146"/>
      <c r="T392" s="146"/>
      <c r="U392" s="146"/>
      <c r="V392" s="146"/>
      <c r="W392" s="146"/>
      <c r="X392" s="146"/>
      <c r="Y392" s="146"/>
      <c r="Z392" s="146"/>
    </row>
    <row r="393" spans="1:26" ht="15.75" customHeight="1">
      <c r="A393" s="146"/>
      <c r="B393" s="146"/>
      <c r="C393" s="146"/>
      <c r="D393" s="146"/>
      <c r="E393" s="146"/>
      <c r="F393" s="146"/>
      <c r="G393" s="146"/>
      <c r="H393" s="146"/>
      <c r="I393" s="146"/>
      <c r="J393" s="146"/>
      <c r="K393" s="146"/>
      <c r="L393" s="146"/>
      <c r="M393" s="146"/>
      <c r="N393" s="146"/>
      <c r="O393" s="146"/>
      <c r="P393" s="146"/>
      <c r="Q393" s="146"/>
      <c r="R393" s="146"/>
      <c r="S393" s="146"/>
      <c r="T393" s="146"/>
      <c r="U393" s="146"/>
      <c r="V393" s="146"/>
      <c r="W393" s="146"/>
      <c r="X393" s="146"/>
      <c r="Y393" s="146"/>
      <c r="Z393" s="146"/>
    </row>
    <row r="394" spans="1:26" ht="15.75" customHeight="1">
      <c r="A394" s="146"/>
      <c r="B394" s="146"/>
      <c r="C394" s="146"/>
      <c r="D394" s="146"/>
      <c r="E394" s="146"/>
      <c r="F394" s="146"/>
      <c r="G394" s="146"/>
      <c r="H394" s="146"/>
      <c r="I394" s="146"/>
      <c r="J394" s="146"/>
      <c r="K394" s="146"/>
      <c r="L394" s="146"/>
      <c r="M394" s="146"/>
      <c r="N394" s="146"/>
      <c r="O394" s="146"/>
      <c r="P394" s="146"/>
      <c r="Q394" s="146"/>
      <c r="R394" s="146"/>
      <c r="S394" s="146"/>
      <c r="T394" s="146"/>
      <c r="U394" s="146"/>
      <c r="V394" s="146"/>
      <c r="W394" s="146"/>
      <c r="X394" s="146"/>
      <c r="Y394" s="146"/>
      <c r="Z394" s="146"/>
    </row>
    <row r="395" spans="1:26" ht="15.75" customHeight="1">
      <c r="A395" s="146"/>
      <c r="B395" s="146"/>
      <c r="C395" s="146"/>
      <c r="D395" s="146"/>
      <c r="E395" s="146"/>
      <c r="F395" s="146"/>
      <c r="G395" s="146"/>
      <c r="H395" s="146"/>
      <c r="I395" s="146"/>
      <c r="J395" s="146"/>
      <c r="K395" s="146"/>
      <c r="L395" s="146"/>
      <c r="M395" s="146"/>
      <c r="N395" s="146"/>
      <c r="O395" s="146"/>
      <c r="P395" s="146"/>
      <c r="Q395" s="146"/>
      <c r="R395" s="146"/>
      <c r="S395" s="146"/>
      <c r="T395" s="146"/>
      <c r="U395" s="146"/>
      <c r="V395" s="146"/>
      <c r="W395" s="146"/>
      <c r="X395" s="146"/>
      <c r="Y395" s="146"/>
      <c r="Z395" s="146"/>
    </row>
    <row r="396" spans="1:26" ht="15.75" customHeight="1">
      <c r="A396" s="146"/>
      <c r="B396" s="146"/>
      <c r="C396" s="146"/>
      <c r="D396" s="146"/>
      <c r="E396" s="146"/>
      <c r="F396" s="146"/>
      <c r="G396" s="146"/>
      <c r="H396" s="146"/>
      <c r="I396" s="146"/>
      <c r="J396" s="146"/>
      <c r="K396" s="146"/>
      <c r="L396" s="146"/>
      <c r="M396" s="146"/>
      <c r="N396" s="146"/>
      <c r="O396" s="146"/>
      <c r="P396" s="146"/>
      <c r="Q396" s="146"/>
      <c r="R396" s="146"/>
      <c r="S396" s="146"/>
      <c r="T396" s="146"/>
      <c r="U396" s="146"/>
      <c r="V396" s="146"/>
      <c r="W396" s="146"/>
      <c r="X396" s="146"/>
      <c r="Y396" s="146"/>
      <c r="Z396" s="146"/>
    </row>
    <row r="397" spans="1:26" ht="15.75" customHeight="1">
      <c r="A397" s="146"/>
      <c r="B397" s="146"/>
      <c r="C397" s="146"/>
      <c r="D397" s="146"/>
      <c r="E397" s="146"/>
      <c r="F397" s="146"/>
      <c r="G397" s="146"/>
      <c r="H397" s="146"/>
      <c r="I397" s="146"/>
      <c r="J397" s="146"/>
      <c r="K397" s="146"/>
      <c r="L397" s="146"/>
      <c r="M397" s="146"/>
      <c r="N397" s="146"/>
      <c r="O397" s="146"/>
      <c r="P397" s="146"/>
      <c r="Q397" s="146"/>
      <c r="R397" s="146"/>
      <c r="S397" s="146"/>
      <c r="T397" s="146"/>
      <c r="U397" s="146"/>
      <c r="V397" s="146"/>
      <c r="W397" s="146"/>
      <c r="X397" s="146"/>
      <c r="Y397" s="146"/>
      <c r="Z397" s="146"/>
    </row>
    <row r="398" spans="1:26" ht="15.75" customHeight="1">
      <c r="A398" s="146"/>
      <c r="B398" s="146"/>
      <c r="C398" s="146"/>
      <c r="D398" s="146"/>
      <c r="E398" s="146"/>
      <c r="F398" s="146"/>
      <c r="G398" s="146"/>
      <c r="H398" s="146"/>
      <c r="I398" s="146"/>
      <c r="J398" s="146"/>
      <c r="K398" s="146"/>
      <c r="L398" s="146"/>
      <c r="M398" s="146"/>
      <c r="N398" s="146"/>
      <c r="O398" s="146"/>
      <c r="P398" s="146"/>
      <c r="Q398" s="146"/>
      <c r="R398" s="146"/>
      <c r="S398" s="146"/>
      <c r="T398" s="146"/>
      <c r="U398" s="146"/>
      <c r="V398" s="146"/>
      <c r="W398" s="146"/>
      <c r="X398" s="146"/>
      <c r="Y398" s="146"/>
      <c r="Z398" s="146"/>
    </row>
    <row r="399" spans="1:26" ht="15.75" customHeight="1">
      <c r="A399" s="146"/>
      <c r="B399" s="146"/>
      <c r="C399" s="146"/>
      <c r="D399" s="146"/>
      <c r="E399" s="146"/>
      <c r="F399" s="146"/>
      <c r="G399" s="146"/>
      <c r="H399" s="146"/>
      <c r="I399" s="146"/>
      <c r="J399" s="146"/>
      <c r="K399" s="146"/>
      <c r="L399" s="146"/>
      <c r="M399" s="146"/>
      <c r="N399" s="146"/>
      <c r="O399" s="146"/>
      <c r="P399" s="146"/>
      <c r="Q399" s="146"/>
      <c r="R399" s="146"/>
      <c r="S399" s="146"/>
      <c r="T399" s="146"/>
      <c r="U399" s="146"/>
      <c r="V399" s="146"/>
      <c r="W399" s="146"/>
      <c r="X399" s="146"/>
      <c r="Y399" s="146"/>
      <c r="Z399" s="146"/>
    </row>
    <row r="400" spans="1:26" ht="15.75" customHeight="1">
      <c r="A400" s="146"/>
      <c r="B400" s="146"/>
      <c r="C400" s="146"/>
      <c r="D400" s="146"/>
      <c r="E400" s="146"/>
      <c r="F400" s="146"/>
      <c r="G400" s="146"/>
      <c r="H400" s="146"/>
      <c r="I400" s="146"/>
      <c r="J400" s="146"/>
      <c r="K400" s="146"/>
      <c r="L400" s="146"/>
      <c r="M400" s="146"/>
      <c r="N400" s="146"/>
      <c r="O400" s="146"/>
      <c r="P400" s="146"/>
      <c r="Q400" s="146"/>
      <c r="R400" s="146"/>
      <c r="S400" s="146"/>
      <c r="T400" s="146"/>
      <c r="U400" s="146"/>
      <c r="V400" s="146"/>
      <c r="W400" s="146"/>
      <c r="X400" s="146"/>
      <c r="Y400" s="146"/>
      <c r="Z400" s="146"/>
    </row>
    <row r="401" spans="1:26" ht="15.75" customHeight="1">
      <c r="A401" s="146"/>
      <c r="B401" s="146"/>
      <c r="C401" s="146"/>
      <c r="D401" s="146"/>
      <c r="E401" s="146"/>
      <c r="F401" s="146"/>
      <c r="G401" s="146"/>
      <c r="H401" s="146"/>
      <c r="I401" s="146"/>
      <c r="J401" s="146"/>
      <c r="K401" s="146"/>
      <c r="L401" s="146"/>
      <c r="M401" s="146"/>
      <c r="N401" s="146"/>
      <c r="O401" s="146"/>
      <c r="P401" s="146"/>
      <c r="Q401" s="146"/>
      <c r="R401" s="146"/>
      <c r="S401" s="146"/>
      <c r="T401" s="146"/>
      <c r="U401" s="146"/>
      <c r="V401" s="146"/>
      <c r="W401" s="146"/>
      <c r="X401" s="146"/>
      <c r="Y401" s="146"/>
      <c r="Z401" s="146"/>
    </row>
    <row r="402" spans="1:26" ht="15.75" customHeight="1">
      <c r="A402" s="146"/>
      <c r="B402" s="146"/>
      <c r="C402" s="146"/>
      <c r="D402" s="146"/>
      <c r="E402" s="146"/>
      <c r="F402" s="146"/>
      <c r="G402" s="146"/>
      <c r="H402" s="146"/>
      <c r="I402" s="146"/>
      <c r="J402" s="146"/>
      <c r="K402" s="146"/>
      <c r="L402" s="146"/>
      <c r="M402" s="146"/>
      <c r="N402" s="146"/>
      <c r="O402" s="146"/>
      <c r="P402" s="146"/>
      <c r="Q402" s="146"/>
      <c r="R402" s="146"/>
      <c r="S402" s="146"/>
      <c r="T402" s="146"/>
      <c r="U402" s="146"/>
      <c r="V402" s="146"/>
      <c r="W402" s="146"/>
      <c r="X402" s="146"/>
      <c r="Y402" s="146"/>
      <c r="Z402" s="146"/>
    </row>
    <row r="403" spans="1:26" ht="15.75" customHeight="1">
      <c r="A403" s="146"/>
      <c r="B403" s="146"/>
      <c r="C403" s="146"/>
      <c r="D403" s="146"/>
      <c r="E403" s="146"/>
      <c r="F403" s="146"/>
      <c r="G403" s="146"/>
      <c r="H403" s="146"/>
      <c r="I403" s="146"/>
      <c r="J403" s="146"/>
      <c r="K403" s="146"/>
      <c r="L403" s="146"/>
      <c r="M403" s="146"/>
      <c r="N403" s="146"/>
      <c r="O403" s="146"/>
      <c r="P403" s="146"/>
      <c r="Q403" s="146"/>
      <c r="R403" s="146"/>
      <c r="S403" s="146"/>
      <c r="T403" s="146"/>
      <c r="U403" s="146"/>
      <c r="V403" s="146"/>
      <c r="W403" s="146"/>
      <c r="X403" s="146"/>
      <c r="Y403" s="146"/>
      <c r="Z403" s="146"/>
    </row>
    <row r="404" spans="1:26" ht="15.75" customHeight="1">
      <c r="A404" s="146"/>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row>
    <row r="405" spans="1:26" ht="15.75" customHeight="1">
      <c r="A405" s="146"/>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row>
    <row r="406" spans="1:26" ht="15.75" customHeight="1">
      <c r="A406" s="146"/>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row>
    <row r="407" spans="1:26" ht="15.75" customHeight="1">
      <c r="A407" s="146"/>
      <c r="B407" s="146"/>
      <c r="C407" s="146"/>
      <c r="D407" s="146"/>
      <c r="E407" s="146"/>
      <c r="F407" s="146"/>
      <c r="G407" s="146"/>
      <c r="H407" s="146"/>
      <c r="I407" s="146"/>
      <c r="J407" s="146"/>
      <c r="K407" s="146"/>
      <c r="L407" s="146"/>
      <c r="M407" s="146"/>
      <c r="N407" s="146"/>
      <c r="O407" s="146"/>
      <c r="P407" s="146"/>
      <c r="Q407" s="146"/>
      <c r="R407" s="146"/>
      <c r="S407" s="146"/>
      <c r="T407" s="146"/>
      <c r="U407" s="146"/>
      <c r="V407" s="146"/>
      <c r="W407" s="146"/>
      <c r="X407" s="146"/>
      <c r="Y407" s="146"/>
      <c r="Z407" s="146"/>
    </row>
    <row r="408" spans="1:26" ht="15.75" customHeight="1">
      <c r="A408" s="146"/>
      <c r="B408" s="146"/>
      <c r="C408" s="146"/>
      <c r="D408" s="146"/>
      <c r="E408" s="146"/>
      <c r="F408" s="146"/>
      <c r="G408" s="146"/>
      <c r="H408" s="146"/>
      <c r="I408" s="146"/>
      <c r="J408" s="146"/>
      <c r="K408" s="146"/>
      <c r="L408" s="146"/>
      <c r="M408" s="146"/>
      <c r="N408" s="146"/>
      <c r="O408" s="146"/>
      <c r="P408" s="146"/>
      <c r="Q408" s="146"/>
      <c r="R408" s="146"/>
      <c r="S408" s="146"/>
      <c r="T408" s="146"/>
      <c r="U408" s="146"/>
      <c r="V408" s="146"/>
      <c r="W408" s="146"/>
      <c r="X408" s="146"/>
      <c r="Y408" s="146"/>
      <c r="Z408" s="146"/>
    </row>
    <row r="409" spans="1:26" ht="15.75" customHeight="1">
      <c r="A409" s="146"/>
      <c r="B409" s="146"/>
      <c r="C409" s="146"/>
      <c r="D409" s="146"/>
      <c r="E409" s="146"/>
      <c r="F409" s="146"/>
      <c r="G409" s="146"/>
      <c r="H409" s="146"/>
      <c r="I409" s="146"/>
      <c r="J409" s="146"/>
      <c r="K409" s="146"/>
      <c r="L409" s="146"/>
      <c r="M409" s="146"/>
      <c r="N409" s="146"/>
      <c r="O409" s="146"/>
      <c r="P409" s="146"/>
      <c r="Q409" s="146"/>
      <c r="R409" s="146"/>
      <c r="S409" s="146"/>
      <c r="T409" s="146"/>
      <c r="U409" s="146"/>
      <c r="V409" s="146"/>
      <c r="W409" s="146"/>
      <c r="X409" s="146"/>
      <c r="Y409" s="146"/>
      <c r="Z409" s="146"/>
    </row>
    <row r="410" spans="1:26" ht="15.75" customHeight="1">
      <c r="A410" s="146"/>
      <c r="B410" s="146"/>
      <c r="C410" s="146"/>
      <c r="D410" s="146"/>
      <c r="E410" s="146"/>
      <c r="F410" s="146"/>
      <c r="G410" s="146"/>
      <c r="H410" s="146"/>
      <c r="I410" s="146"/>
      <c r="J410" s="146"/>
      <c r="K410" s="146"/>
      <c r="L410" s="146"/>
      <c r="M410" s="146"/>
      <c r="N410" s="146"/>
      <c r="O410" s="146"/>
      <c r="P410" s="146"/>
      <c r="Q410" s="146"/>
      <c r="R410" s="146"/>
      <c r="S410" s="146"/>
      <c r="T410" s="146"/>
      <c r="U410" s="146"/>
      <c r="V410" s="146"/>
      <c r="W410" s="146"/>
      <c r="X410" s="146"/>
      <c r="Y410" s="146"/>
      <c r="Z410" s="146"/>
    </row>
    <row r="411" spans="1:26" ht="15.75" customHeight="1">
      <c r="A411" s="146"/>
      <c r="B411" s="146"/>
      <c r="C411" s="146"/>
      <c r="D411" s="146"/>
      <c r="E411" s="146"/>
      <c r="F411" s="146"/>
      <c r="G411" s="146"/>
      <c r="H411" s="146"/>
      <c r="I411" s="146"/>
      <c r="J411" s="146"/>
      <c r="K411" s="146"/>
      <c r="L411" s="146"/>
      <c r="M411" s="146"/>
      <c r="N411" s="146"/>
      <c r="O411" s="146"/>
      <c r="P411" s="146"/>
      <c r="Q411" s="146"/>
      <c r="R411" s="146"/>
      <c r="S411" s="146"/>
      <c r="T411" s="146"/>
      <c r="U411" s="146"/>
      <c r="V411" s="146"/>
      <c r="W411" s="146"/>
      <c r="X411" s="146"/>
      <c r="Y411" s="146"/>
      <c r="Z411" s="146"/>
    </row>
    <row r="412" spans="1:26" ht="15.75" customHeight="1">
      <c r="A412" s="146"/>
      <c r="B412" s="146"/>
      <c r="C412" s="146"/>
      <c r="D412" s="146"/>
      <c r="E412" s="146"/>
      <c r="F412" s="146"/>
      <c r="G412" s="146"/>
      <c r="H412" s="146"/>
      <c r="I412" s="146"/>
      <c r="J412" s="146"/>
      <c r="K412" s="146"/>
      <c r="L412" s="146"/>
      <c r="M412" s="146"/>
      <c r="N412" s="146"/>
      <c r="O412" s="146"/>
      <c r="P412" s="146"/>
      <c r="Q412" s="146"/>
      <c r="R412" s="146"/>
      <c r="S412" s="146"/>
      <c r="T412" s="146"/>
      <c r="U412" s="146"/>
      <c r="V412" s="146"/>
      <c r="W412" s="146"/>
      <c r="X412" s="146"/>
      <c r="Y412" s="146"/>
      <c r="Z412" s="146"/>
    </row>
    <row r="413" spans="1:26" ht="15.75" customHeight="1">
      <c r="A413" s="146"/>
      <c r="B413" s="146"/>
      <c r="C413" s="146"/>
      <c r="D413" s="146"/>
      <c r="E413" s="146"/>
      <c r="F413" s="146"/>
      <c r="G413" s="146"/>
      <c r="H413" s="146"/>
      <c r="I413" s="146"/>
      <c r="J413" s="146"/>
      <c r="K413" s="146"/>
      <c r="L413" s="146"/>
      <c r="M413" s="146"/>
      <c r="N413" s="146"/>
      <c r="O413" s="146"/>
      <c r="P413" s="146"/>
      <c r="Q413" s="146"/>
      <c r="R413" s="146"/>
      <c r="S413" s="146"/>
      <c r="T413" s="146"/>
      <c r="U413" s="146"/>
      <c r="V413" s="146"/>
      <c r="W413" s="146"/>
      <c r="X413" s="146"/>
      <c r="Y413" s="146"/>
      <c r="Z413" s="146"/>
    </row>
    <row r="414" spans="1:26" ht="15.75" customHeight="1">
      <c r="A414" s="146"/>
      <c r="B414" s="146"/>
      <c r="C414" s="146"/>
      <c r="D414" s="146"/>
      <c r="E414" s="146"/>
      <c r="F414" s="146"/>
      <c r="G414" s="146"/>
      <c r="H414" s="146"/>
      <c r="I414" s="146"/>
      <c r="J414" s="146"/>
      <c r="K414" s="146"/>
      <c r="L414" s="146"/>
      <c r="M414" s="146"/>
      <c r="N414" s="146"/>
      <c r="O414" s="146"/>
      <c r="P414" s="146"/>
      <c r="Q414" s="146"/>
      <c r="R414" s="146"/>
      <c r="S414" s="146"/>
      <c r="T414" s="146"/>
      <c r="U414" s="146"/>
      <c r="V414" s="146"/>
      <c r="W414" s="146"/>
      <c r="X414" s="146"/>
      <c r="Y414" s="146"/>
      <c r="Z414" s="146"/>
    </row>
    <row r="415" spans="1:26" ht="15.75" customHeight="1">
      <c r="A415" s="146"/>
      <c r="B415" s="146"/>
      <c r="C415" s="146"/>
      <c r="D415" s="146"/>
      <c r="E415" s="146"/>
      <c r="F415" s="146"/>
      <c r="G415" s="146"/>
      <c r="H415" s="146"/>
      <c r="I415" s="146"/>
      <c r="J415" s="146"/>
      <c r="K415" s="146"/>
      <c r="L415" s="146"/>
      <c r="M415" s="146"/>
      <c r="N415" s="146"/>
      <c r="O415" s="146"/>
      <c r="P415" s="146"/>
      <c r="Q415" s="146"/>
      <c r="R415" s="146"/>
      <c r="S415" s="146"/>
      <c r="T415" s="146"/>
      <c r="U415" s="146"/>
      <c r="V415" s="146"/>
      <c r="W415" s="146"/>
      <c r="X415" s="146"/>
      <c r="Y415" s="146"/>
      <c r="Z415" s="146"/>
    </row>
    <row r="416" spans="1:26" ht="15.75" customHeight="1">
      <c r="A416" s="146"/>
      <c r="B416" s="146"/>
      <c r="C416" s="146"/>
      <c r="D416" s="146"/>
      <c r="E416" s="146"/>
      <c r="F416" s="146"/>
      <c r="G416" s="146"/>
      <c r="H416" s="146"/>
      <c r="I416" s="146"/>
      <c r="J416" s="146"/>
      <c r="K416" s="146"/>
      <c r="L416" s="146"/>
      <c r="M416" s="146"/>
      <c r="N416" s="146"/>
      <c r="O416" s="146"/>
      <c r="P416" s="146"/>
      <c r="Q416" s="146"/>
      <c r="R416" s="146"/>
      <c r="S416" s="146"/>
      <c r="T416" s="146"/>
      <c r="U416" s="146"/>
      <c r="V416" s="146"/>
      <c r="W416" s="146"/>
      <c r="X416" s="146"/>
      <c r="Y416" s="146"/>
      <c r="Z416" s="146"/>
    </row>
    <row r="417" spans="1:26" ht="15.75" customHeight="1">
      <c r="A417" s="146"/>
      <c r="B417" s="146"/>
      <c r="C417" s="146"/>
      <c r="D417" s="146"/>
      <c r="E417" s="146"/>
      <c r="F417" s="146"/>
      <c r="G417" s="146"/>
      <c r="H417" s="146"/>
      <c r="I417" s="146"/>
      <c r="J417" s="146"/>
      <c r="K417" s="146"/>
      <c r="L417" s="146"/>
      <c r="M417" s="146"/>
      <c r="N417" s="146"/>
      <c r="O417" s="146"/>
      <c r="P417" s="146"/>
      <c r="Q417" s="146"/>
      <c r="R417" s="146"/>
      <c r="S417" s="146"/>
      <c r="T417" s="146"/>
      <c r="U417" s="146"/>
      <c r="V417" s="146"/>
      <c r="W417" s="146"/>
      <c r="X417" s="146"/>
      <c r="Y417" s="146"/>
      <c r="Z417" s="146"/>
    </row>
    <row r="418" spans="1:26" ht="15.75" customHeight="1">
      <c r="A418" s="146"/>
      <c r="B418" s="146"/>
      <c r="C418" s="146"/>
      <c r="D418" s="146"/>
      <c r="E418" s="146"/>
      <c r="F418" s="146"/>
      <c r="G418" s="146"/>
      <c r="H418" s="146"/>
      <c r="I418" s="146"/>
      <c r="J418" s="146"/>
      <c r="K418" s="146"/>
      <c r="L418" s="146"/>
      <c r="M418" s="146"/>
      <c r="N418" s="146"/>
      <c r="O418" s="146"/>
      <c r="P418" s="146"/>
      <c r="Q418" s="146"/>
      <c r="R418" s="146"/>
      <c r="S418" s="146"/>
      <c r="T418" s="146"/>
      <c r="U418" s="146"/>
      <c r="V418" s="146"/>
      <c r="W418" s="146"/>
      <c r="X418" s="146"/>
      <c r="Y418" s="146"/>
      <c r="Z418" s="146"/>
    </row>
    <row r="419" spans="1:26" ht="15.75" customHeight="1">
      <c r="A419" s="146"/>
      <c r="B419" s="146"/>
      <c r="C419" s="146"/>
      <c r="D419" s="146"/>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row>
    <row r="420" spans="1:26" ht="15.75" customHeight="1">
      <c r="A420" s="146"/>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row>
    <row r="421" spans="1:26" ht="15.75" customHeight="1">
      <c r="A421" s="146"/>
      <c r="B421" s="146"/>
      <c r="C421" s="146"/>
      <c r="D421" s="146"/>
      <c r="E421" s="146"/>
      <c r="F421" s="146"/>
      <c r="G421" s="146"/>
      <c r="H421" s="146"/>
      <c r="I421" s="146"/>
      <c r="J421" s="146"/>
      <c r="K421" s="146"/>
      <c r="L421" s="146"/>
      <c r="M421" s="146"/>
      <c r="N421" s="146"/>
      <c r="O421" s="146"/>
      <c r="P421" s="146"/>
      <c r="Q421" s="146"/>
      <c r="R421" s="146"/>
      <c r="S421" s="146"/>
      <c r="T421" s="146"/>
      <c r="U421" s="146"/>
      <c r="V421" s="146"/>
      <c r="W421" s="146"/>
      <c r="X421" s="146"/>
      <c r="Y421" s="146"/>
      <c r="Z421" s="146"/>
    </row>
    <row r="422" spans="1:26" ht="15.75" customHeight="1">
      <c r="A422" s="146"/>
      <c r="B422" s="146"/>
      <c r="C422" s="146"/>
      <c r="D422" s="146"/>
      <c r="E422" s="146"/>
      <c r="F422" s="146"/>
      <c r="G422" s="146"/>
      <c r="H422" s="146"/>
      <c r="I422" s="146"/>
      <c r="J422" s="146"/>
      <c r="K422" s="146"/>
      <c r="L422" s="146"/>
      <c r="M422" s="146"/>
      <c r="N422" s="146"/>
      <c r="O422" s="146"/>
      <c r="P422" s="146"/>
      <c r="Q422" s="146"/>
      <c r="R422" s="146"/>
      <c r="S422" s="146"/>
      <c r="T422" s="146"/>
      <c r="U422" s="146"/>
      <c r="V422" s="146"/>
      <c r="W422" s="146"/>
      <c r="X422" s="146"/>
      <c r="Y422" s="146"/>
      <c r="Z422" s="146"/>
    </row>
    <row r="423" spans="1:26" ht="15.75" customHeight="1">
      <c r="A423" s="146"/>
      <c r="B423" s="146"/>
      <c r="C423" s="146"/>
      <c r="D423" s="146"/>
      <c r="E423" s="146"/>
      <c r="F423" s="146"/>
      <c r="G423" s="146"/>
      <c r="H423" s="146"/>
      <c r="I423" s="146"/>
      <c r="J423" s="146"/>
      <c r="K423" s="146"/>
      <c r="L423" s="146"/>
      <c r="M423" s="146"/>
      <c r="N423" s="146"/>
      <c r="O423" s="146"/>
      <c r="P423" s="146"/>
      <c r="Q423" s="146"/>
      <c r="R423" s="146"/>
      <c r="S423" s="146"/>
      <c r="T423" s="146"/>
      <c r="U423" s="146"/>
      <c r="V423" s="146"/>
      <c r="W423" s="146"/>
      <c r="X423" s="146"/>
      <c r="Y423" s="146"/>
      <c r="Z423" s="146"/>
    </row>
    <row r="424" spans="1:26" ht="15.75" customHeight="1">
      <c r="A424" s="146"/>
      <c r="B424" s="146"/>
      <c r="C424" s="146"/>
      <c r="D424" s="146"/>
      <c r="E424" s="146"/>
      <c r="F424" s="146"/>
      <c r="G424" s="146"/>
      <c r="H424" s="146"/>
      <c r="I424" s="146"/>
      <c r="J424" s="146"/>
      <c r="K424" s="146"/>
      <c r="L424" s="146"/>
      <c r="M424" s="146"/>
      <c r="N424" s="146"/>
      <c r="O424" s="146"/>
      <c r="P424" s="146"/>
      <c r="Q424" s="146"/>
      <c r="R424" s="146"/>
      <c r="S424" s="146"/>
      <c r="T424" s="146"/>
      <c r="U424" s="146"/>
      <c r="V424" s="146"/>
      <c r="W424" s="146"/>
      <c r="X424" s="146"/>
      <c r="Y424" s="146"/>
      <c r="Z424" s="146"/>
    </row>
    <row r="425" spans="1:26" ht="15.75" customHeight="1">
      <c r="A425" s="146"/>
      <c r="B425" s="146"/>
      <c r="C425" s="146"/>
      <c r="D425" s="146"/>
      <c r="E425" s="146"/>
      <c r="F425" s="146"/>
      <c r="G425" s="146"/>
      <c r="H425" s="146"/>
      <c r="I425" s="146"/>
      <c r="J425" s="146"/>
      <c r="K425" s="146"/>
      <c r="L425" s="146"/>
      <c r="M425" s="146"/>
      <c r="N425" s="146"/>
      <c r="O425" s="146"/>
      <c r="P425" s="146"/>
      <c r="Q425" s="146"/>
      <c r="R425" s="146"/>
      <c r="S425" s="146"/>
      <c r="T425" s="146"/>
      <c r="U425" s="146"/>
      <c r="V425" s="146"/>
      <c r="W425" s="146"/>
      <c r="X425" s="146"/>
      <c r="Y425" s="146"/>
      <c r="Z425" s="146"/>
    </row>
    <row r="426" spans="1:26" ht="15.75" customHeight="1">
      <c r="A426" s="146"/>
      <c r="B426" s="146"/>
      <c r="C426" s="146"/>
      <c r="D426" s="146"/>
      <c r="E426" s="146"/>
      <c r="F426" s="146"/>
      <c r="G426" s="146"/>
      <c r="H426" s="146"/>
      <c r="I426" s="146"/>
      <c r="J426" s="146"/>
      <c r="K426" s="146"/>
      <c r="L426" s="146"/>
      <c r="M426" s="146"/>
      <c r="N426" s="146"/>
      <c r="O426" s="146"/>
      <c r="P426" s="146"/>
      <c r="Q426" s="146"/>
      <c r="R426" s="146"/>
      <c r="S426" s="146"/>
      <c r="T426" s="146"/>
      <c r="U426" s="146"/>
      <c r="V426" s="146"/>
      <c r="W426" s="146"/>
      <c r="X426" s="146"/>
      <c r="Y426" s="146"/>
      <c r="Z426" s="146"/>
    </row>
    <row r="427" spans="1:26" ht="15.75" customHeight="1">
      <c r="A427" s="146"/>
      <c r="B427" s="146"/>
      <c r="C427" s="146"/>
      <c r="D427" s="146"/>
      <c r="E427" s="146"/>
      <c r="F427" s="146"/>
      <c r="G427" s="146"/>
      <c r="H427" s="146"/>
      <c r="I427" s="146"/>
      <c r="J427" s="146"/>
      <c r="K427" s="146"/>
      <c r="L427" s="146"/>
      <c r="M427" s="146"/>
      <c r="N427" s="146"/>
      <c r="O427" s="146"/>
      <c r="P427" s="146"/>
      <c r="Q427" s="146"/>
      <c r="R427" s="146"/>
      <c r="S427" s="146"/>
      <c r="T427" s="146"/>
      <c r="U427" s="146"/>
      <c r="V427" s="146"/>
      <c r="W427" s="146"/>
      <c r="X427" s="146"/>
      <c r="Y427" s="146"/>
      <c r="Z427" s="146"/>
    </row>
    <row r="428" spans="1:26" ht="15.75" customHeight="1">
      <c r="A428" s="146"/>
      <c r="B428" s="146"/>
      <c r="C428" s="146"/>
      <c r="D428" s="146"/>
      <c r="E428" s="146"/>
      <c r="F428" s="146"/>
      <c r="G428" s="146"/>
      <c r="H428" s="146"/>
      <c r="I428" s="146"/>
      <c r="J428" s="146"/>
      <c r="K428" s="146"/>
      <c r="L428" s="146"/>
      <c r="M428" s="146"/>
      <c r="N428" s="146"/>
      <c r="O428" s="146"/>
      <c r="P428" s="146"/>
      <c r="Q428" s="146"/>
      <c r="R428" s="146"/>
      <c r="S428" s="146"/>
      <c r="T428" s="146"/>
      <c r="U428" s="146"/>
      <c r="V428" s="146"/>
      <c r="W428" s="146"/>
      <c r="X428" s="146"/>
      <c r="Y428" s="146"/>
      <c r="Z428" s="146"/>
    </row>
    <row r="429" spans="1:26" ht="15.75" customHeight="1">
      <c r="A429" s="146"/>
      <c r="B429" s="146"/>
      <c r="C429" s="146"/>
      <c r="D429" s="146"/>
      <c r="E429" s="146"/>
      <c r="F429" s="146"/>
      <c r="G429" s="146"/>
      <c r="H429" s="146"/>
      <c r="I429" s="146"/>
      <c r="J429" s="146"/>
      <c r="K429" s="146"/>
      <c r="L429" s="146"/>
      <c r="M429" s="146"/>
      <c r="N429" s="146"/>
      <c r="O429" s="146"/>
      <c r="P429" s="146"/>
      <c r="Q429" s="146"/>
      <c r="R429" s="146"/>
      <c r="S429" s="146"/>
      <c r="T429" s="146"/>
      <c r="U429" s="146"/>
      <c r="V429" s="146"/>
      <c r="W429" s="146"/>
      <c r="X429" s="146"/>
      <c r="Y429" s="146"/>
      <c r="Z429" s="146"/>
    </row>
    <row r="430" spans="1:26" ht="15.75" customHeight="1">
      <c r="A430" s="146"/>
      <c r="B430" s="146"/>
      <c r="C430" s="146"/>
      <c r="D430" s="146"/>
      <c r="E430" s="146"/>
      <c r="F430" s="146"/>
      <c r="G430" s="146"/>
      <c r="H430" s="146"/>
      <c r="I430" s="146"/>
      <c r="J430" s="146"/>
      <c r="K430" s="146"/>
      <c r="L430" s="146"/>
      <c r="M430" s="146"/>
      <c r="N430" s="146"/>
      <c r="O430" s="146"/>
      <c r="P430" s="146"/>
      <c r="Q430" s="146"/>
      <c r="R430" s="146"/>
      <c r="S430" s="146"/>
      <c r="T430" s="146"/>
      <c r="U430" s="146"/>
      <c r="V430" s="146"/>
      <c r="W430" s="146"/>
      <c r="X430" s="146"/>
      <c r="Y430" s="146"/>
      <c r="Z430" s="146"/>
    </row>
    <row r="431" spans="1:26" ht="15.75" customHeight="1">
      <c r="A431" s="146"/>
      <c r="B431" s="146"/>
      <c r="C431" s="146"/>
      <c r="D431" s="146"/>
      <c r="E431" s="146"/>
      <c r="F431" s="146"/>
      <c r="G431" s="146"/>
      <c r="H431" s="146"/>
      <c r="I431" s="146"/>
      <c r="J431" s="146"/>
      <c r="K431" s="146"/>
      <c r="L431" s="146"/>
      <c r="M431" s="146"/>
      <c r="N431" s="146"/>
      <c r="O431" s="146"/>
      <c r="P431" s="146"/>
      <c r="Q431" s="146"/>
      <c r="R431" s="146"/>
      <c r="S431" s="146"/>
      <c r="T431" s="146"/>
      <c r="U431" s="146"/>
      <c r="V431" s="146"/>
      <c r="W431" s="146"/>
      <c r="X431" s="146"/>
      <c r="Y431" s="146"/>
      <c r="Z431" s="146"/>
    </row>
    <row r="432" spans="1:26" ht="15.75" customHeight="1">
      <c r="A432" s="146"/>
      <c r="B432" s="146"/>
      <c r="C432" s="146"/>
      <c r="D432" s="146"/>
      <c r="E432" s="146"/>
      <c r="F432" s="146"/>
      <c r="G432" s="146"/>
      <c r="H432" s="146"/>
      <c r="I432" s="146"/>
      <c r="J432" s="146"/>
      <c r="K432" s="146"/>
      <c r="L432" s="146"/>
      <c r="M432" s="146"/>
      <c r="N432" s="146"/>
      <c r="O432" s="146"/>
      <c r="P432" s="146"/>
      <c r="Q432" s="146"/>
      <c r="R432" s="146"/>
      <c r="S432" s="146"/>
      <c r="T432" s="146"/>
      <c r="U432" s="146"/>
      <c r="V432" s="146"/>
      <c r="W432" s="146"/>
      <c r="X432" s="146"/>
      <c r="Y432" s="146"/>
      <c r="Z432" s="146"/>
    </row>
    <row r="433" spans="1:26" ht="15.75" customHeight="1">
      <c r="A433" s="146"/>
      <c r="B433" s="146"/>
      <c r="C433" s="146"/>
      <c r="D433" s="146"/>
      <c r="E433" s="146"/>
      <c r="F433" s="146"/>
      <c r="G433" s="146"/>
      <c r="H433" s="146"/>
      <c r="I433" s="146"/>
      <c r="J433" s="146"/>
      <c r="K433" s="146"/>
      <c r="L433" s="146"/>
      <c r="M433" s="146"/>
      <c r="N433" s="146"/>
      <c r="O433" s="146"/>
      <c r="P433" s="146"/>
      <c r="Q433" s="146"/>
      <c r="R433" s="146"/>
      <c r="S433" s="146"/>
      <c r="T433" s="146"/>
      <c r="U433" s="146"/>
      <c r="V433" s="146"/>
      <c r="W433" s="146"/>
      <c r="X433" s="146"/>
      <c r="Y433" s="146"/>
      <c r="Z433" s="146"/>
    </row>
    <row r="434" spans="1:26" ht="15.75" customHeight="1">
      <c r="A434" s="146"/>
      <c r="B434" s="146"/>
      <c r="C434" s="146"/>
      <c r="D434" s="146"/>
      <c r="E434" s="146"/>
      <c r="F434" s="146"/>
      <c r="G434" s="146"/>
      <c r="H434" s="146"/>
      <c r="I434" s="146"/>
      <c r="J434" s="146"/>
      <c r="K434" s="146"/>
      <c r="L434" s="146"/>
      <c r="M434" s="146"/>
      <c r="N434" s="146"/>
      <c r="O434" s="146"/>
      <c r="P434" s="146"/>
      <c r="Q434" s="146"/>
      <c r="R434" s="146"/>
      <c r="S434" s="146"/>
      <c r="T434" s="146"/>
      <c r="U434" s="146"/>
      <c r="V434" s="146"/>
      <c r="W434" s="146"/>
      <c r="X434" s="146"/>
      <c r="Y434" s="146"/>
      <c r="Z434" s="146"/>
    </row>
    <row r="435" spans="1:26" ht="15.75" customHeight="1">
      <c r="A435" s="146"/>
      <c r="B435" s="146"/>
      <c r="C435" s="146"/>
      <c r="D435" s="146"/>
      <c r="E435" s="146"/>
      <c r="F435" s="146"/>
      <c r="G435" s="146"/>
      <c r="H435" s="146"/>
      <c r="I435" s="146"/>
      <c r="J435" s="146"/>
      <c r="K435" s="146"/>
      <c r="L435" s="146"/>
      <c r="M435" s="146"/>
      <c r="N435" s="146"/>
      <c r="O435" s="146"/>
      <c r="P435" s="146"/>
      <c r="Q435" s="146"/>
      <c r="R435" s="146"/>
      <c r="S435" s="146"/>
      <c r="T435" s="146"/>
      <c r="U435" s="146"/>
      <c r="V435" s="146"/>
      <c r="W435" s="146"/>
      <c r="X435" s="146"/>
      <c r="Y435" s="146"/>
      <c r="Z435" s="146"/>
    </row>
    <row r="436" spans="1:26" ht="15.75" customHeight="1">
      <c r="A436" s="146"/>
      <c r="B436" s="146"/>
      <c r="C436" s="146"/>
      <c r="D436" s="146"/>
      <c r="E436" s="146"/>
      <c r="F436" s="146"/>
      <c r="G436" s="146"/>
      <c r="H436" s="146"/>
      <c r="I436" s="146"/>
      <c r="J436" s="146"/>
      <c r="K436" s="146"/>
      <c r="L436" s="146"/>
      <c r="M436" s="146"/>
      <c r="N436" s="146"/>
      <c r="O436" s="146"/>
      <c r="P436" s="146"/>
      <c r="Q436" s="146"/>
      <c r="R436" s="146"/>
      <c r="S436" s="146"/>
      <c r="T436" s="146"/>
      <c r="U436" s="146"/>
      <c r="V436" s="146"/>
      <c r="W436" s="146"/>
      <c r="X436" s="146"/>
      <c r="Y436" s="146"/>
      <c r="Z436" s="146"/>
    </row>
    <row r="437" spans="1:26" ht="15.75" customHeight="1">
      <c r="A437" s="146"/>
      <c r="B437" s="146"/>
      <c r="C437" s="146"/>
      <c r="D437" s="146"/>
      <c r="E437" s="146"/>
      <c r="F437" s="146"/>
      <c r="G437" s="146"/>
      <c r="H437" s="146"/>
      <c r="I437" s="146"/>
      <c r="J437" s="146"/>
      <c r="K437" s="146"/>
      <c r="L437" s="146"/>
      <c r="M437" s="146"/>
      <c r="N437" s="146"/>
      <c r="O437" s="146"/>
      <c r="P437" s="146"/>
      <c r="Q437" s="146"/>
      <c r="R437" s="146"/>
      <c r="S437" s="146"/>
      <c r="T437" s="146"/>
      <c r="U437" s="146"/>
      <c r="V437" s="146"/>
      <c r="W437" s="146"/>
      <c r="X437" s="146"/>
      <c r="Y437" s="146"/>
      <c r="Z437" s="146"/>
    </row>
    <row r="438" spans="1:26" ht="15.75" customHeight="1">
      <c r="A438" s="146"/>
      <c r="B438" s="146"/>
      <c r="C438" s="146"/>
      <c r="D438" s="146"/>
      <c r="E438" s="146"/>
      <c r="F438" s="146"/>
      <c r="G438" s="146"/>
      <c r="H438" s="146"/>
      <c r="I438" s="146"/>
      <c r="J438" s="146"/>
      <c r="K438" s="146"/>
      <c r="L438" s="146"/>
      <c r="M438" s="146"/>
      <c r="N438" s="146"/>
      <c r="O438" s="146"/>
      <c r="P438" s="146"/>
      <c r="Q438" s="146"/>
      <c r="R438" s="146"/>
      <c r="S438" s="146"/>
      <c r="T438" s="146"/>
      <c r="U438" s="146"/>
      <c r="V438" s="146"/>
      <c r="W438" s="146"/>
      <c r="X438" s="146"/>
      <c r="Y438" s="146"/>
      <c r="Z438" s="146"/>
    </row>
    <row r="439" spans="1:26" ht="15.75" customHeight="1">
      <c r="A439" s="146"/>
      <c r="B439" s="146"/>
      <c r="C439" s="146"/>
      <c r="D439" s="146"/>
      <c r="E439" s="146"/>
      <c r="F439" s="146"/>
      <c r="G439" s="146"/>
      <c r="H439" s="146"/>
      <c r="I439" s="146"/>
      <c r="J439" s="146"/>
      <c r="K439" s="146"/>
      <c r="L439" s="146"/>
      <c r="M439" s="146"/>
      <c r="N439" s="146"/>
      <c r="O439" s="146"/>
      <c r="P439" s="146"/>
      <c r="Q439" s="146"/>
      <c r="R439" s="146"/>
      <c r="S439" s="146"/>
      <c r="T439" s="146"/>
      <c r="U439" s="146"/>
      <c r="V439" s="146"/>
      <c r="W439" s="146"/>
      <c r="X439" s="146"/>
      <c r="Y439" s="146"/>
      <c r="Z439" s="146"/>
    </row>
    <row r="440" spans="1:26" ht="15.75" customHeight="1">
      <c r="A440" s="146"/>
      <c r="B440" s="146"/>
      <c r="C440" s="146"/>
      <c r="D440" s="146"/>
      <c r="E440" s="146"/>
      <c r="F440" s="146"/>
      <c r="G440" s="146"/>
      <c r="H440" s="146"/>
      <c r="I440" s="146"/>
      <c r="J440" s="146"/>
      <c r="K440" s="146"/>
      <c r="L440" s="146"/>
      <c r="M440" s="146"/>
      <c r="N440" s="146"/>
      <c r="O440" s="146"/>
      <c r="P440" s="146"/>
      <c r="Q440" s="146"/>
      <c r="R440" s="146"/>
      <c r="S440" s="146"/>
      <c r="T440" s="146"/>
      <c r="U440" s="146"/>
      <c r="V440" s="146"/>
      <c r="W440" s="146"/>
      <c r="X440" s="146"/>
      <c r="Y440" s="146"/>
      <c r="Z440" s="146"/>
    </row>
    <row r="441" spans="1:26" ht="15.75" customHeight="1">
      <c r="A441" s="146"/>
      <c r="B441" s="146"/>
      <c r="C441" s="146"/>
      <c r="D441" s="146"/>
      <c r="E441" s="146"/>
      <c r="F441" s="146"/>
      <c r="G441" s="146"/>
      <c r="H441" s="146"/>
      <c r="I441" s="146"/>
      <c r="J441" s="146"/>
      <c r="K441" s="146"/>
      <c r="L441" s="146"/>
      <c r="M441" s="146"/>
      <c r="N441" s="146"/>
      <c r="O441" s="146"/>
      <c r="P441" s="146"/>
      <c r="Q441" s="146"/>
      <c r="R441" s="146"/>
      <c r="S441" s="146"/>
      <c r="T441" s="146"/>
      <c r="U441" s="146"/>
      <c r="V441" s="146"/>
      <c r="W441" s="146"/>
      <c r="X441" s="146"/>
      <c r="Y441" s="146"/>
      <c r="Z441" s="146"/>
    </row>
    <row r="442" spans="1:26" ht="15.75" customHeight="1">
      <c r="A442" s="146"/>
      <c r="B442" s="146"/>
      <c r="C442" s="146"/>
      <c r="D442" s="146"/>
      <c r="E442" s="146"/>
      <c r="F442" s="146"/>
      <c r="G442" s="146"/>
      <c r="H442" s="146"/>
      <c r="I442" s="146"/>
      <c r="J442" s="146"/>
      <c r="K442" s="146"/>
      <c r="L442" s="146"/>
      <c r="M442" s="146"/>
      <c r="N442" s="146"/>
      <c r="O442" s="146"/>
      <c r="P442" s="146"/>
      <c r="Q442" s="146"/>
      <c r="R442" s="146"/>
      <c r="S442" s="146"/>
      <c r="T442" s="146"/>
      <c r="U442" s="146"/>
      <c r="V442" s="146"/>
      <c r="W442" s="146"/>
      <c r="X442" s="146"/>
      <c r="Y442" s="146"/>
      <c r="Z442" s="146"/>
    </row>
    <row r="443" spans="1:26" ht="15.75" customHeight="1">
      <c r="A443" s="146"/>
      <c r="B443" s="146"/>
      <c r="C443" s="146"/>
      <c r="D443" s="146"/>
      <c r="E443" s="146"/>
      <c r="F443" s="146"/>
      <c r="G443" s="146"/>
      <c r="H443" s="146"/>
      <c r="I443" s="146"/>
      <c r="J443" s="146"/>
      <c r="K443" s="146"/>
      <c r="L443" s="146"/>
      <c r="M443" s="146"/>
      <c r="N443" s="146"/>
      <c r="O443" s="146"/>
      <c r="P443" s="146"/>
      <c r="Q443" s="146"/>
      <c r="R443" s="146"/>
      <c r="S443" s="146"/>
      <c r="T443" s="146"/>
      <c r="U443" s="146"/>
      <c r="V443" s="146"/>
      <c r="W443" s="146"/>
      <c r="X443" s="146"/>
      <c r="Y443" s="146"/>
      <c r="Z443" s="146"/>
    </row>
    <row r="444" spans="1:26" ht="15.75" customHeight="1">
      <c r="A444" s="146"/>
      <c r="B444" s="146"/>
      <c r="C444" s="146"/>
      <c r="D444" s="146"/>
      <c r="E444" s="146"/>
      <c r="F444" s="146"/>
      <c r="G444" s="146"/>
      <c r="H444" s="146"/>
      <c r="I444" s="146"/>
      <c r="J444" s="146"/>
      <c r="K444" s="146"/>
      <c r="L444" s="146"/>
      <c r="M444" s="146"/>
      <c r="N444" s="146"/>
      <c r="O444" s="146"/>
      <c r="P444" s="146"/>
      <c r="Q444" s="146"/>
      <c r="R444" s="146"/>
      <c r="S444" s="146"/>
      <c r="T444" s="146"/>
      <c r="U444" s="146"/>
      <c r="V444" s="146"/>
      <c r="W444" s="146"/>
      <c r="X444" s="146"/>
      <c r="Y444" s="146"/>
      <c r="Z444" s="146"/>
    </row>
    <row r="445" spans="1:26" ht="15.75" customHeight="1">
      <c r="A445" s="146"/>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c r="Z445" s="146"/>
    </row>
    <row r="446" spans="1:26" ht="15.75" customHeight="1">
      <c r="A446" s="146"/>
      <c r="B446" s="146"/>
      <c r="C446" s="146"/>
      <c r="D446" s="146"/>
      <c r="E446" s="146"/>
      <c r="F446" s="146"/>
      <c r="G446" s="146"/>
      <c r="H446" s="146"/>
      <c r="I446" s="146"/>
      <c r="J446" s="146"/>
      <c r="K446" s="146"/>
      <c r="L446" s="146"/>
      <c r="M446" s="146"/>
      <c r="N446" s="146"/>
      <c r="O446" s="146"/>
      <c r="P446" s="146"/>
      <c r="Q446" s="146"/>
      <c r="R446" s="146"/>
      <c r="S446" s="146"/>
      <c r="T446" s="146"/>
      <c r="U446" s="146"/>
      <c r="V446" s="146"/>
      <c r="W446" s="146"/>
      <c r="X446" s="146"/>
      <c r="Y446" s="146"/>
      <c r="Z446" s="146"/>
    </row>
    <row r="447" spans="1:26" ht="15.75" customHeight="1">
      <c r="A447" s="146"/>
      <c r="B447" s="146"/>
      <c r="C447" s="146"/>
      <c r="D447" s="146"/>
      <c r="E447" s="146"/>
      <c r="F447" s="146"/>
      <c r="G447" s="146"/>
      <c r="H447" s="146"/>
      <c r="I447" s="146"/>
      <c r="J447" s="146"/>
      <c r="K447" s="146"/>
      <c r="L447" s="146"/>
      <c r="M447" s="146"/>
      <c r="N447" s="146"/>
      <c r="O447" s="146"/>
      <c r="P447" s="146"/>
      <c r="Q447" s="146"/>
      <c r="R447" s="146"/>
      <c r="S447" s="146"/>
      <c r="T447" s="146"/>
      <c r="U447" s="146"/>
      <c r="V447" s="146"/>
      <c r="W447" s="146"/>
      <c r="X447" s="146"/>
      <c r="Y447" s="146"/>
      <c r="Z447" s="146"/>
    </row>
    <row r="448" spans="1:26" ht="15.75" customHeight="1">
      <c r="A448" s="14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row>
    <row r="449" spans="1:26" ht="15.75" customHeight="1">
      <c r="A449" s="146"/>
      <c r="B449" s="146"/>
      <c r="C449" s="146"/>
      <c r="D449" s="146"/>
      <c r="E449" s="146"/>
      <c r="F449" s="146"/>
      <c r="G449" s="146"/>
      <c r="H449" s="146"/>
      <c r="I449" s="146"/>
      <c r="J449" s="146"/>
      <c r="K449" s="146"/>
      <c r="L449" s="146"/>
      <c r="M449" s="146"/>
      <c r="N449" s="146"/>
      <c r="O449" s="146"/>
      <c r="P449" s="146"/>
      <c r="Q449" s="146"/>
      <c r="R449" s="146"/>
      <c r="S449" s="146"/>
      <c r="T449" s="146"/>
      <c r="U449" s="146"/>
      <c r="V449" s="146"/>
      <c r="W449" s="146"/>
      <c r="X449" s="146"/>
      <c r="Y449" s="146"/>
      <c r="Z449" s="146"/>
    </row>
    <row r="450" spans="1:26" ht="15.75" customHeight="1">
      <c r="A450" s="146"/>
      <c r="B450" s="146"/>
      <c r="C450" s="146"/>
      <c r="D450" s="146"/>
      <c r="E450" s="146"/>
      <c r="F450" s="146"/>
      <c r="G450" s="146"/>
      <c r="H450" s="146"/>
      <c r="I450" s="146"/>
      <c r="J450" s="146"/>
      <c r="K450" s="146"/>
      <c r="L450" s="146"/>
      <c r="M450" s="146"/>
      <c r="N450" s="146"/>
      <c r="O450" s="146"/>
      <c r="P450" s="146"/>
      <c r="Q450" s="146"/>
      <c r="R450" s="146"/>
      <c r="S450" s="146"/>
      <c r="T450" s="146"/>
      <c r="U450" s="146"/>
      <c r="V450" s="146"/>
      <c r="W450" s="146"/>
      <c r="X450" s="146"/>
      <c r="Y450" s="146"/>
      <c r="Z450" s="146"/>
    </row>
    <row r="451" spans="1:26" ht="15.75" customHeight="1">
      <c r="A451" s="146"/>
      <c r="B451" s="146"/>
      <c r="C451" s="146"/>
      <c r="D451" s="146"/>
      <c r="E451" s="146"/>
      <c r="F451" s="146"/>
      <c r="G451" s="146"/>
      <c r="H451" s="146"/>
      <c r="I451" s="146"/>
      <c r="J451" s="146"/>
      <c r="K451" s="146"/>
      <c r="L451" s="146"/>
      <c r="M451" s="146"/>
      <c r="N451" s="146"/>
      <c r="O451" s="146"/>
      <c r="P451" s="146"/>
      <c r="Q451" s="146"/>
      <c r="R451" s="146"/>
      <c r="S451" s="146"/>
      <c r="T451" s="146"/>
      <c r="U451" s="146"/>
      <c r="V451" s="146"/>
      <c r="W451" s="146"/>
      <c r="X451" s="146"/>
      <c r="Y451" s="146"/>
      <c r="Z451" s="146"/>
    </row>
    <row r="452" spans="1:26" ht="15.75" customHeight="1">
      <c r="A452" s="146"/>
      <c r="B452" s="146"/>
      <c r="C452" s="146"/>
      <c r="D452" s="146"/>
      <c r="E452" s="146"/>
      <c r="F452" s="146"/>
      <c r="G452" s="146"/>
      <c r="H452" s="146"/>
      <c r="I452" s="146"/>
      <c r="J452" s="146"/>
      <c r="K452" s="146"/>
      <c r="L452" s="146"/>
      <c r="M452" s="146"/>
      <c r="N452" s="146"/>
      <c r="O452" s="146"/>
      <c r="P452" s="146"/>
      <c r="Q452" s="146"/>
      <c r="R452" s="146"/>
      <c r="S452" s="146"/>
      <c r="T452" s="146"/>
      <c r="U452" s="146"/>
      <c r="V452" s="146"/>
      <c r="W452" s="146"/>
      <c r="X452" s="146"/>
      <c r="Y452" s="146"/>
      <c r="Z452" s="146"/>
    </row>
    <row r="453" spans="1:26" ht="15.75" customHeight="1">
      <c r="A453" s="146"/>
      <c r="B453" s="146"/>
      <c r="C453" s="146"/>
      <c r="D453" s="146"/>
      <c r="E453" s="146"/>
      <c r="F453" s="146"/>
      <c r="G453" s="146"/>
      <c r="H453" s="146"/>
      <c r="I453" s="146"/>
      <c r="J453" s="146"/>
      <c r="K453" s="146"/>
      <c r="L453" s="146"/>
      <c r="M453" s="146"/>
      <c r="N453" s="146"/>
      <c r="O453" s="146"/>
      <c r="P453" s="146"/>
      <c r="Q453" s="146"/>
      <c r="R453" s="146"/>
      <c r="S453" s="146"/>
      <c r="T453" s="146"/>
      <c r="U453" s="146"/>
      <c r="V453" s="146"/>
      <c r="W453" s="146"/>
      <c r="X453" s="146"/>
      <c r="Y453" s="146"/>
      <c r="Z453" s="146"/>
    </row>
    <row r="454" spans="1:26" ht="15.75" customHeight="1">
      <c r="A454" s="146"/>
      <c r="B454" s="146"/>
      <c r="C454" s="146"/>
      <c r="D454" s="146"/>
      <c r="E454" s="146"/>
      <c r="F454" s="146"/>
      <c r="G454" s="146"/>
      <c r="H454" s="146"/>
      <c r="I454" s="146"/>
      <c r="J454" s="146"/>
      <c r="K454" s="146"/>
      <c r="L454" s="146"/>
      <c r="M454" s="146"/>
      <c r="N454" s="146"/>
      <c r="O454" s="146"/>
      <c r="P454" s="146"/>
      <c r="Q454" s="146"/>
      <c r="R454" s="146"/>
      <c r="S454" s="146"/>
      <c r="T454" s="146"/>
      <c r="U454" s="146"/>
      <c r="V454" s="146"/>
      <c r="W454" s="146"/>
      <c r="X454" s="146"/>
      <c r="Y454" s="146"/>
      <c r="Z454" s="146"/>
    </row>
    <row r="455" spans="1:26" ht="15.75" customHeight="1">
      <c r="A455" s="146"/>
      <c r="B455" s="146"/>
      <c r="C455" s="146"/>
      <c r="D455" s="146"/>
      <c r="E455" s="146"/>
      <c r="F455" s="146"/>
      <c r="G455" s="146"/>
      <c r="H455" s="146"/>
      <c r="I455" s="146"/>
      <c r="J455" s="146"/>
      <c r="K455" s="146"/>
      <c r="L455" s="146"/>
      <c r="M455" s="146"/>
      <c r="N455" s="146"/>
      <c r="O455" s="146"/>
      <c r="P455" s="146"/>
      <c r="Q455" s="146"/>
      <c r="R455" s="146"/>
      <c r="S455" s="146"/>
      <c r="T455" s="146"/>
      <c r="U455" s="146"/>
      <c r="V455" s="146"/>
      <c r="W455" s="146"/>
      <c r="X455" s="146"/>
      <c r="Y455" s="146"/>
      <c r="Z455" s="146"/>
    </row>
    <row r="456" spans="1:26" ht="15.75" customHeight="1">
      <c r="A456" s="146"/>
      <c r="B456" s="146"/>
      <c r="C456" s="146"/>
      <c r="D456" s="146"/>
      <c r="E456" s="146"/>
      <c r="F456" s="146"/>
      <c r="G456" s="146"/>
      <c r="H456" s="146"/>
      <c r="I456" s="146"/>
      <c r="J456" s="146"/>
      <c r="K456" s="146"/>
      <c r="L456" s="146"/>
      <c r="M456" s="146"/>
      <c r="N456" s="146"/>
      <c r="O456" s="146"/>
      <c r="P456" s="146"/>
      <c r="Q456" s="146"/>
      <c r="R456" s="146"/>
      <c r="S456" s="146"/>
      <c r="T456" s="146"/>
      <c r="U456" s="146"/>
      <c r="V456" s="146"/>
      <c r="W456" s="146"/>
      <c r="X456" s="146"/>
      <c r="Y456" s="146"/>
      <c r="Z456" s="146"/>
    </row>
    <row r="457" spans="1:26" ht="15.75" customHeight="1">
      <c r="A457" s="146"/>
      <c r="B457" s="146"/>
      <c r="C457" s="146"/>
      <c r="D457" s="146"/>
      <c r="E457" s="146"/>
      <c r="F457" s="146"/>
      <c r="G457" s="146"/>
      <c r="H457" s="146"/>
      <c r="I457" s="146"/>
      <c r="J457" s="146"/>
      <c r="K457" s="146"/>
      <c r="L457" s="146"/>
      <c r="M457" s="146"/>
      <c r="N457" s="146"/>
      <c r="O457" s="146"/>
      <c r="P457" s="146"/>
      <c r="Q457" s="146"/>
      <c r="R457" s="146"/>
      <c r="S457" s="146"/>
      <c r="T457" s="146"/>
      <c r="U457" s="146"/>
      <c r="V457" s="146"/>
      <c r="W457" s="146"/>
      <c r="X457" s="146"/>
      <c r="Y457" s="146"/>
      <c r="Z457" s="146"/>
    </row>
    <row r="458" spans="1:26" ht="15.75" customHeight="1">
      <c r="A458" s="146"/>
      <c r="B458" s="146"/>
      <c r="C458" s="146"/>
      <c r="D458" s="146"/>
      <c r="E458" s="146"/>
      <c r="F458" s="146"/>
      <c r="G458" s="146"/>
      <c r="H458" s="146"/>
      <c r="I458" s="146"/>
      <c r="J458" s="146"/>
      <c r="K458" s="146"/>
      <c r="L458" s="146"/>
      <c r="M458" s="146"/>
      <c r="N458" s="146"/>
      <c r="O458" s="146"/>
      <c r="P458" s="146"/>
      <c r="Q458" s="146"/>
      <c r="R458" s="146"/>
      <c r="S458" s="146"/>
      <c r="T458" s="146"/>
      <c r="U458" s="146"/>
      <c r="V458" s="146"/>
      <c r="W458" s="146"/>
      <c r="X458" s="146"/>
      <c r="Y458" s="146"/>
      <c r="Z458" s="146"/>
    </row>
    <row r="459" spans="1:26" ht="15.75" customHeight="1">
      <c r="A459" s="146"/>
      <c r="B459" s="146"/>
      <c r="C459" s="146"/>
      <c r="D459" s="146"/>
      <c r="E459" s="146"/>
      <c r="F459" s="146"/>
      <c r="G459" s="146"/>
      <c r="H459" s="146"/>
      <c r="I459" s="146"/>
      <c r="J459" s="146"/>
      <c r="K459" s="146"/>
      <c r="L459" s="146"/>
      <c r="M459" s="146"/>
      <c r="N459" s="146"/>
      <c r="O459" s="146"/>
      <c r="P459" s="146"/>
      <c r="Q459" s="146"/>
      <c r="R459" s="146"/>
      <c r="S459" s="146"/>
      <c r="T459" s="146"/>
      <c r="U459" s="146"/>
      <c r="V459" s="146"/>
      <c r="W459" s="146"/>
      <c r="X459" s="146"/>
      <c r="Y459" s="146"/>
      <c r="Z459" s="146"/>
    </row>
    <row r="460" spans="1:26" ht="15.75" customHeight="1">
      <c r="A460" s="146"/>
      <c r="B460" s="146"/>
      <c r="C460" s="146"/>
      <c r="D460" s="146"/>
      <c r="E460" s="146"/>
      <c r="F460" s="146"/>
      <c r="G460" s="146"/>
      <c r="H460" s="146"/>
      <c r="I460" s="146"/>
      <c r="J460" s="146"/>
      <c r="K460" s="146"/>
      <c r="L460" s="146"/>
      <c r="M460" s="146"/>
      <c r="N460" s="146"/>
      <c r="O460" s="146"/>
      <c r="P460" s="146"/>
      <c r="Q460" s="146"/>
      <c r="R460" s="146"/>
      <c r="S460" s="146"/>
      <c r="T460" s="146"/>
      <c r="U460" s="146"/>
      <c r="V460" s="146"/>
      <c r="W460" s="146"/>
      <c r="X460" s="146"/>
      <c r="Y460" s="146"/>
      <c r="Z460" s="146"/>
    </row>
    <row r="461" spans="1:26" ht="15.75" customHeight="1">
      <c r="A461" s="146"/>
      <c r="B461" s="146"/>
      <c r="C461" s="146"/>
      <c r="D461" s="146"/>
      <c r="E461" s="146"/>
      <c r="F461" s="146"/>
      <c r="G461" s="146"/>
      <c r="H461" s="146"/>
      <c r="I461" s="146"/>
      <c r="J461" s="146"/>
      <c r="K461" s="146"/>
      <c r="L461" s="146"/>
      <c r="M461" s="146"/>
      <c r="N461" s="146"/>
      <c r="O461" s="146"/>
      <c r="P461" s="146"/>
      <c r="Q461" s="146"/>
      <c r="R461" s="146"/>
      <c r="S461" s="146"/>
      <c r="T461" s="146"/>
      <c r="U461" s="146"/>
      <c r="V461" s="146"/>
      <c r="W461" s="146"/>
      <c r="X461" s="146"/>
      <c r="Y461" s="146"/>
      <c r="Z461" s="146"/>
    </row>
    <row r="462" spans="1:26" ht="15.75" customHeight="1">
      <c r="A462" s="146"/>
      <c r="B462" s="146"/>
      <c r="C462" s="146"/>
      <c r="D462" s="146"/>
      <c r="E462" s="146"/>
      <c r="F462" s="146"/>
      <c r="G462" s="146"/>
      <c r="H462" s="146"/>
      <c r="I462" s="146"/>
      <c r="J462" s="146"/>
      <c r="K462" s="146"/>
      <c r="L462" s="146"/>
      <c r="M462" s="146"/>
      <c r="N462" s="146"/>
      <c r="O462" s="146"/>
      <c r="P462" s="146"/>
      <c r="Q462" s="146"/>
      <c r="R462" s="146"/>
      <c r="S462" s="146"/>
      <c r="T462" s="146"/>
      <c r="U462" s="146"/>
      <c r="V462" s="146"/>
      <c r="W462" s="146"/>
      <c r="X462" s="146"/>
      <c r="Y462" s="146"/>
      <c r="Z462" s="146"/>
    </row>
    <row r="463" spans="1:26" ht="15.75" customHeight="1">
      <c r="A463" s="146"/>
      <c r="B463" s="146"/>
      <c r="C463" s="146"/>
      <c r="D463" s="146"/>
      <c r="E463" s="146"/>
      <c r="F463" s="146"/>
      <c r="G463" s="146"/>
      <c r="H463" s="146"/>
      <c r="I463" s="146"/>
      <c r="J463" s="146"/>
      <c r="K463" s="146"/>
      <c r="L463" s="146"/>
      <c r="M463" s="146"/>
      <c r="N463" s="146"/>
      <c r="O463" s="146"/>
      <c r="P463" s="146"/>
      <c r="Q463" s="146"/>
      <c r="R463" s="146"/>
      <c r="S463" s="146"/>
      <c r="T463" s="146"/>
      <c r="U463" s="146"/>
      <c r="V463" s="146"/>
      <c r="W463" s="146"/>
      <c r="X463" s="146"/>
      <c r="Y463" s="146"/>
      <c r="Z463" s="146"/>
    </row>
    <row r="464" spans="1:26" ht="15.75" customHeight="1">
      <c r="A464" s="146"/>
      <c r="B464" s="146"/>
      <c r="C464" s="146"/>
      <c r="D464" s="146"/>
      <c r="E464" s="146"/>
      <c r="F464" s="146"/>
      <c r="G464" s="146"/>
      <c r="H464" s="146"/>
      <c r="I464" s="146"/>
      <c r="J464" s="146"/>
      <c r="K464" s="146"/>
      <c r="L464" s="146"/>
      <c r="M464" s="146"/>
      <c r="N464" s="146"/>
      <c r="O464" s="146"/>
      <c r="P464" s="146"/>
      <c r="Q464" s="146"/>
      <c r="R464" s="146"/>
      <c r="S464" s="146"/>
      <c r="T464" s="146"/>
      <c r="U464" s="146"/>
      <c r="V464" s="146"/>
      <c r="W464" s="146"/>
      <c r="X464" s="146"/>
      <c r="Y464" s="146"/>
      <c r="Z464" s="146"/>
    </row>
    <row r="465" spans="1:26" ht="15.75" customHeight="1">
      <c r="A465" s="146"/>
      <c r="B465" s="146"/>
      <c r="C465" s="146"/>
      <c r="D465" s="146"/>
      <c r="E465" s="146"/>
      <c r="F465" s="146"/>
      <c r="G465" s="146"/>
      <c r="H465" s="146"/>
      <c r="I465" s="146"/>
      <c r="J465" s="146"/>
      <c r="K465" s="146"/>
      <c r="L465" s="146"/>
      <c r="M465" s="146"/>
      <c r="N465" s="146"/>
      <c r="O465" s="146"/>
      <c r="P465" s="146"/>
      <c r="Q465" s="146"/>
      <c r="R465" s="146"/>
      <c r="S465" s="146"/>
      <c r="T465" s="146"/>
      <c r="U465" s="146"/>
      <c r="V465" s="146"/>
      <c r="W465" s="146"/>
      <c r="X465" s="146"/>
      <c r="Y465" s="146"/>
      <c r="Z465" s="146"/>
    </row>
    <row r="466" spans="1:26" ht="15.75" customHeight="1">
      <c r="A466" s="146"/>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row>
    <row r="467" spans="1:26" ht="15.75" customHeight="1">
      <c r="A467" s="146"/>
      <c r="B467" s="146"/>
      <c r="C467" s="146"/>
      <c r="D467" s="146"/>
      <c r="E467" s="146"/>
      <c r="F467" s="146"/>
      <c r="G467" s="146"/>
      <c r="H467" s="146"/>
      <c r="I467" s="146"/>
      <c r="J467" s="146"/>
      <c r="K467" s="146"/>
      <c r="L467" s="146"/>
      <c r="M467" s="146"/>
      <c r="N467" s="146"/>
      <c r="O467" s="146"/>
      <c r="P467" s="146"/>
      <c r="Q467" s="146"/>
      <c r="R467" s="146"/>
      <c r="S467" s="146"/>
      <c r="T467" s="146"/>
      <c r="U467" s="146"/>
      <c r="V467" s="146"/>
      <c r="W467" s="146"/>
      <c r="X467" s="146"/>
      <c r="Y467" s="146"/>
      <c r="Z467" s="146"/>
    </row>
    <row r="468" spans="1:26" ht="15.75" customHeight="1">
      <c r="A468" s="146"/>
      <c r="B468" s="146"/>
      <c r="C468" s="146"/>
      <c r="D468" s="146"/>
      <c r="E468" s="146"/>
      <c r="F468" s="146"/>
      <c r="G468" s="146"/>
      <c r="H468" s="146"/>
      <c r="I468" s="146"/>
      <c r="J468" s="146"/>
      <c r="K468" s="146"/>
      <c r="L468" s="146"/>
      <c r="M468" s="146"/>
      <c r="N468" s="146"/>
      <c r="O468" s="146"/>
      <c r="P468" s="146"/>
      <c r="Q468" s="146"/>
      <c r="R468" s="146"/>
      <c r="S468" s="146"/>
      <c r="T468" s="146"/>
      <c r="U468" s="146"/>
      <c r="V468" s="146"/>
      <c r="W468" s="146"/>
      <c r="X468" s="146"/>
      <c r="Y468" s="146"/>
      <c r="Z468" s="146"/>
    </row>
    <row r="469" spans="1:26" ht="15.75" customHeight="1">
      <c r="A469" s="146"/>
      <c r="B469" s="146"/>
      <c r="C469" s="146"/>
      <c r="D469" s="146"/>
      <c r="E469" s="146"/>
      <c r="F469" s="146"/>
      <c r="G469" s="146"/>
      <c r="H469" s="146"/>
      <c r="I469" s="146"/>
      <c r="J469" s="146"/>
      <c r="K469" s="146"/>
      <c r="L469" s="146"/>
      <c r="M469" s="146"/>
      <c r="N469" s="146"/>
      <c r="O469" s="146"/>
      <c r="P469" s="146"/>
      <c r="Q469" s="146"/>
      <c r="R469" s="146"/>
      <c r="S469" s="146"/>
      <c r="T469" s="146"/>
      <c r="U469" s="146"/>
      <c r="V469" s="146"/>
      <c r="W469" s="146"/>
      <c r="X469" s="146"/>
      <c r="Y469" s="146"/>
      <c r="Z469" s="146"/>
    </row>
    <row r="470" spans="1:26" ht="15.75" customHeight="1">
      <c r="A470" s="146"/>
      <c r="B470" s="146"/>
      <c r="C470" s="146"/>
      <c r="D470" s="146"/>
      <c r="E470" s="146"/>
      <c r="F470" s="146"/>
      <c r="G470" s="146"/>
      <c r="H470" s="146"/>
      <c r="I470" s="146"/>
      <c r="J470" s="146"/>
      <c r="K470" s="146"/>
      <c r="L470" s="146"/>
      <c r="M470" s="146"/>
      <c r="N470" s="146"/>
      <c r="O470" s="146"/>
      <c r="P470" s="146"/>
      <c r="Q470" s="146"/>
      <c r="R470" s="146"/>
      <c r="S470" s="146"/>
      <c r="T470" s="146"/>
      <c r="U470" s="146"/>
      <c r="V470" s="146"/>
      <c r="W470" s="146"/>
      <c r="X470" s="146"/>
      <c r="Y470" s="146"/>
      <c r="Z470" s="146"/>
    </row>
    <row r="471" spans="1:26" ht="15.75" customHeight="1">
      <c r="A471" s="146"/>
      <c r="B471" s="146"/>
      <c r="C471" s="146"/>
      <c r="D471" s="146"/>
      <c r="E471" s="146"/>
      <c r="F471" s="146"/>
      <c r="G471" s="146"/>
      <c r="H471" s="146"/>
      <c r="I471" s="146"/>
      <c r="J471" s="146"/>
      <c r="K471" s="146"/>
      <c r="L471" s="146"/>
      <c r="M471" s="146"/>
      <c r="N471" s="146"/>
      <c r="O471" s="146"/>
      <c r="P471" s="146"/>
      <c r="Q471" s="146"/>
      <c r="R471" s="146"/>
      <c r="S471" s="146"/>
      <c r="T471" s="146"/>
      <c r="U471" s="146"/>
      <c r="V471" s="146"/>
      <c r="W471" s="146"/>
      <c r="X471" s="146"/>
      <c r="Y471" s="146"/>
      <c r="Z471" s="146"/>
    </row>
    <row r="472" spans="1:26" ht="15.75" customHeight="1">
      <c r="A472" s="146"/>
      <c r="B472" s="146"/>
      <c r="C472" s="146"/>
      <c r="D472" s="146"/>
      <c r="E472" s="146"/>
      <c r="F472" s="146"/>
      <c r="G472" s="146"/>
      <c r="H472" s="146"/>
      <c r="I472" s="146"/>
      <c r="J472" s="146"/>
      <c r="K472" s="146"/>
      <c r="L472" s="146"/>
      <c r="M472" s="146"/>
      <c r="N472" s="146"/>
      <c r="O472" s="146"/>
      <c r="P472" s="146"/>
      <c r="Q472" s="146"/>
      <c r="R472" s="146"/>
      <c r="S472" s="146"/>
      <c r="T472" s="146"/>
      <c r="U472" s="146"/>
      <c r="V472" s="146"/>
      <c r="W472" s="146"/>
      <c r="X472" s="146"/>
      <c r="Y472" s="146"/>
      <c r="Z472" s="146"/>
    </row>
    <row r="473" spans="1:26" ht="15.75" customHeight="1">
      <c r="A473" s="146"/>
      <c r="B473" s="146"/>
      <c r="C473" s="146"/>
      <c r="D473" s="146"/>
      <c r="E473" s="146"/>
      <c r="F473" s="146"/>
      <c r="G473" s="146"/>
      <c r="H473" s="146"/>
      <c r="I473" s="146"/>
      <c r="J473" s="146"/>
      <c r="K473" s="146"/>
      <c r="L473" s="146"/>
      <c r="M473" s="146"/>
      <c r="N473" s="146"/>
      <c r="O473" s="146"/>
      <c r="P473" s="146"/>
      <c r="Q473" s="146"/>
      <c r="R473" s="146"/>
      <c r="S473" s="146"/>
      <c r="T473" s="146"/>
      <c r="U473" s="146"/>
      <c r="V473" s="146"/>
      <c r="W473" s="146"/>
      <c r="X473" s="146"/>
      <c r="Y473" s="146"/>
      <c r="Z473" s="146"/>
    </row>
    <row r="474" spans="1:26" ht="15.75" customHeight="1">
      <c r="A474" s="146"/>
      <c r="B474" s="146"/>
      <c r="C474" s="146"/>
      <c r="D474" s="146"/>
      <c r="E474" s="146"/>
      <c r="F474" s="146"/>
      <c r="G474" s="146"/>
      <c r="H474" s="146"/>
      <c r="I474" s="146"/>
      <c r="J474" s="146"/>
      <c r="K474" s="146"/>
      <c r="L474" s="146"/>
      <c r="M474" s="146"/>
      <c r="N474" s="146"/>
      <c r="O474" s="146"/>
      <c r="P474" s="146"/>
      <c r="Q474" s="146"/>
      <c r="R474" s="146"/>
      <c r="S474" s="146"/>
      <c r="T474" s="146"/>
      <c r="U474" s="146"/>
      <c r="V474" s="146"/>
      <c r="W474" s="146"/>
      <c r="X474" s="146"/>
      <c r="Y474" s="146"/>
      <c r="Z474" s="146"/>
    </row>
    <row r="475" spans="1:26" ht="15.75" customHeight="1">
      <c r="A475" s="146"/>
      <c r="B475" s="146"/>
      <c r="C475" s="146"/>
      <c r="D475" s="146"/>
      <c r="E475" s="146"/>
      <c r="F475" s="146"/>
      <c r="G475" s="146"/>
      <c r="H475" s="146"/>
      <c r="I475" s="146"/>
      <c r="J475" s="146"/>
      <c r="K475" s="146"/>
      <c r="L475" s="146"/>
      <c r="M475" s="146"/>
      <c r="N475" s="146"/>
      <c r="O475" s="146"/>
      <c r="P475" s="146"/>
      <c r="Q475" s="146"/>
      <c r="R475" s="146"/>
      <c r="S475" s="146"/>
      <c r="T475" s="146"/>
      <c r="U475" s="146"/>
      <c r="V475" s="146"/>
      <c r="W475" s="146"/>
      <c r="X475" s="146"/>
      <c r="Y475" s="146"/>
      <c r="Z475" s="146"/>
    </row>
    <row r="476" spans="1:26" ht="15.75" customHeight="1">
      <c r="A476" s="146"/>
      <c r="B476" s="146"/>
      <c r="C476" s="146"/>
      <c r="D476" s="146"/>
      <c r="E476" s="146"/>
      <c r="F476" s="146"/>
      <c r="G476" s="146"/>
      <c r="H476" s="146"/>
      <c r="I476" s="146"/>
      <c r="J476" s="146"/>
      <c r="K476" s="146"/>
      <c r="L476" s="146"/>
      <c r="M476" s="146"/>
      <c r="N476" s="146"/>
      <c r="O476" s="146"/>
      <c r="P476" s="146"/>
      <c r="Q476" s="146"/>
      <c r="R476" s="146"/>
      <c r="S476" s="146"/>
      <c r="T476" s="146"/>
      <c r="U476" s="146"/>
      <c r="V476" s="146"/>
      <c r="W476" s="146"/>
      <c r="X476" s="146"/>
      <c r="Y476" s="146"/>
      <c r="Z476" s="146"/>
    </row>
    <row r="477" spans="1:26" ht="15.75" customHeight="1">
      <c r="A477" s="146"/>
      <c r="B477" s="146"/>
      <c r="C477" s="146"/>
      <c r="D477" s="146"/>
      <c r="E477" s="146"/>
      <c r="F477" s="146"/>
      <c r="G477" s="146"/>
      <c r="H477" s="146"/>
      <c r="I477" s="146"/>
      <c r="J477" s="146"/>
      <c r="K477" s="146"/>
      <c r="L477" s="146"/>
      <c r="M477" s="146"/>
      <c r="N477" s="146"/>
      <c r="O477" s="146"/>
      <c r="P477" s="146"/>
      <c r="Q477" s="146"/>
      <c r="R477" s="146"/>
      <c r="S477" s="146"/>
      <c r="T477" s="146"/>
      <c r="U477" s="146"/>
      <c r="V477" s="146"/>
      <c r="W477" s="146"/>
      <c r="X477" s="146"/>
      <c r="Y477" s="146"/>
      <c r="Z477" s="146"/>
    </row>
    <row r="478" spans="1:26" ht="15.75" customHeight="1">
      <c r="A478" s="146"/>
      <c r="B478" s="146"/>
      <c r="C478" s="146"/>
      <c r="D478" s="146"/>
      <c r="E478" s="146"/>
      <c r="F478" s="146"/>
      <c r="G478" s="146"/>
      <c r="H478" s="146"/>
      <c r="I478" s="146"/>
      <c r="J478" s="146"/>
      <c r="K478" s="146"/>
      <c r="L478" s="146"/>
      <c r="M478" s="146"/>
      <c r="N478" s="146"/>
      <c r="O478" s="146"/>
      <c r="P478" s="146"/>
      <c r="Q478" s="146"/>
      <c r="R478" s="146"/>
      <c r="S478" s="146"/>
      <c r="T478" s="146"/>
      <c r="U478" s="146"/>
      <c r="V478" s="146"/>
      <c r="W478" s="146"/>
      <c r="X478" s="146"/>
      <c r="Y478" s="146"/>
      <c r="Z478" s="146"/>
    </row>
    <row r="479" spans="1:26" ht="15.75" customHeight="1">
      <c r="A479" s="146"/>
      <c r="B479" s="146"/>
      <c r="C479" s="146"/>
      <c r="D479" s="146"/>
      <c r="E479" s="146"/>
      <c r="F479" s="146"/>
      <c r="G479" s="146"/>
      <c r="H479" s="146"/>
      <c r="I479" s="146"/>
      <c r="J479" s="146"/>
      <c r="K479" s="146"/>
      <c r="L479" s="146"/>
      <c r="M479" s="146"/>
      <c r="N479" s="146"/>
      <c r="O479" s="146"/>
      <c r="P479" s="146"/>
      <c r="Q479" s="146"/>
      <c r="R479" s="146"/>
      <c r="S479" s="146"/>
      <c r="T479" s="146"/>
      <c r="U479" s="146"/>
      <c r="V479" s="146"/>
      <c r="W479" s="146"/>
      <c r="X479" s="146"/>
      <c r="Y479" s="146"/>
      <c r="Z479" s="146"/>
    </row>
    <row r="480" spans="1:26" ht="15.75" customHeight="1">
      <c r="A480" s="146"/>
      <c r="B480" s="146"/>
      <c r="C480" s="146"/>
      <c r="D480" s="146"/>
      <c r="E480" s="146"/>
      <c r="F480" s="146"/>
      <c r="G480" s="146"/>
      <c r="H480" s="146"/>
      <c r="I480" s="146"/>
      <c r="J480" s="146"/>
      <c r="K480" s="146"/>
      <c r="L480" s="146"/>
      <c r="M480" s="146"/>
      <c r="N480" s="146"/>
      <c r="O480" s="146"/>
      <c r="P480" s="146"/>
      <c r="Q480" s="146"/>
      <c r="R480" s="146"/>
      <c r="S480" s="146"/>
      <c r="T480" s="146"/>
      <c r="U480" s="146"/>
      <c r="V480" s="146"/>
      <c r="W480" s="146"/>
      <c r="X480" s="146"/>
      <c r="Y480" s="146"/>
      <c r="Z480" s="146"/>
    </row>
    <row r="481" spans="1:26" ht="15.75" customHeight="1">
      <c r="A481" s="146"/>
      <c r="B481" s="146"/>
      <c r="C481" s="146"/>
      <c r="D481" s="146"/>
      <c r="E481" s="146"/>
      <c r="F481" s="146"/>
      <c r="G481" s="146"/>
      <c r="H481" s="146"/>
      <c r="I481" s="146"/>
      <c r="J481" s="146"/>
      <c r="K481" s="146"/>
      <c r="L481" s="146"/>
      <c r="M481" s="146"/>
      <c r="N481" s="146"/>
      <c r="O481" s="146"/>
      <c r="P481" s="146"/>
      <c r="Q481" s="146"/>
      <c r="R481" s="146"/>
      <c r="S481" s="146"/>
      <c r="T481" s="146"/>
      <c r="U481" s="146"/>
      <c r="V481" s="146"/>
      <c r="W481" s="146"/>
      <c r="X481" s="146"/>
      <c r="Y481" s="146"/>
      <c r="Z481" s="146"/>
    </row>
    <row r="482" spans="1:26" ht="15.75" customHeight="1">
      <c r="A482" s="146"/>
      <c r="B482" s="146"/>
      <c r="C482" s="146"/>
      <c r="D482" s="146"/>
      <c r="E482" s="146"/>
      <c r="F482" s="146"/>
      <c r="G482" s="146"/>
      <c r="H482" s="146"/>
      <c r="I482" s="146"/>
      <c r="J482" s="146"/>
      <c r="K482" s="146"/>
      <c r="L482" s="146"/>
      <c r="M482" s="146"/>
      <c r="N482" s="146"/>
      <c r="O482" s="146"/>
      <c r="P482" s="146"/>
      <c r="Q482" s="146"/>
      <c r="R482" s="146"/>
      <c r="S482" s="146"/>
      <c r="T482" s="146"/>
      <c r="U482" s="146"/>
      <c r="V482" s="146"/>
      <c r="W482" s="146"/>
      <c r="X482" s="146"/>
      <c r="Y482" s="146"/>
      <c r="Z482" s="146"/>
    </row>
    <row r="483" spans="1:26" ht="15.75" customHeight="1">
      <c r="A483" s="146"/>
      <c r="B483" s="146"/>
      <c r="C483" s="146"/>
      <c r="D483" s="146"/>
      <c r="E483" s="146"/>
      <c r="F483" s="146"/>
      <c r="G483" s="146"/>
      <c r="H483" s="146"/>
      <c r="I483" s="146"/>
      <c r="J483" s="146"/>
      <c r="K483" s="146"/>
      <c r="L483" s="146"/>
      <c r="M483" s="146"/>
      <c r="N483" s="146"/>
      <c r="O483" s="146"/>
      <c r="P483" s="146"/>
      <c r="Q483" s="146"/>
      <c r="R483" s="146"/>
      <c r="S483" s="146"/>
      <c r="T483" s="146"/>
      <c r="U483" s="146"/>
      <c r="V483" s="146"/>
      <c r="W483" s="146"/>
      <c r="X483" s="146"/>
      <c r="Y483" s="146"/>
      <c r="Z483" s="146"/>
    </row>
    <row r="484" spans="1:26" ht="15.75" customHeight="1">
      <c r="A484" s="146"/>
      <c r="B484" s="146"/>
      <c r="C484" s="146"/>
      <c r="D484" s="146"/>
      <c r="E484" s="146"/>
      <c r="F484" s="146"/>
      <c r="G484" s="146"/>
      <c r="H484" s="146"/>
      <c r="I484" s="146"/>
      <c r="J484" s="146"/>
      <c r="K484" s="146"/>
      <c r="L484" s="146"/>
      <c r="M484" s="146"/>
      <c r="N484" s="146"/>
      <c r="O484" s="146"/>
      <c r="P484" s="146"/>
      <c r="Q484" s="146"/>
      <c r="R484" s="146"/>
      <c r="S484" s="146"/>
      <c r="T484" s="146"/>
      <c r="U484" s="146"/>
      <c r="V484" s="146"/>
      <c r="W484" s="146"/>
      <c r="X484" s="146"/>
      <c r="Y484" s="146"/>
      <c r="Z484" s="146"/>
    </row>
    <row r="485" spans="1:26" ht="15.75" customHeight="1">
      <c r="A485" s="146"/>
      <c r="B485" s="146"/>
      <c r="C485" s="146"/>
      <c r="D485" s="146"/>
      <c r="E485" s="146"/>
      <c r="F485" s="146"/>
      <c r="G485" s="146"/>
      <c r="H485" s="146"/>
      <c r="I485" s="146"/>
      <c r="J485" s="146"/>
      <c r="K485" s="146"/>
      <c r="L485" s="146"/>
      <c r="M485" s="146"/>
      <c r="N485" s="146"/>
      <c r="O485" s="146"/>
      <c r="P485" s="146"/>
      <c r="Q485" s="146"/>
      <c r="R485" s="146"/>
      <c r="S485" s="146"/>
      <c r="T485" s="146"/>
      <c r="U485" s="146"/>
      <c r="V485" s="146"/>
      <c r="W485" s="146"/>
      <c r="X485" s="146"/>
      <c r="Y485" s="146"/>
      <c r="Z485" s="146"/>
    </row>
    <row r="486" spans="1:26" ht="15.75" customHeight="1">
      <c r="A486" s="146"/>
      <c r="B486" s="146"/>
      <c r="C486" s="146"/>
      <c r="D486" s="146"/>
      <c r="E486" s="146"/>
      <c r="F486" s="146"/>
      <c r="G486" s="146"/>
      <c r="H486" s="146"/>
      <c r="I486" s="146"/>
      <c r="J486" s="146"/>
      <c r="K486" s="146"/>
      <c r="L486" s="146"/>
      <c r="M486" s="146"/>
      <c r="N486" s="146"/>
      <c r="O486" s="146"/>
      <c r="P486" s="146"/>
      <c r="Q486" s="146"/>
      <c r="R486" s="146"/>
      <c r="S486" s="146"/>
      <c r="T486" s="146"/>
      <c r="U486" s="146"/>
      <c r="V486" s="146"/>
      <c r="W486" s="146"/>
      <c r="X486" s="146"/>
      <c r="Y486" s="146"/>
      <c r="Z486" s="146"/>
    </row>
    <row r="487" spans="1:26" ht="15.75" customHeight="1">
      <c r="A487" s="146"/>
      <c r="B487" s="146"/>
      <c r="C487" s="146"/>
      <c r="D487" s="146"/>
      <c r="E487" s="146"/>
      <c r="F487" s="146"/>
      <c r="G487" s="146"/>
      <c r="H487" s="146"/>
      <c r="I487" s="146"/>
      <c r="J487" s="146"/>
      <c r="K487" s="146"/>
      <c r="L487" s="146"/>
      <c r="M487" s="146"/>
      <c r="N487" s="146"/>
      <c r="O487" s="146"/>
      <c r="P487" s="146"/>
      <c r="Q487" s="146"/>
      <c r="R487" s="146"/>
      <c r="S487" s="146"/>
      <c r="T487" s="146"/>
      <c r="U487" s="146"/>
      <c r="V487" s="146"/>
      <c r="W487" s="146"/>
      <c r="X487" s="146"/>
      <c r="Y487" s="146"/>
      <c r="Z487" s="146"/>
    </row>
    <row r="488" spans="1:26" ht="15.75" customHeight="1">
      <c r="A488" s="146"/>
      <c r="B488" s="146"/>
      <c r="C488" s="146"/>
      <c r="D488" s="146"/>
      <c r="E488" s="146"/>
      <c r="F488" s="146"/>
      <c r="G488" s="146"/>
      <c r="H488" s="146"/>
      <c r="I488" s="146"/>
      <c r="J488" s="146"/>
      <c r="K488" s="146"/>
      <c r="L488" s="146"/>
      <c r="M488" s="146"/>
      <c r="N488" s="146"/>
      <c r="O488" s="146"/>
      <c r="P488" s="146"/>
      <c r="Q488" s="146"/>
      <c r="R488" s="146"/>
      <c r="S488" s="146"/>
      <c r="T488" s="146"/>
      <c r="U488" s="146"/>
      <c r="V488" s="146"/>
      <c r="W488" s="146"/>
      <c r="X488" s="146"/>
      <c r="Y488" s="146"/>
      <c r="Z488" s="146"/>
    </row>
    <row r="489" spans="1:26" ht="15.75" customHeight="1">
      <c r="A489" s="146"/>
      <c r="B489" s="146"/>
      <c r="C489" s="146"/>
      <c r="D489" s="146"/>
      <c r="E489" s="146"/>
      <c r="F489" s="146"/>
      <c r="G489" s="146"/>
      <c r="H489" s="146"/>
      <c r="I489" s="146"/>
      <c r="J489" s="146"/>
      <c r="K489" s="146"/>
      <c r="L489" s="146"/>
      <c r="M489" s="146"/>
      <c r="N489" s="146"/>
      <c r="O489" s="146"/>
      <c r="P489" s="146"/>
      <c r="Q489" s="146"/>
      <c r="R489" s="146"/>
      <c r="S489" s="146"/>
      <c r="T489" s="146"/>
      <c r="U489" s="146"/>
      <c r="V489" s="146"/>
      <c r="W489" s="146"/>
      <c r="X489" s="146"/>
      <c r="Y489" s="146"/>
      <c r="Z489" s="146"/>
    </row>
    <row r="490" spans="1:26" ht="15.75" customHeight="1">
      <c r="A490" s="146"/>
      <c r="B490" s="146"/>
      <c r="C490" s="146"/>
      <c r="D490" s="146"/>
      <c r="E490" s="146"/>
      <c r="F490" s="146"/>
      <c r="G490" s="146"/>
      <c r="H490" s="146"/>
      <c r="I490" s="146"/>
      <c r="J490" s="146"/>
      <c r="K490" s="146"/>
      <c r="L490" s="146"/>
      <c r="M490" s="146"/>
      <c r="N490" s="146"/>
      <c r="O490" s="146"/>
      <c r="P490" s="146"/>
      <c r="Q490" s="146"/>
      <c r="R490" s="146"/>
      <c r="S490" s="146"/>
      <c r="T490" s="146"/>
      <c r="U490" s="146"/>
      <c r="V490" s="146"/>
      <c r="W490" s="146"/>
      <c r="X490" s="146"/>
      <c r="Y490" s="146"/>
      <c r="Z490" s="146"/>
    </row>
    <row r="491" spans="1:26" ht="15.75" customHeight="1">
      <c r="A491" s="146"/>
      <c r="B491" s="146"/>
      <c r="C491" s="146"/>
      <c r="D491" s="146"/>
      <c r="E491" s="146"/>
      <c r="F491" s="146"/>
      <c r="G491" s="146"/>
      <c r="H491" s="146"/>
      <c r="I491" s="146"/>
      <c r="J491" s="146"/>
      <c r="K491" s="146"/>
      <c r="L491" s="146"/>
      <c r="M491" s="146"/>
      <c r="N491" s="146"/>
      <c r="O491" s="146"/>
      <c r="P491" s="146"/>
      <c r="Q491" s="146"/>
      <c r="R491" s="146"/>
      <c r="S491" s="146"/>
      <c r="T491" s="146"/>
      <c r="U491" s="146"/>
      <c r="V491" s="146"/>
      <c r="W491" s="146"/>
      <c r="X491" s="146"/>
      <c r="Y491" s="146"/>
      <c r="Z491" s="146"/>
    </row>
    <row r="492" spans="1:26" ht="15.75" customHeight="1">
      <c r="A492" s="146"/>
      <c r="B492" s="146"/>
      <c r="C492" s="146"/>
      <c r="D492" s="146"/>
      <c r="E492" s="146"/>
      <c r="F492" s="146"/>
      <c r="G492" s="146"/>
      <c r="H492" s="146"/>
      <c r="I492" s="146"/>
      <c r="J492" s="146"/>
      <c r="K492" s="146"/>
      <c r="L492" s="146"/>
      <c r="M492" s="146"/>
      <c r="N492" s="146"/>
      <c r="O492" s="146"/>
      <c r="P492" s="146"/>
      <c r="Q492" s="146"/>
      <c r="R492" s="146"/>
      <c r="S492" s="146"/>
      <c r="T492" s="146"/>
      <c r="U492" s="146"/>
      <c r="V492" s="146"/>
      <c r="W492" s="146"/>
      <c r="X492" s="146"/>
      <c r="Y492" s="146"/>
      <c r="Z492" s="146"/>
    </row>
    <row r="493" spans="1:26" ht="15.75" customHeight="1">
      <c r="A493" s="146"/>
      <c r="B493" s="146"/>
      <c r="C493" s="146"/>
      <c r="D493" s="146"/>
      <c r="E493" s="146"/>
      <c r="F493" s="146"/>
      <c r="G493" s="146"/>
      <c r="H493" s="146"/>
      <c r="I493" s="146"/>
      <c r="J493" s="146"/>
      <c r="K493" s="146"/>
      <c r="L493" s="146"/>
      <c r="M493" s="146"/>
      <c r="N493" s="146"/>
      <c r="O493" s="146"/>
      <c r="P493" s="146"/>
      <c r="Q493" s="146"/>
      <c r="R493" s="146"/>
      <c r="S493" s="146"/>
      <c r="T493" s="146"/>
      <c r="U493" s="146"/>
      <c r="V493" s="146"/>
      <c r="W493" s="146"/>
      <c r="X493" s="146"/>
      <c r="Y493" s="146"/>
      <c r="Z493" s="146"/>
    </row>
    <row r="494" spans="1:26" ht="15.75" customHeight="1">
      <c r="A494" s="146"/>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row>
    <row r="495" spans="1:26" ht="15.75" customHeight="1">
      <c r="A495" s="146"/>
      <c r="B495" s="146"/>
      <c r="C495" s="146"/>
      <c r="D495" s="146"/>
      <c r="E495" s="146"/>
      <c r="F495" s="146"/>
      <c r="G495" s="146"/>
      <c r="H495" s="146"/>
      <c r="I495" s="146"/>
      <c r="J495" s="146"/>
      <c r="K495" s="146"/>
      <c r="L495" s="146"/>
      <c r="M495" s="146"/>
      <c r="N495" s="146"/>
      <c r="O495" s="146"/>
      <c r="P495" s="146"/>
      <c r="Q495" s="146"/>
      <c r="R495" s="146"/>
      <c r="S495" s="146"/>
      <c r="T495" s="146"/>
      <c r="U495" s="146"/>
      <c r="V495" s="146"/>
      <c r="W495" s="146"/>
      <c r="X495" s="146"/>
      <c r="Y495" s="146"/>
      <c r="Z495" s="146"/>
    </row>
    <row r="496" spans="1:26" ht="15.75" customHeight="1">
      <c r="A496" s="146"/>
      <c r="B496" s="146"/>
      <c r="C496" s="146"/>
      <c r="D496" s="146"/>
      <c r="E496" s="146"/>
      <c r="F496" s="146"/>
      <c r="G496" s="146"/>
      <c r="H496" s="146"/>
      <c r="I496" s="146"/>
      <c r="J496" s="146"/>
      <c r="K496" s="146"/>
      <c r="L496" s="146"/>
      <c r="M496" s="146"/>
      <c r="N496" s="146"/>
      <c r="O496" s="146"/>
      <c r="P496" s="146"/>
      <c r="Q496" s="146"/>
      <c r="R496" s="146"/>
      <c r="S496" s="146"/>
      <c r="T496" s="146"/>
      <c r="U496" s="146"/>
      <c r="V496" s="146"/>
      <c r="W496" s="146"/>
      <c r="X496" s="146"/>
      <c r="Y496" s="146"/>
      <c r="Z496" s="146"/>
    </row>
    <row r="497" spans="1:26" ht="15.75" customHeight="1">
      <c r="A497" s="146"/>
      <c r="B497" s="146"/>
      <c r="C497" s="146"/>
      <c r="D497" s="146"/>
      <c r="E497" s="146"/>
      <c r="F497" s="146"/>
      <c r="G497" s="146"/>
      <c r="H497" s="146"/>
      <c r="I497" s="146"/>
      <c r="J497" s="146"/>
      <c r="K497" s="146"/>
      <c r="L497" s="146"/>
      <c r="M497" s="146"/>
      <c r="N497" s="146"/>
      <c r="O497" s="146"/>
      <c r="P497" s="146"/>
      <c r="Q497" s="146"/>
      <c r="R497" s="146"/>
      <c r="S497" s="146"/>
      <c r="T497" s="146"/>
      <c r="U497" s="146"/>
      <c r="V497" s="146"/>
      <c r="W497" s="146"/>
      <c r="X497" s="146"/>
      <c r="Y497" s="146"/>
      <c r="Z497" s="146"/>
    </row>
    <row r="498" spans="1:26" ht="15.75" customHeight="1">
      <c r="A498" s="146"/>
      <c r="B498" s="146"/>
      <c r="C498" s="146"/>
      <c r="D498" s="146"/>
      <c r="E498" s="146"/>
      <c r="F498" s="146"/>
      <c r="G498" s="146"/>
      <c r="H498" s="146"/>
      <c r="I498" s="146"/>
      <c r="J498" s="146"/>
      <c r="K498" s="146"/>
      <c r="L498" s="146"/>
      <c r="M498" s="146"/>
      <c r="N498" s="146"/>
      <c r="O498" s="146"/>
      <c r="P498" s="146"/>
      <c r="Q498" s="146"/>
      <c r="R498" s="146"/>
      <c r="S498" s="146"/>
      <c r="T498" s="146"/>
      <c r="U498" s="146"/>
      <c r="V498" s="146"/>
      <c r="W498" s="146"/>
      <c r="X498" s="146"/>
      <c r="Y498" s="146"/>
      <c r="Z498" s="146"/>
    </row>
    <row r="499" spans="1:26" ht="15.75" customHeight="1">
      <c r="A499" s="146"/>
      <c r="B499" s="146"/>
      <c r="C499" s="146"/>
      <c r="D499" s="146"/>
      <c r="E499" s="146"/>
      <c r="F499" s="146"/>
      <c r="G499" s="146"/>
      <c r="H499" s="146"/>
      <c r="I499" s="146"/>
      <c r="J499" s="146"/>
      <c r="K499" s="146"/>
      <c r="L499" s="146"/>
      <c r="M499" s="146"/>
      <c r="N499" s="146"/>
      <c r="O499" s="146"/>
      <c r="P499" s="146"/>
      <c r="Q499" s="146"/>
      <c r="R499" s="146"/>
      <c r="S499" s="146"/>
      <c r="T499" s="146"/>
      <c r="U499" s="146"/>
      <c r="V499" s="146"/>
      <c r="W499" s="146"/>
      <c r="X499" s="146"/>
      <c r="Y499" s="146"/>
      <c r="Z499" s="146"/>
    </row>
    <row r="500" spans="1:26" ht="15.75" customHeight="1">
      <c r="A500" s="146"/>
      <c r="B500" s="146"/>
      <c r="C500" s="146"/>
      <c r="D500" s="146"/>
      <c r="E500" s="146"/>
      <c r="F500" s="146"/>
      <c r="G500" s="146"/>
      <c r="H500" s="146"/>
      <c r="I500" s="146"/>
      <c r="J500" s="146"/>
      <c r="K500" s="146"/>
      <c r="L500" s="146"/>
      <c r="M500" s="146"/>
      <c r="N500" s="146"/>
      <c r="O500" s="146"/>
      <c r="P500" s="146"/>
      <c r="Q500" s="146"/>
      <c r="R500" s="146"/>
      <c r="S500" s="146"/>
      <c r="T500" s="146"/>
      <c r="U500" s="146"/>
      <c r="V500" s="146"/>
      <c r="W500" s="146"/>
      <c r="X500" s="146"/>
      <c r="Y500" s="146"/>
      <c r="Z500" s="146"/>
    </row>
    <row r="501" spans="1:26" ht="15.75" customHeight="1">
      <c r="A501" s="146"/>
      <c r="B501" s="146"/>
      <c r="C501" s="146"/>
      <c r="D501" s="146"/>
      <c r="E501" s="146"/>
      <c r="F501" s="146"/>
      <c r="G501" s="146"/>
      <c r="H501" s="146"/>
      <c r="I501" s="146"/>
      <c r="J501" s="146"/>
      <c r="K501" s="146"/>
      <c r="L501" s="146"/>
      <c r="M501" s="146"/>
      <c r="N501" s="146"/>
      <c r="O501" s="146"/>
      <c r="P501" s="146"/>
      <c r="Q501" s="146"/>
      <c r="R501" s="146"/>
      <c r="S501" s="146"/>
      <c r="T501" s="146"/>
      <c r="U501" s="146"/>
      <c r="V501" s="146"/>
      <c r="W501" s="146"/>
      <c r="X501" s="146"/>
      <c r="Y501" s="146"/>
      <c r="Z501" s="146"/>
    </row>
    <row r="502" spans="1:26" ht="15.75" customHeight="1">
      <c r="A502" s="146"/>
      <c r="B502" s="146"/>
      <c r="C502" s="146"/>
      <c r="D502" s="146"/>
      <c r="E502" s="146"/>
      <c r="F502" s="146"/>
      <c r="G502" s="146"/>
      <c r="H502" s="146"/>
      <c r="I502" s="146"/>
      <c r="J502" s="146"/>
      <c r="K502" s="146"/>
      <c r="L502" s="146"/>
      <c r="M502" s="146"/>
      <c r="N502" s="146"/>
      <c r="O502" s="146"/>
      <c r="P502" s="146"/>
      <c r="Q502" s="146"/>
      <c r="R502" s="146"/>
      <c r="S502" s="146"/>
      <c r="T502" s="146"/>
      <c r="U502" s="146"/>
      <c r="V502" s="146"/>
      <c r="W502" s="146"/>
      <c r="X502" s="146"/>
      <c r="Y502" s="146"/>
      <c r="Z502" s="146"/>
    </row>
    <row r="503" spans="1:26" ht="15.75" customHeight="1">
      <c r="A503" s="146"/>
      <c r="B503" s="146"/>
      <c r="C503" s="146"/>
      <c r="D503" s="146"/>
      <c r="E503" s="146"/>
      <c r="F503" s="146"/>
      <c r="G503" s="146"/>
      <c r="H503" s="146"/>
      <c r="I503" s="146"/>
      <c r="J503" s="146"/>
      <c r="K503" s="146"/>
      <c r="L503" s="146"/>
      <c r="M503" s="146"/>
      <c r="N503" s="146"/>
      <c r="O503" s="146"/>
      <c r="P503" s="146"/>
      <c r="Q503" s="146"/>
      <c r="R503" s="146"/>
      <c r="S503" s="146"/>
      <c r="T503" s="146"/>
      <c r="U503" s="146"/>
      <c r="V503" s="146"/>
      <c r="W503" s="146"/>
      <c r="X503" s="146"/>
      <c r="Y503" s="146"/>
      <c r="Z503" s="146"/>
    </row>
    <row r="504" spans="1:26" ht="15.75" customHeight="1">
      <c r="A504" s="146"/>
      <c r="B504" s="146"/>
      <c r="C504" s="146"/>
      <c r="D504" s="146"/>
      <c r="E504" s="146"/>
      <c r="F504" s="146"/>
      <c r="G504" s="146"/>
      <c r="H504" s="146"/>
      <c r="I504" s="146"/>
      <c r="J504" s="146"/>
      <c r="K504" s="146"/>
      <c r="L504" s="146"/>
      <c r="M504" s="146"/>
      <c r="N504" s="146"/>
      <c r="O504" s="146"/>
      <c r="P504" s="146"/>
      <c r="Q504" s="146"/>
      <c r="R504" s="146"/>
      <c r="S504" s="146"/>
      <c r="T504" s="146"/>
      <c r="U504" s="146"/>
      <c r="V504" s="146"/>
      <c r="W504" s="146"/>
      <c r="X504" s="146"/>
      <c r="Y504" s="146"/>
      <c r="Z504" s="146"/>
    </row>
    <row r="505" spans="1:26" ht="15.75" customHeight="1">
      <c r="A505" s="146"/>
      <c r="B505" s="146"/>
      <c r="C505" s="146"/>
      <c r="D505" s="146"/>
      <c r="E505" s="146"/>
      <c r="F505" s="146"/>
      <c r="G505" s="146"/>
      <c r="H505" s="146"/>
      <c r="I505" s="146"/>
      <c r="J505" s="146"/>
      <c r="K505" s="146"/>
      <c r="L505" s="146"/>
      <c r="M505" s="146"/>
      <c r="N505" s="146"/>
      <c r="O505" s="146"/>
      <c r="P505" s="146"/>
      <c r="Q505" s="146"/>
      <c r="R505" s="146"/>
      <c r="S505" s="146"/>
      <c r="T505" s="146"/>
      <c r="U505" s="146"/>
      <c r="V505" s="146"/>
      <c r="W505" s="146"/>
      <c r="X505" s="146"/>
      <c r="Y505" s="146"/>
      <c r="Z505" s="146"/>
    </row>
    <row r="506" spans="1:26" ht="15.75" customHeight="1">
      <c r="A506" s="146"/>
      <c r="B506" s="146"/>
      <c r="C506" s="146"/>
      <c r="D506" s="146"/>
      <c r="E506" s="146"/>
      <c r="F506" s="146"/>
      <c r="G506" s="146"/>
      <c r="H506" s="146"/>
      <c r="I506" s="146"/>
      <c r="J506" s="146"/>
      <c r="K506" s="146"/>
      <c r="L506" s="146"/>
      <c r="M506" s="146"/>
      <c r="N506" s="146"/>
      <c r="O506" s="146"/>
      <c r="P506" s="146"/>
      <c r="Q506" s="146"/>
      <c r="R506" s="146"/>
      <c r="S506" s="146"/>
      <c r="T506" s="146"/>
      <c r="U506" s="146"/>
      <c r="V506" s="146"/>
      <c r="W506" s="146"/>
      <c r="X506" s="146"/>
      <c r="Y506" s="146"/>
      <c r="Z506" s="146"/>
    </row>
    <row r="507" spans="1:26" ht="15.75" customHeight="1">
      <c r="A507" s="146"/>
      <c r="B507" s="146"/>
      <c r="C507" s="146"/>
      <c r="D507" s="146"/>
      <c r="E507" s="146"/>
      <c r="F507" s="146"/>
      <c r="G507" s="146"/>
      <c r="H507" s="146"/>
      <c r="I507" s="146"/>
      <c r="J507" s="146"/>
      <c r="K507" s="146"/>
      <c r="L507" s="146"/>
      <c r="M507" s="146"/>
      <c r="N507" s="146"/>
      <c r="O507" s="146"/>
      <c r="P507" s="146"/>
      <c r="Q507" s="146"/>
      <c r="R507" s="146"/>
      <c r="S507" s="146"/>
      <c r="T507" s="146"/>
      <c r="U507" s="146"/>
      <c r="V507" s="146"/>
      <c r="W507" s="146"/>
      <c r="X507" s="146"/>
      <c r="Y507" s="146"/>
      <c r="Z507" s="146"/>
    </row>
    <row r="508" spans="1:26" ht="15.75" customHeight="1">
      <c r="A508" s="146"/>
      <c r="B508" s="146"/>
      <c r="C508" s="146"/>
      <c r="D508" s="146"/>
      <c r="E508" s="146"/>
      <c r="F508" s="146"/>
      <c r="G508" s="146"/>
      <c r="H508" s="146"/>
      <c r="I508" s="146"/>
      <c r="J508" s="146"/>
      <c r="K508" s="146"/>
      <c r="L508" s="146"/>
      <c r="M508" s="146"/>
      <c r="N508" s="146"/>
      <c r="O508" s="146"/>
      <c r="P508" s="146"/>
      <c r="Q508" s="146"/>
      <c r="R508" s="146"/>
      <c r="S508" s="146"/>
      <c r="T508" s="146"/>
      <c r="U508" s="146"/>
      <c r="V508" s="146"/>
      <c r="W508" s="146"/>
      <c r="X508" s="146"/>
      <c r="Y508" s="146"/>
      <c r="Z508" s="146"/>
    </row>
    <row r="509" spans="1:26" ht="15.75" customHeight="1">
      <c r="A509" s="146"/>
      <c r="B509" s="146"/>
      <c r="C509" s="146"/>
      <c r="D509" s="146"/>
      <c r="E509" s="146"/>
      <c r="F509" s="146"/>
      <c r="G509" s="146"/>
      <c r="H509" s="146"/>
      <c r="I509" s="146"/>
      <c r="J509" s="146"/>
      <c r="K509" s="146"/>
      <c r="L509" s="146"/>
      <c r="M509" s="146"/>
      <c r="N509" s="146"/>
      <c r="O509" s="146"/>
      <c r="P509" s="146"/>
      <c r="Q509" s="146"/>
      <c r="R509" s="146"/>
      <c r="S509" s="146"/>
      <c r="T509" s="146"/>
      <c r="U509" s="146"/>
      <c r="V509" s="146"/>
      <c r="W509" s="146"/>
      <c r="X509" s="146"/>
      <c r="Y509" s="146"/>
      <c r="Z509" s="146"/>
    </row>
    <row r="510" spans="1:26" ht="15.75" customHeight="1">
      <c r="A510" s="146"/>
      <c r="B510" s="146"/>
      <c r="C510" s="146"/>
      <c r="D510" s="146"/>
      <c r="E510" s="146"/>
      <c r="F510" s="146"/>
      <c r="G510" s="146"/>
      <c r="H510" s="146"/>
      <c r="I510" s="146"/>
      <c r="J510" s="146"/>
      <c r="K510" s="146"/>
      <c r="L510" s="146"/>
      <c r="M510" s="146"/>
      <c r="N510" s="146"/>
      <c r="O510" s="146"/>
      <c r="P510" s="146"/>
      <c r="Q510" s="146"/>
      <c r="R510" s="146"/>
      <c r="S510" s="146"/>
      <c r="T510" s="146"/>
      <c r="U510" s="146"/>
      <c r="V510" s="146"/>
      <c r="W510" s="146"/>
      <c r="X510" s="146"/>
      <c r="Y510" s="146"/>
      <c r="Z510" s="146"/>
    </row>
    <row r="511" spans="1:26" ht="15.75" customHeight="1">
      <c r="A511" s="146"/>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row>
    <row r="512" spans="1:26" ht="15.75" customHeight="1">
      <c r="A512" s="146"/>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row>
    <row r="513" spans="1:26" ht="15.75" customHeight="1">
      <c r="A513" s="146"/>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row>
    <row r="514" spans="1:26" ht="15.75" customHeight="1">
      <c r="A514" s="146"/>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row>
    <row r="515" spans="1:26" ht="15.75" customHeight="1">
      <c r="A515" s="146"/>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row>
    <row r="516" spans="1:26" ht="15.75" customHeight="1">
      <c r="A516" s="146"/>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row>
    <row r="517" spans="1:26" ht="15.75" customHeight="1">
      <c r="A517" s="146"/>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row>
    <row r="518" spans="1:26" ht="15.75" customHeight="1">
      <c r="A518" s="146"/>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row>
    <row r="519" spans="1:26" ht="15.75" customHeight="1">
      <c r="A519" s="146"/>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row>
    <row r="520" spans="1:26" ht="15.75" customHeight="1">
      <c r="A520" s="146"/>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row>
    <row r="521" spans="1:26" ht="15.75" customHeight="1">
      <c r="A521" s="146"/>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row>
    <row r="522" spans="1:26" ht="15.75" customHeight="1">
      <c r="A522" s="146"/>
      <c r="B522" s="146"/>
      <c r="C522" s="146"/>
      <c r="D522" s="146"/>
      <c r="E522" s="146"/>
      <c r="F522" s="146"/>
      <c r="G522" s="146"/>
      <c r="H522" s="146"/>
      <c r="I522" s="146"/>
      <c r="J522" s="146"/>
      <c r="K522" s="146"/>
      <c r="L522" s="146"/>
      <c r="M522" s="146"/>
      <c r="N522" s="146"/>
      <c r="O522" s="146"/>
      <c r="P522" s="146"/>
      <c r="Q522" s="146"/>
      <c r="R522" s="146"/>
      <c r="S522" s="146"/>
      <c r="T522" s="146"/>
      <c r="U522" s="146"/>
      <c r="V522" s="146"/>
      <c r="W522" s="146"/>
      <c r="X522" s="146"/>
      <c r="Y522" s="146"/>
      <c r="Z522" s="146"/>
    </row>
    <row r="523" spans="1:26" ht="15.75" customHeight="1">
      <c r="A523" s="146"/>
      <c r="B523" s="146"/>
      <c r="C523" s="146"/>
      <c r="D523" s="146"/>
      <c r="E523" s="146"/>
      <c r="F523" s="146"/>
      <c r="G523" s="146"/>
      <c r="H523" s="146"/>
      <c r="I523" s="146"/>
      <c r="J523" s="146"/>
      <c r="K523" s="146"/>
      <c r="L523" s="146"/>
      <c r="M523" s="146"/>
      <c r="N523" s="146"/>
      <c r="O523" s="146"/>
      <c r="P523" s="146"/>
      <c r="Q523" s="146"/>
      <c r="R523" s="146"/>
      <c r="S523" s="146"/>
      <c r="T523" s="146"/>
      <c r="U523" s="146"/>
      <c r="V523" s="146"/>
      <c r="W523" s="146"/>
      <c r="X523" s="146"/>
      <c r="Y523" s="146"/>
      <c r="Z523" s="146"/>
    </row>
    <row r="524" spans="1:26" ht="15.75" customHeight="1">
      <c r="A524" s="146"/>
      <c r="B524" s="146"/>
      <c r="C524" s="146"/>
      <c r="D524" s="146"/>
      <c r="E524" s="146"/>
      <c r="F524" s="146"/>
      <c r="G524" s="146"/>
      <c r="H524" s="146"/>
      <c r="I524" s="146"/>
      <c r="J524" s="146"/>
      <c r="K524" s="146"/>
      <c r="L524" s="146"/>
      <c r="M524" s="146"/>
      <c r="N524" s="146"/>
      <c r="O524" s="146"/>
      <c r="P524" s="146"/>
      <c r="Q524" s="146"/>
      <c r="R524" s="146"/>
      <c r="S524" s="146"/>
      <c r="T524" s="146"/>
      <c r="U524" s="146"/>
      <c r="V524" s="146"/>
      <c r="W524" s="146"/>
      <c r="X524" s="146"/>
      <c r="Y524" s="146"/>
      <c r="Z524" s="146"/>
    </row>
    <row r="525" spans="1:26" ht="15.75" customHeight="1">
      <c r="A525" s="146"/>
      <c r="B525" s="146"/>
      <c r="C525" s="146"/>
      <c r="D525" s="146"/>
      <c r="E525" s="146"/>
      <c r="F525" s="146"/>
      <c r="G525" s="146"/>
      <c r="H525" s="146"/>
      <c r="I525" s="146"/>
      <c r="J525" s="146"/>
      <c r="K525" s="146"/>
      <c r="L525" s="146"/>
      <c r="M525" s="146"/>
      <c r="N525" s="146"/>
      <c r="O525" s="146"/>
      <c r="P525" s="146"/>
      <c r="Q525" s="146"/>
      <c r="R525" s="146"/>
      <c r="S525" s="146"/>
      <c r="T525" s="146"/>
      <c r="U525" s="146"/>
      <c r="V525" s="146"/>
      <c r="W525" s="146"/>
      <c r="X525" s="146"/>
      <c r="Y525" s="146"/>
      <c r="Z525" s="146"/>
    </row>
    <row r="526" spans="1:26" ht="15.75" customHeight="1">
      <c r="A526" s="146"/>
      <c r="B526" s="146"/>
      <c r="C526" s="146"/>
      <c r="D526" s="146"/>
      <c r="E526" s="146"/>
      <c r="F526" s="146"/>
      <c r="G526" s="146"/>
      <c r="H526" s="146"/>
      <c r="I526" s="146"/>
      <c r="J526" s="146"/>
      <c r="K526" s="146"/>
      <c r="L526" s="146"/>
      <c r="M526" s="146"/>
      <c r="N526" s="146"/>
      <c r="O526" s="146"/>
      <c r="P526" s="146"/>
      <c r="Q526" s="146"/>
      <c r="R526" s="146"/>
      <c r="S526" s="146"/>
      <c r="T526" s="146"/>
      <c r="U526" s="146"/>
      <c r="V526" s="146"/>
      <c r="W526" s="146"/>
      <c r="X526" s="146"/>
      <c r="Y526" s="146"/>
      <c r="Z526" s="146"/>
    </row>
    <row r="527" spans="1:26" ht="15.75" customHeight="1">
      <c r="A527" s="146"/>
      <c r="B527" s="146"/>
      <c r="C527" s="146"/>
      <c r="D527" s="146"/>
      <c r="E527" s="146"/>
      <c r="F527" s="146"/>
      <c r="G527" s="146"/>
      <c r="H527" s="146"/>
      <c r="I527" s="146"/>
      <c r="J527" s="146"/>
      <c r="K527" s="146"/>
      <c r="L527" s="146"/>
      <c r="M527" s="146"/>
      <c r="N527" s="146"/>
      <c r="O527" s="146"/>
      <c r="P527" s="146"/>
      <c r="Q527" s="146"/>
      <c r="R527" s="146"/>
      <c r="S527" s="146"/>
      <c r="T527" s="146"/>
      <c r="U527" s="146"/>
      <c r="V527" s="146"/>
      <c r="W527" s="146"/>
      <c r="X527" s="146"/>
      <c r="Y527" s="146"/>
      <c r="Z527" s="146"/>
    </row>
    <row r="528" spans="1:26" ht="15.75" customHeight="1">
      <c r="A528" s="146"/>
      <c r="B528" s="146"/>
      <c r="C528" s="146"/>
      <c r="D528" s="146"/>
      <c r="E528" s="146"/>
      <c r="F528" s="146"/>
      <c r="G528" s="146"/>
      <c r="H528" s="146"/>
      <c r="I528" s="146"/>
      <c r="J528" s="146"/>
      <c r="K528" s="146"/>
      <c r="L528" s="146"/>
      <c r="M528" s="146"/>
      <c r="N528" s="146"/>
      <c r="O528" s="146"/>
      <c r="P528" s="146"/>
      <c r="Q528" s="146"/>
      <c r="R528" s="146"/>
      <c r="S528" s="146"/>
      <c r="T528" s="146"/>
      <c r="U528" s="146"/>
      <c r="V528" s="146"/>
      <c r="W528" s="146"/>
      <c r="X528" s="146"/>
      <c r="Y528" s="146"/>
      <c r="Z528" s="146"/>
    </row>
    <row r="529" spans="1:26" ht="15.75" customHeight="1">
      <c r="A529" s="146"/>
      <c r="B529" s="146"/>
      <c r="C529" s="146"/>
      <c r="D529" s="146"/>
      <c r="E529" s="146"/>
      <c r="F529" s="146"/>
      <c r="G529" s="146"/>
      <c r="H529" s="146"/>
      <c r="I529" s="146"/>
      <c r="J529" s="146"/>
      <c r="K529" s="146"/>
      <c r="L529" s="146"/>
      <c r="M529" s="146"/>
      <c r="N529" s="146"/>
      <c r="O529" s="146"/>
      <c r="P529" s="146"/>
      <c r="Q529" s="146"/>
      <c r="R529" s="146"/>
      <c r="S529" s="146"/>
      <c r="T529" s="146"/>
      <c r="U529" s="146"/>
      <c r="V529" s="146"/>
      <c r="W529" s="146"/>
      <c r="X529" s="146"/>
      <c r="Y529" s="146"/>
      <c r="Z529" s="146"/>
    </row>
    <row r="530" spans="1:26" ht="15.75" customHeight="1">
      <c r="A530" s="146"/>
      <c r="B530" s="146"/>
      <c r="C530" s="146"/>
      <c r="D530" s="146"/>
      <c r="E530" s="146"/>
      <c r="F530" s="146"/>
      <c r="G530" s="146"/>
      <c r="H530" s="146"/>
      <c r="I530" s="146"/>
      <c r="J530" s="146"/>
      <c r="K530" s="146"/>
      <c r="L530" s="146"/>
      <c r="M530" s="146"/>
      <c r="N530" s="146"/>
      <c r="O530" s="146"/>
      <c r="P530" s="146"/>
      <c r="Q530" s="146"/>
      <c r="R530" s="146"/>
      <c r="S530" s="146"/>
      <c r="T530" s="146"/>
      <c r="U530" s="146"/>
      <c r="V530" s="146"/>
      <c r="W530" s="146"/>
      <c r="X530" s="146"/>
      <c r="Y530" s="146"/>
      <c r="Z530" s="146"/>
    </row>
    <row r="531" spans="1:26" ht="15.75" customHeight="1">
      <c r="A531" s="146"/>
      <c r="B531" s="146"/>
      <c r="C531" s="146"/>
      <c r="D531" s="146"/>
      <c r="E531" s="146"/>
      <c r="F531" s="146"/>
      <c r="G531" s="146"/>
      <c r="H531" s="146"/>
      <c r="I531" s="146"/>
      <c r="J531" s="146"/>
      <c r="K531" s="146"/>
      <c r="L531" s="146"/>
      <c r="M531" s="146"/>
      <c r="N531" s="146"/>
      <c r="O531" s="146"/>
      <c r="P531" s="146"/>
      <c r="Q531" s="146"/>
      <c r="R531" s="146"/>
      <c r="S531" s="146"/>
      <c r="T531" s="146"/>
      <c r="U531" s="146"/>
      <c r="V531" s="146"/>
      <c r="W531" s="146"/>
      <c r="X531" s="146"/>
      <c r="Y531" s="146"/>
      <c r="Z531" s="146"/>
    </row>
    <row r="532" spans="1:26" ht="15.75" customHeight="1">
      <c r="A532" s="146"/>
      <c r="B532" s="146"/>
      <c r="C532" s="146"/>
      <c r="D532" s="146"/>
      <c r="E532" s="146"/>
      <c r="F532" s="146"/>
      <c r="G532" s="146"/>
      <c r="H532" s="146"/>
      <c r="I532" s="146"/>
      <c r="J532" s="146"/>
      <c r="K532" s="146"/>
      <c r="L532" s="146"/>
      <c r="M532" s="146"/>
      <c r="N532" s="146"/>
      <c r="O532" s="146"/>
      <c r="P532" s="146"/>
      <c r="Q532" s="146"/>
      <c r="R532" s="146"/>
      <c r="S532" s="146"/>
      <c r="T532" s="146"/>
      <c r="U532" s="146"/>
      <c r="V532" s="146"/>
      <c r="W532" s="146"/>
      <c r="X532" s="146"/>
      <c r="Y532" s="146"/>
      <c r="Z532" s="146"/>
    </row>
    <row r="533" spans="1:26" ht="15.75" customHeight="1">
      <c r="A533" s="146"/>
      <c r="B533" s="146"/>
      <c r="C533" s="146"/>
      <c r="D533" s="146"/>
      <c r="E533" s="146"/>
      <c r="F533" s="146"/>
      <c r="G533" s="146"/>
      <c r="H533" s="146"/>
      <c r="I533" s="146"/>
      <c r="J533" s="146"/>
      <c r="K533" s="146"/>
      <c r="L533" s="146"/>
      <c r="M533" s="146"/>
      <c r="N533" s="146"/>
      <c r="O533" s="146"/>
      <c r="P533" s="146"/>
      <c r="Q533" s="146"/>
      <c r="R533" s="146"/>
      <c r="S533" s="146"/>
      <c r="T533" s="146"/>
      <c r="U533" s="146"/>
      <c r="V533" s="146"/>
      <c r="W533" s="146"/>
      <c r="X533" s="146"/>
      <c r="Y533" s="146"/>
      <c r="Z533" s="146"/>
    </row>
    <row r="534" spans="1:26" ht="15.75" customHeight="1">
      <c r="A534" s="146"/>
      <c r="B534" s="146"/>
      <c r="C534" s="146"/>
      <c r="D534" s="146"/>
      <c r="E534" s="146"/>
      <c r="F534" s="146"/>
      <c r="G534" s="146"/>
      <c r="H534" s="146"/>
      <c r="I534" s="146"/>
      <c r="J534" s="146"/>
      <c r="K534" s="146"/>
      <c r="L534" s="146"/>
      <c r="M534" s="146"/>
      <c r="N534" s="146"/>
      <c r="O534" s="146"/>
      <c r="P534" s="146"/>
      <c r="Q534" s="146"/>
      <c r="R534" s="146"/>
      <c r="S534" s="146"/>
      <c r="T534" s="146"/>
      <c r="U534" s="146"/>
      <c r="V534" s="146"/>
      <c r="W534" s="146"/>
      <c r="X534" s="146"/>
      <c r="Y534" s="146"/>
      <c r="Z534" s="146"/>
    </row>
    <row r="535" spans="1:26" ht="15.75" customHeight="1">
      <c r="A535" s="146"/>
      <c r="B535" s="146"/>
      <c r="C535" s="146"/>
      <c r="D535" s="146"/>
      <c r="E535" s="146"/>
      <c r="F535" s="146"/>
      <c r="G535" s="146"/>
      <c r="H535" s="146"/>
      <c r="I535" s="146"/>
      <c r="J535" s="146"/>
      <c r="K535" s="146"/>
      <c r="L535" s="146"/>
      <c r="M535" s="146"/>
      <c r="N535" s="146"/>
      <c r="O535" s="146"/>
      <c r="P535" s="146"/>
      <c r="Q535" s="146"/>
      <c r="R535" s="146"/>
      <c r="S535" s="146"/>
      <c r="T535" s="146"/>
      <c r="U535" s="146"/>
      <c r="V535" s="146"/>
      <c r="W535" s="146"/>
      <c r="X535" s="146"/>
      <c r="Y535" s="146"/>
      <c r="Z535" s="146"/>
    </row>
    <row r="536" spans="1:26" ht="15.75" customHeight="1">
      <c r="A536" s="146"/>
      <c r="B536" s="146"/>
      <c r="C536" s="146"/>
      <c r="D536" s="146"/>
      <c r="E536" s="146"/>
      <c r="F536" s="146"/>
      <c r="G536" s="146"/>
      <c r="H536" s="146"/>
      <c r="I536" s="146"/>
      <c r="J536" s="146"/>
      <c r="K536" s="146"/>
      <c r="L536" s="146"/>
      <c r="M536" s="146"/>
      <c r="N536" s="146"/>
      <c r="O536" s="146"/>
      <c r="P536" s="146"/>
      <c r="Q536" s="146"/>
      <c r="R536" s="146"/>
      <c r="S536" s="146"/>
      <c r="T536" s="146"/>
      <c r="U536" s="146"/>
      <c r="V536" s="146"/>
      <c r="W536" s="146"/>
      <c r="X536" s="146"/>
      <c r="Y536" s="146"/>
      <c r="Z536" s="146"/>
    </row>
    <row r="537" spans="1:26" ht="15.75" customHeight="1">
      <c r="A537" s="146"/>
      <c r="B537" s="146"/>
      <c r="C537" s="146"/>
      <c r="D537" s="146"/>
      <c r="E537" s="146"/>
      <c r="F537" s="146"/>
      <c r="G537" s="146"/>
      <c r="H537" s="146"/>
      <c r="I537" s="146"/>
      <c r="J537" s="146"/>
      <c r="K537" s="146"/>
      <c r="L537" s="146"/>
      <c r="M537" s="146"/>
      <c r="N537" s="146"/>
      <c r="O537" s="146"/>
      <c r="P537" s="146"/>
      <c r="Q537" s="146"/>
      <c r="R537" s="146"/>
      <c r="S537" s="146"/>
      <c r="T537" s="146"/>
      <c r="U537" s="146"/>
      <c r="V537" s="146"/>
      <c r="W537" s="146"/>
      <c r="X537" s="146"/>
      <c r="Y537" s="146"/>
      <c r="Z537" s="146"/>
    </row>
    <row r="538" spans="1:26" ht="15.75" customHeight="1">
      <c r="A538" s="146"/>
      <c r="B538" s="146"/>
      <c r="C538" s="146"/>
      <c r="D538" s="146"/>
      <c r="E538" s="146"/>
      <c r="F538" s="146"/>
      <c r="G538" s="146"/>
      <c r="H538" s="146"/>
      <c r="I538" s="146"/>
      <c r="J538" s="146"/>
      <c r="K538" s="146"/>
      <c r="L538" s="146"/>
      <c r="M538" s="146"/>
      <c r="N538" s="146"/>
      <c r="O538" s="146"/>
      <c r="P538" s="146"/>
      <c r="Q538" s="146"/>
      <c r="R538" s="146"/>
      <c r="S538" s="146"/>
      <c r="T538" s="146"/>
      <c r="U538" s="146"/>
      <c r="V538" s="146"/>
      <c r="W538" s="146"/>
      <c r="X538" s="146"/>
      <c r="Y538" s="146"/>
      <c r="Z538" s="146"/>
    </row>
    <row r="539" spans="1:26" ht="15.75" customHeight="1">
      <c r="A539" s="146"/>
      <c r="B539" s="146"/>
      <c r="C539" s="146"/>
      <c r="D539" s="146"/>
      <c r="E539" s="146"/>
      <c r="F539" s="146"/>
      <c r="G539" s="146"/>
      <c r="H539" s="146"/>
      <c r="I539" s="146"/>
      <c r="J539" s="146"/>
      <c r="K539" s="146"/>
      <c r="L539" s="146"/>
      <c r="M539" s="146"/>
      <c r="N539" s="146"/>
      <c r="O539" s="146"/>
      <c r="P539" s="146"/>
      <c r="Q539" s="146"/>
      <c r="R539" s="146"/>
      <c r="S539" s="146"/>
      <c r="T539" s="146"/>
      <c r="U539" s="146"/>
      <c r="V539" s="146"/>
      <c r="W539" s="146"/>
      <c r="X539" s="146"/>
      <c r="Y539" s="146"/>
      <c r="Z539" s="146"/>
    </row>
    <row r="540" spans="1:26" ht="15.75" customHeight="1">
      <c r="A540" s="146"/>
      <c r="B540" s="146"/>
      <c r="C540" s="146"/>
      <c r="D540" s="146"/>
      <c r="E540" s="146"/>
      <c r="F540" s="146"/>
      <c r="G540" s="146"/>
      <c r="H540" s="146"/>
      <c r="I540" s="146"/>
      <c r="J540" s="146"/>
      <c r="K540" s="146"/>
      <c r="L540" s="146"/>
      <c r="M540" s="146"/>
      <c r="N540" s="146"/>
      <c r="O540" s="146"/>
      <c r="P540" s="146"/>
      <c r="Q540" s="146"/>
      <c r="R540" s="146"/>
      <c r="S540" s="146"/>
      <c r="T540" s="146"/>
      <c r="U540" s="146"/>
      <c r="V540" s="146"/>
      <c r="W540" s="146"/>
      <c r="X540" s="146"/>
      <c r="Y540" s="146"/>
      <c r="Z540" s="146"/>
    </row>
    <row r="541" spans="1:26" ht="15.75" customHeight="1">
      <c r="A541" s="146"/>
      <c r="B541" s="146"/>
      <c r="C541" s="146"/>
      <c r="D541" s="146"/>
      <c r="E541" s="146"/>
      <c r="F541" s="146"/>
      <c r="G541" s="146"/>
      <c r="H541" s="146"/>
      <c r="I541" s="146"/>
      <c r="J541" s="146"/>
      <c r="K541" s="146"/>
      <c r="L541" s="146"/>
      <c r="M541" s="146"/>
      <c r="N541" s="146"/>
      <c r="O541" s="146"/>
      <c r="P541" s="146"/>
      <c r="Q541" s="146"/>
      <c r="R541" s="146"/>
      <c r="S541" s="146"/>
      <c r="T541" s="146"/>
      <c r="U541" s="146"/>
      <c r="V541" s="146"/>
      <c r="W541" s="146"/>
      <c r="X541" s="146"/>
      <c r="Y541" s="146"/>
      <c r="Z541" s="146"/>
    </row>
    <row r="542" spans="1:26" ht="15.75" customHeight="1">
      <c r="A542" s="146"/>
      <c r="B542" s="146"/>
      <c r="C542" s="146"/>
      <c r="D542" s="146"/>
      <c r="E542" s="146"/>
      <c r="F542" s="146"/>
      <c r="G542" s="146"/>
      <c r="H542" s="146"/>
      <c r="I542" s="146"/>
      <c r="J542" s="146"/>
      <c r="K542" s="146"/>
      <c r="L542" s="146"/>
      <c r="M542" s="146"/>
      <c r="N542" s="146"/>
      <c r="O542" s="146"/>
      <c r="P542" s="146"/>
      <c r="Q542" s="146"/>
      <c r="R542" s="146"/>
      <c r="S542" s="146"/>
      <c r="T542" s="146"/>
      <c r="U542" s="146"/>
      <c r="V542" s="146"/>
      <c r="W542" s="146"/>
      <c r="X542" s="146"/>
      <c r="Y542" s="146"/>
      <c r="Z542" s="146"/>
    </row>
    <row r="543" spans="1:26" ht="15.75" customHeight="1">
      <c r="A543" s="146"/>
      <c r="B543" s="146"/>
      <c r="C543" s="146"/>
      <c r="D543" s="146"/>
      <c r="E543" s="146"/>
      <c r="F543" s="146"/>
      <c r="G543" s="146"/>
      <c r="H543" s="146"/>
      <c r="I543" s="146"/>
      <c r="J543" s="146"/>
      <c r="K543" s="146"/>
      <c r="L543" s="146"/>
      <c r="M543" s="146"/>
      <c r="N543" s="146"/>
      <c r="O543" s="146"/>
      <c r="P543" s="146"/>
      <c r="Q543" s="146"/>
      <c r="R543" s="146"/>
      <c r="S543" s="146"/>
      <c r="T543" s="146"/>
      <c r="U543" s="146"/>
      <c r="V543" s="146"/>
      <c r="W543" s="146"/>
      <c r="X543" s="146"/>
      <c r="Y543" s="146"/>
      <c r="Z543" s="146"/>
    </row>
    <row r="544" spans="1:26" ht="15.75" customHeight="1">
      <c r="A544" s="146"/>
      <c r="B544" s="146"/>
      <c r="C544" s="146"/>
      <c r="D544" s="146"/>
      <c r="E544" s="146"/>
      <c r="F544" s="146"/>
      <c r="G544" s="146"/>
      <c r="H544" s="146"/>
      <c r="I544" s="146"/>
      <c r="J544" s="146"/>
      <c r="K544" s="146"/>
      <c r="L544" s="146"/>
      <c r="M544" s="146"/>
      <c r="N544" s="146"/>
      <c r="O544" s="146"/>
      <c r="P544" s="146"/>
      <c r="Q544" s="146"/>
      <c r="R544" s="146"/>
      <c r="S544" s="146"/>
      <c r="T544" s="146"/>
      <c r="U544" s="146"/>
      <c r="V544" s="146"/>
      <c r="W544" s="146"/>
      <c r="X544" s="146"/>
      <c r="Y544" s="146"/>
      <c r="Z544" s="146"/>
    </row>
    <row r="545" spans="1:26" ht="15.75" customHeight="1">
      <c r="A545" s="146"/>
      <c r="B545" s="146"/>
      <c r="C545" s="146"/>
      <c r="D545" s="146"/>
      <c r="E545" s="146"/>
      <c r="F545" s="146"/>
      <c r="G545" s="146"/>
      <c r="H545" s="146"/>
      <c r="I545" s="146"/>
      <c r="J545" s="146"/>
      <c r="K545" s="146"/>
      <c r="L545" s="146"/>
      <c r="M545" s="146"/>
      <c r="N545" s="146"/>
      <c r="O545" s="146"/>
      <c r="P545" s="146"/>
      <c r="Q545" s="146"/>
      <c r="R545" s="146"/>
      <c r="S545" s="146"/>
      <c r="T545" s="146"/>
      <c r="U545" s="146"/>
      <c r="V545" s="146"/>
      <c r="W545" s="146"/>
      <c r="X545" s="146"/>
      <c r="Y545" s="146"/>
      <c r="Z545" s="146"/>
    </row>
    <row r="546" spans="1:26" ht="15.75" customHeight="1">
      <c r="A546" s="146"/>
      <c r="B546" s="146"/>
      <c r="C546" s="146"/>
      <c r="D546" s="146"/>
      <c r="E546" s="146"/>
      <c r="F546" s="146"/>
      <c r="G546" s="146"/>
      <c r="H546" s="146"/>
      <c r="I546" s="146"/>
      <c r="J546" s="146"/>
      <c r="K546" s="146"/>
      <c r="L546" s="146"/>
      <c r="M546" s="146"/>
      <c r="N546" s="146"/>
      <c r="O546" s="146"/>
      <c r="P546" s="146"/>
      <c r="Q546" s="146"/>
      <c r="R546" s="146"/>
      <c r="S546" s="146"/>
      <c r="T546" s="146"/>
      <c r="U546" s="146"/>
      <c r="V546" s="146"/>
      <c r="W546" s="146"/>
      <c r="X546" s="146"/>
      <c r="Y546" s="146"/>
      <c r="Z546" s="146"/>
    </row>
    <row r="547" spans="1:26" ht="15.75" customHeight="1">
      <c r="A547" s="146"/>
      <c r="B547" s="146"/>
      <c r="C547" s="146"/>
      <c r="D547" s="146"/>
      <c r="E547" s="146"/>
      <c r="F547" s="146"/>
      <c r="G547" s="146"/>
      <c r="H547" s="146"/>
      <c r="I547" s="146"/>
      <c r="J547" s="146"/>
      <c r="K547" s="146"/>
      <c r="L547" s="146"/>
      <c r="M547" s="146"/>
      <c r="N547" s="146"/>
      <c r="O547" s="146"/>
      <c r="P547" s="146"/>
      <c r="Q547" s="146"/>
      <c r="R547" s="146"/>
      <c r="S547" s="146"/>
      <c r="T547" s="146"/>
      <c r="U547" s="146"/>
      <c r="V547" s="146"/>
      <c r="W547" s="146"/>
      <c r="X547" s="146"/>
      <c r="Y547" s="146"/>
      <c r="Z547" s="146"/>
    </row>
    <row r="548" spans="1:26" ht="15.75" customHeight="1">
      <c r="A548" s="146"/>
      <c r="B548" s="146"/>
      <c r="C548" s="146"/>
      <c r="D548" s="146"/>
      <c r="E548" s="146"/>
      <c r="F548" s="146"/>
      <c r="G548" s="146"/>
      <c r="H548" s="146"/>
      <c r="I548" s="146"/>
      <c r="J548" s="146"/>
      <c r="K548" s="146"/>
      <c r="L548" s="146"/>
      <c r="M548" s="146"/>
      <c r="N548" s="146"/>
      <c r="O548" s="146"/>
      <c r="P548" s="146"/>
      <c r="Q548" s="146"/>
      <c r="R548" s="146"/>
      <c r="S548" s="146"/>
      <c r="T548" s="146"/>
      <c r="U548" s="146"/>
      <c r="V548" s="146"/>
      <c r="W548" s="146"/>
      <c r="X548" s="146"/>
      <c r="Y548" s="146"/>
      <c r="Z548" s="146"/>
    </row>
    <row r="549" spans="1:26" ht="15.75" customHeight="1">
      <c r="A549" s="146"/>
      <c r="B549" s="146"/>
      <c r="C549" s="146"/>
      <c r="D549" s="146"/>
      <c r="E549" s="146"/>
      <c r="F549" s="146"/>
      <c r="G549" s="146"/>
      <c r="H549" s="146"/>
      <c r="I549" s="146"/>
      <c r="J549" s="146"/>
      <c r="K549" s="146"/>
      <c r="L549" s="146"/>
      <c r="M549" s="146"/>
      <c r="N549" s="146"/>
      <c r="O549" s="146"/>
      <c r="P549" s="146"/>
      <c r="Q549" s="146"/>
      <c r="R549" s="146"/>
      <c r="S549" s="146"/>
      <c r="T549" s="146"/>
      <c r="U549" s="146"/>
      <c r="V549" s="146"/>
      <c r="W549" s="146"/>
      <c r="X549" s="146"/>
      <c r="Y549" s="146"/>
      <c r="Z549" s="146"/>
    </row>
    <row r="550" spans="1:26" ht="15.75" customHeight="1">
      <c r="A550" s="146"/>
      <c r="B550" s="146"/>
      <c r="C550" s="146"/>
      <c r="D550" s="146"/>
      <c r="E550" s="146"/>
      <c r="F550" s="146"/>
      <c r="G550" s="146"/>
      <c r="H550" s="146"/>
      <c r="I550" s="146"/>
      <c r="J550" s="146"/>
      <c r="K550" s="146"/>
      <c r="L550" s="146"/>
      <c r="M550" s="146"/>
      <c r="N550" s="146"/>
      <c r="O550" s="146"/>
      <c r="P550" s="146"/>
      <c r="Q550" s="146"/>
      <c r="R550" s="146"/>
      <c r="S550" s="146"/>
      <c r="T550" s="146"/>
      <c r="U550" s="146"/>
      <c r="V550" s="146"/>
      <c r="W550" s="146"/>
      <c r="X550" s="146"/>
      <c r="Y550" s="146"/>
      <c r="Z550" s="146"/>
    </row>
    <row r="551" spans="1:26" ht="15.75" customHeight="1">
      <c r="A551" s="146"/>
      <c r="B551" s="146"/>
      <c r="C551" s="146"/>
      <c r="D551" s="146"/>
      <c r="E551" s="146"/>
      <c r="F551" s="146"/>
      <c r="G551" s="146"/>
      <c r="H551" s="146"/>
      <c r="I551" s="146"/>
      <c r="J551" s="146"/>
      <c r="K551" s="146"/>
      <c r="L551" s="146"/>
      <c r="M551" s="146"/>
      <c r="N551" s="146"/>
      <c r="O551" s="146"/>
      <c r="P551" s="146"/>
      <c r="Q551" s="146"/>
      <c r="R551" s="146"/>
      <c r="S551" s="146"/>
      <c r="T551" s="146"/>
      <c r="U551" s="146"/>
      <c r="V551" s="146"/>
      <c r="W551" s="146"/>
      <c r="X551" s="146"/>
      <c r="Y551" s="146"/>
      <c r="Z551" s="146"/>
    </row>
    <row r="552" spans="1:26" ht="15.75" customHeight="1">
      <c r="A552" s="146"/>
      <c r="B552" s="146"/>
      <c r="C552" s="146"/>
      <c r="D552" s="146"/>
      <c r="E552" s="146"/>
      <c r="F552" s="146"/>
      <c r="G552" s="146"/>
      <c r="H552" s="146"/>
      <c r="I552" s="146"/>
      <c r="J552" s="146"/>
      <c r="K552" s="146"/>
      <c r="L552" s="146"/>
      <c r="M552" s="146"/>
      <c r="N552" s="146"/>
      <c r="O552" s="146"/>
      <c r="P552" s="146"/>
      <c r="Q552" s="146"/>
      <c r="R552" s="146"/>
      <c r="S552" s="146"/>
      <c r="T552" s="146"/>
      <c r="U552" s="146"/>
      <c r="V552" s="146"/>
      <c r="W552" s="146"/>
      <c r="X552" s="146"/>
      <c r="Y552" s="146"/>
      <c r="Z552" s="146"/>
    </row>
    <row r="553" spans="1:26" ht="15.75" customHeight="1">
      <c r="A553" s="146"/>
      <c r="B553" s="146"/>
      <c r="C553" s="146"/>
      <c r="D553" s="146"/>
      <c r="E553" s="146"/>
      <c r="F553" s="146"/>
      <c r="G553" s="146"/>
      <c r="H553" s="146"/>
      <c r="I553" s="146"/>
      <c r="J553" s="146"/>
      <c r="K553" s="146"/>
      <c r="L553" s="146"/>
      <c r="M553" s="146"/>
      <c r="N553" s="146"/>
      <c r="O553" s="146"/>
      <c r="P553" s="146"/>
      <c r="Q553" s="146"/>
      <c r="R553" s="146"/>
      <c r="S553" s="146"/>
      <c r="T553" s="146"/>
      <c r="U553" s="146"/>
      <c r="V553" s="146"/>
      <c r="W553" s="146"/>
      <c r="X553" s="146"/>
      <c r="Y553" s="146"/>
      <c r="Z553" s="146"/>
    </row>
    <row r="554" spans="1:26" ht="15.75" customHeight="1">
      <c r="A554" s="146"/>
      <c r="B554" s="146"/>
      <c r="C554" s="146"/>
      <c r="D554" s="146"/>
      <c r="E554" s="146"/>
      <c r="F554" s="146"/>
      <c r="G554" s="146"/>
      <c r="H554" s="146"/>
      <c r="I554" s="146"/>
      <c r="J554" s="146"/>
      <c r="K554" s="146"/>
      <c r="L554" s="146"/>
      <c r="M554" s="146"/>
      <c r="N554" s="146"/>
      <c r="O554" s="146"/>
      <c r="P554" s="146"/>
      <c r="Q554" s="146"/>
      <c r="R554" s="146"/>
      <c r="S554" s="146"/>
      <c r="T554" s="146"/>
      <c r="U554" s="146"/>
      <c r="V554" s="146"/>
      <c r="W554" s="146"/>
      <c r="X554" s="146"/>
      <c r="Y554" s="146"/>
      <c r="Z554" s="146"/>
    </row>
    <row r="555" spans="1:26" ht="15.75" customHeight="1">
      <c r="A555" s="146"/>
      <c r="B555" s="146"/>
      <c r="C555" s="146"/>
      <c r="D555" s="146"/>
      <c r="E555" s="146"/>
      <c r="F555" s="146"/>
      <c r="G555" s="146"/>
      <c r="H555" s="146"/>
      <c r="I555" s="146"/>
      <c r="J555" s="146"/>
      <c r="K555" s="146"/>
      <c r="L555" s="146"/>
      <c r="M555" s="146"/>
      <c r="N555" s="146"/>
      <c r="O555" s="146"/>
      <c r="P555" s="146"/>
      <c r="Q555" s="146"/>
      <c r="R555" s="146"/>
      <c r="S555" s="146"/>
      <c r="T555" s="146"/>
      <c r="U555" s="146"/>
      <c r="V555" s="146"/>
      <c r="W555" s="146"/>
      <c r="X555" s="146"/>
      <c r="Y555" s="146"/>
      <c r="Z555" s="146"/>
    </row>
    <row r="556" spans="1:26" ht="15.75" customHeight="1">
      <c r="A556" s="146"/>
      <c r="B556" s="146"/>
      <c r="C556" s="146"/>
      <c r="D556" s="146"/>
      <c r="E556" s="146"/>
      <c r="F556" s="146"/>
      <c r="G556" s="146"/>
      <c r="H556" s="146"/>
      <c r="I556" s="146"/>
      <c r="J556" s="146"/>
      <c r="K556" s="146"/>
      <c r="L556" s="146"/>
      <c r="M556" s="146"/>
      <c r="N556" s="146"/>
      <c r="O556" s="146"/>
      <c r="P556" s="146"/>
      <c r="Q556" s="146"/>
      <c r="R556" s="146"/>
      <c r="S556" s="146"/>
      <c r="T556" s="146"/>
      <c r="U556" s="146"/>
      <c r="V556" s="146"/>
      <c r="W556" s="146"/>
      <c r="X556" s="146"/>
      <c r="Y556" s="146"/>
      <c r="Z556" s="146"/>
    </row>
    <row r="557" spans="1:26" ht="15.75" customHeight="1">
      <c r="A557" s="146"/>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146"/>
      <c r="X557" s="146"/>
      <c r="Y557" s="146"/>
      <c r="Z557" s="146"/>
    </row>
    <row r="558" spans="1:26" ht="15.75" customHeight="1">
      <c r="A558" s="146"/>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146"/>
      <c r="X558" s="146"/>
      <c r="Y558" s="146"/>
      <c r="Z558" s="146"/>
    </row>
    <row r="559" spans="1:26" ht="15.75" customHeight="1">
      <c r="A559" s="146"/>
      <c r="B559" s="146"/>
      <c r="C559" s="146"/>
      <c r="D559" s="146"/>
      <c r="E559" s="146"/>
      <c r="F559" s="146"/>
      <c r="G559" s="146"/>
      <c r="H559" s="146"/>
      <c r="I559" s="146"/>
      <c r="J559" s="146"/>
      <c r="K559" s="146"/>
      <c r="L559" s="146"/>
      <c r="M559" s="146"/>
      <c r="N559" s="146"/>
      <c r="O559" s="146"/>
      <c r="P559" s="146"/>
      <c r="Q559" s="146"/>
      <c r="R559" s="146"/>
      <c r="S559" s="146"/>
      <c r="T559" s="146"/>
      <c r="U559" s="146"/>
      <c r="V559" s="146"/>
      <c r="W559" s="146"/>
      <c r="X559" s="146"/>
      <c r="Y559" s="146"/>
      <c r="Z559" s="146"/>
    </row>
    <row r="560" spans="1:26" ht="15.75" customHeight="1">
      <c r="A560" s="146"/>
      <c r="B560" s="146"/>
      <c r="C560" s="146"/>
      <c r="D560" s="146"/>
      <c r="E560" s="146"/>
      <c r="F560" s="146"/>
      <c r="G560" s="146"/>
      <c r="H560" s="146"/>
      <c r="I560" s="146"/>
      <c r="J560" s="146"/>
      <c r="K560" s="146"/>
      <c r="L560" s="146"/>
      <c r="M560" s="146"/>
      <c r="N560" s="146"/>
      <c r="O560" s="146"/>
      <c r="P560" s="146"/>
      <c r="Q560" s="146"/>
      <c r="R560" s="146"/>
      <c r="S560" s="146"/>
      <c r="T560" s="146"/>
      <c r="U560" s="146"/>
      <c r="V560" s="146"/>
      <c r="W560" s="146"/>
      <c r="X560" s="146"/>
      <c r="Y560" s="146"/>
      <c r="Z560" s="146"/>
    </row>
    <row r="561" spans="1:26" ht="15.75" customHeight="1">
      <c r="A561" s="146"/>
      <c r="B561" s="146"/>
      <c r="C561" s="146"/>
      <c r="D561" s="146"/>
      <c r="E561" s="146"/>
      <c r="F561" s="146"/>
      <c r="G561" s="146"/>
      <c r="H561" s="146"/>
      <c r="I561" s="146"/>
      <c r="J561" s="146"/>
      <c r="K561" s="146"/>
      <c r="L561" s="146"/>
      <c r="M561" s="146"/>
      <c r="N561" s="146"/>
      <c r="O561" s="146"/>
      <c r="P561" s="146"/>
      <c r="Q561" s="146"/>
      <c r="R561" s="146"/>
      <c r="S561" s="146"/>
      <c r="T561" s="146"/>
      <c r="U561" s="146"/>
      <c r="V561" s="146"/>
      <c r="W561" s="146"/>
      <c r="X561" s="146"/>
      <c r="Y561" s="146"/>
      <c r="Z561" s="146"/>
    </row>
    <row r="562" spans="1:26" ht="15.75" customHeight="1">
      <c r="A562" s="146"/>
      <c r="B562" s="146"/>
      <c r="C562" s="146"/>
      <c r="D562" s="146"/>
      <c r="E562" s="146"/>
      <c r="F562" s="146"/>
      <c r="G562" s="146"/>
      <c r="H562" s="146"/>
      <c r="I562" s="146"/>
      <c r="J562" s="146"/>
      <c r="K562" s="146"/>
      <c r="L562" s="146"/>
      <c r="M562" s="146"/>
      <c r="N562" s="146"/>
      <c r="O562" s="146"/>
      <c r="P562" s="146"/>
      <c r="Q562" s="146"/>
      <c r="R562" s="146"/>
      <c r="S562" s="146"/>
      <c r="T562" s="146"/>
      <c r="U562" s="146"/>
      <c r="V562" s="146"/>
      <c r="W562" s="146"/>
      <c r="X562" s="146"/>
      <c r="Y562" s="146"/>
      <c r="Z562" s="146"/>
    </row>
    <row r="563" spans="1:26" ht="15.75" customHeight="1">
      <c r="A563" s="146"/>
      <c r="B563" s="146"/>
      <c r="C563" s="146"/>
      <c r="D563" s="146"/>
      <c r="E563" s="146"/>
      <c r="F563" s="146"/>
      <c r="G563" s="146"/>
      <c r="H563" s="146"/>
      <c r="I563" s="146"/>
      <c r="J563" s="146"/>
      <c r="K563" s="146"/>
      <c r="L563" s="146"/>
      <c r="M563" s="146"/>
      <c r="N563" s="146"/>
      <c r="O563" s="146"/>
      <c r="P563" s="146"/>
      <c r="Q563" s="146"/>
      <c r="R563" s="146"/>
      <c r="S563" s="146"/>
      <c r="T563" s="146"/>
      <c r="U563" s="146"/>
      <c r="V563" s="146"/>
      <c r="W563" s="146"/>
      <c r="X563" s="146"/>
      <c r="Y563" s="146"/>
      <c r="Z563" s="146"/>
    </row>
    <row r="564" spans="1:26" ht="15.75" customHeight="1">
      <c r="A564" s="146"/>
      <c r="B564" s="146"/>
      <c r="C564" s="146"/>
      <c r="D564" s="146"/>
      <c r="E564" s="146"/>
      <c r="F564" s="146"/>
      <c r="G564" s="146"/>
      <c r="H564" s="146"/>
      <c r="I564" s="146"/>
      <c r="J564" s="146"/>
      <c r="K564" s="146"/>
      <c r="L564" s="146"/>
      <c r="M564" s="146"/>
      <c r="N564" s="146"/>
      <c r="O564" s="146"/>
      <c r="P564" s="146"/>
      <c r="Q564" s="146"/>
      <c r="R564" s="146"/>
      <c r="S564" s="146"/>
      <c r="T564" s="146"/>
      <c r="U564" s="146"/>
      <c r="V564" s="146"/>
      <c r="W564" s="146"/>
      <c r="X564" s="146"/>
      <c r="Y564" s="146"/>
      <c r="Z564" s="146"/>
    </row>
    <row r="565" spans="1:26" ht="15.75" customHeight="1">
      <c r="A565" s="146"/>
      <c r="B565" s="146"/>
      <c r="C565" s="146"/>
      <c r="D565" s="146"/>
      <c r="E565" s="146"/>
      <c r="F565" s="146"/>
      <c r="G565" s="146"/>
      <c r="H565" s="146"/>
      <c r="I565" s="146"/>
      <c r="J565" s="146"/>
      <c r="K565" s="146"/>
      <c r="L565" s="146"/>
      <c r="M565" s="146"/>
      <c r="N565" s="146"/>
      <c r="O565" s="146"/>
      <c r="P565" s="146"/>
      <c r="Q565" s="146"/>
      <c r="R565" s="146"/>
      <c r="S565" s="146"/>
      <c r="T565" s="146"/>
      <c r="U565" s="146"/>
      <c r="V565" s="146"/>
      <c r="W565" s="146"/>
      <c r="X565" s="146"/>
      <c r="Y565" s="146"/>
      <c r="Z565" s="146"/>
    </row>
    <row r="566" spans="1:26" ht="15.75" customHeight="1">
      <c r="A566" s="146"/>
      <c r="B566" s="146"/>
      <c r="C566" s="146"/>
      <c r="D566" s="146"/>
      <c r="E566" s="146"/>
      <c r="F566" s="146"/>
      <c r="G566" s="146"/>
      <c r="H566" s="146"/>
      <c r="I566" s="146"/>
      <c r="J566" s="146"/>
      <c r="K566" s="146"/>
      <c r="L566" s="146"/>
      <c r="M566" s="146"/>
      <c r="N566" s="146"/>
      <c r="O566" s="146"/>
      <c r="P566" s="146"/>
      <c r="Q566" s="146"/>
      <c r="R566" s="146"/>
      <c r="S566" s="146"/>
      <c r="T566" s="146"/>
      <c r="U566" s="146"/>
      <c r="V566" s="146"/>
      <c r="W566" s="146"/>
      <c r="X566" s="146"/>
      <c r="Y566" s="146"/>
      <c r="Z566" s="146"/>
    </row>
    <row r="567" spans="1:26" ht="15.75" customHeight="1">
      <c r="A567" s="146"/>
      <c r="B567" s="146"/>
      <c r="C567" s="146"/>
      <c r="D567" s="146"/>
      <c r="E567" s="146"/>
      <c r="F567" s="146"/>
      <c r="G567" s="146"/>
      <c r="H567" s="146"/>
      <c r="I567" s="146"/>
      <c r="J567" s="146"/>
      <c r="K567" s="146"/>
      <c r="L567" s="146"/>
      <c r="M567" s="146"/>
      <c r="N567" s="146"/>
      <c r="O567" s="146"/>
      <c r="P567" s="146"/>
      <c r="Q567" s="146"/>
      <c r="R567" s="146"/>
      <c r="S567" s="146"/>
      <c r="T567" s="146"/>
      <c r="U567" s="146"/>
      <c r="V567" s="146"/>
      <c r="W567" s="146"/>
      <c r="X567" s="146"/>
      <c r="Y567" s="146"/>
      <c r="Z567" s="146"/>
    </row>
    <row r="568" spans="1:26" ht="15.75" customHeight="1">
      <c r="A568" s="146"/>
      <c r="B568" s="146"/>
      <c r="C568" s="146"/>
      <c r="D568" s="146"/>
      <c r="E568" s="146"/>
      <c r="F568" s="146"/>
      <c r="G568" s="146"/>
      <c r="H568" s="146"/>
      <c r="I568" s="146"/>
      <c r="J568" s="146"/>
      <c r="K568" s="146"/>
      <c r="L568" s="146"/>
      <c r="M568" s="146"/>
      <c r="N568" s="146"/>
      <c r="O568" s="146"/>
      <c r="P568" s="146"/>
      <c r="Q568" s="146"/>
      <c r="R568" s="146"/>
      <c r="S568" s="146"/>
      <c r="T568" s="146"/>
      <c r="U568" s="146"/>
      <c r="V568" s="146"/>
      <c r="W568" s="146"/>
      <c r="X568" s="146"/>
      <c r="Y568" s="146"/>
      <c r="Z568" s="146"/>
    </row>
    <row r="569" spans="1:26" ht="15.75" customHeight="1">
      <c r="A569" s="146"/>
      <c r="B569" s="146"/>
      <c r="C569" s="146"/>
      <c r="D569" s="146"/>
      <c r="E569" s="146"/>
      <c r="F569" s="146"/>
      <c r="G569" s="146"/>
      <c r="H569" s="146"/>
      <c r="I569" s="146"/>
      <c r="J569" s="146"/>
      <c r="K569" s="146"/>
      <c r="L569" s="146"/>
      <c r="M569" s="146"/>
      <c r="N569" s="146"/>
      <c r="O569" s="146"/>
      <c r="P569" s="146"/>
      <c r="Q569" s="146"/>
      <c r="R569" s="146"/>
      <c r="S569" s="146"/>
      <c r="T569" s="146"/>
      <c r="U569" s="146"/>
      <c r="V569" s="146"/>
      <c r="W569" s="146"/>
      <c r="X569" s="146"/>
      <c r="Y569" s="146"/>
      <c r="Z569" s="146"/>
    </row>
    <row r="570" spans="1:26" ht="15.75" customHeight="1">
      <c r="A570" s="146"/>
      <c r="B570" s="146"/>
      <c r="C570" s="146"/>
      <c r="D570" s="146"/>
      <c r="E570" s="146"/>
      <c r="F570" s="146"/>
      <c r="G570" s="146"/>
      <c r="H570" s="146"/>
      <c r="I570" s="146"/>
      <c r="J570" s="146"/>
      <c r="K570" s="146"/>
      <c r="L570" s="146"/>
      <c r="M570" s="146"/>
      <c r="N570" s="146"/>
      <c r="O570" s="146"/>
      <c r="P570" s="146"/>
      <c r="Q570" s="146"/>
      <c r="R570" s="146"/>
      <c r="S570" s="146"/>
      <c r="T570" s="146"/>
      <c r="U570" s="146"/>
      <c r="V570" s="146"/>
      <c r="W570" s="146"/>
      <c r="X570" s="146"/>
      <c r="Y570" s="146"/>
      <c r="Z570" s="146"/>
    </row>
    <row r="571" spans="1:26" ht="15.75" customHeight="1">
      <c r="A571" s="146"/>
      <c r="B571" s="146"/>
      <c r="C571" s="146"/>
      <c r="D571" s="146"/>
      <c r="E571" s="146"/>
      <c r="F571" s="146"/>
      <c r="G571" s="146"/>
      <c r="H571" s="146"/>
      <c r="I571" s="146"/>
      <c r="J571" s="146"/>
      <c r="K571" s="146"/>
      <c r="L571" s="146"/>
      <c r="M571" s="146"/>
      <c r="N571" s="146"/>
      <c r="O571" s="146"/>
      <c r="P571" s="146"/>
      <c r="Q571" s="146"/>
      <c r="R571" s="146"/>
      <c r="S571" s="146"/>
      <c r="T571" s="146"/>
      <c r="U571" s="146"/>
      <c r="V571" s="146"/>
      <c r="W571" s="146"/>
      <c r="X571" s="146"/>
      <c r="Y571" s="146"/>
      <c r="Z571" s="146"/>
    </row>
    <row r="572" spans="1:26" ht="15.75" customHeight="1">
      <c r="A572" s="146"/>
      <c r="B572" s="146"/>
      <c r="C572" s="146"/>
      <c r="D572" s="146"/>
      <c r="E572" s="146"/>
      <c r="F572" s="146"/>
      <c r="G572" s="146"/>
      <c r="H572" s="146"/>
      <c r="I572" s="146"/>
      <c r="J572" s="146"/>
      <c r="K572" s="146"/>
      <c r="L572" s="146"/>
      <c r="M572" s="146"/>
      <c r="N572" s="146"/>
      <c r="O572" s="146"/>
      <c r="P572" s="146"/>
      <c r="Q572" s="146"/>
      <c r="R572" s="146"/>
      <c r="S572" s="146"/>
      <c r="T572" s="146"/>
      <c r="U572" s="146"/>
      <c r="V572" s="146"/>
      <c r="W572" s="146"/>
      <c r="X572" s="146"/>
      <c r="Y572" s="146"/>
      <c r="Z572" s="146"/>
    </row>
    <row r="573" spans="1:26" ht="15.75" customHeight="1">
      <c r="A573" s="146"/>
      <c r="B573" s="146"/>
      <c r="C573" s="146"/>
      <c r="D573" s="146"/>
      <c r="E573" s="146"/>
      <c r="F573" s="146"/>
      <c r="G573" s="146"/>
      <c r="H573" s="146"/>
      <c r="I573" s="146"/>
      <c r="J573" s="146"/>
      <c r="K573" s="146"/>
      <c r="L573" s="146"/>
      <c r="M573" s="146"/>
      <c r="N573" s="146"/>
      <c r="O573" s="146"/>
      <c r="P573" s="146"/>
      <c r="Q573" s="146"/>
      <c r="R573" s="146"/>
      <c r="S573" s="146"/>
      <c r="T573" s="146"/>
      <c r="U573" s="146"/>
      <c r="V573" s="146"/>
      <c r="W573" s="146"/>
      <c r="X573" s="146"/>
      <c r="Y573" s="146"/>
      <c r="Z573" s="146"/>
    </row>
    <row r="574" spans="1:26" ht="15.75" customHeight="1">
      <c r="A574" s="146"/>
      <c r="B574" s="146"/>
      <c r="C574" s="146"/>
      <c r="D574" s="146"/>
      <c r="E574" s="146"/>
      <c r="F574" s="146"/>
      <c r="G574" s="146"/>
      <c r="H574" s="146"/>
      <c r="I574" s="146"/>
      <c r="J574" s="146"/>
      <c r="K574" s="146"/>
      <c r="L574" s="146"/>
      <c r="M574" s="146"/>
      <c r="N574" s="146"/>
      <c r="O574" s="146"/>
      <c r="P574" s="146"/>
      <c r="Q574" s="146"/>
      <c r="R574" s="146"/>
      <c r="S574" s="146"/>
      <c r="T574" s="146"/>
      <c r="U574" s="146"/>
      <c r="V574" s="146"/>
      <c r="W574" s="146"/>
      <c r="X574" s="146"/>
      <c r="Y574" s="146"/>
      <c r="Z574" s="146"/>
    </row>
    <row r="575" spans="1:26" ht="15.75" customHeight="1">
      <c r="A575" s="146"/>
      <c r="B575" s="146"/>
      <c r="C575" s="146"/>
      <c r="D575" s="146"/>
      <c r="E575" s="146"/>
      <c r="F575" s="146"/>
      <c r="G575" s="146"/>
      <c r="H575" s="146"/>
      <c r="I575" s="146"/>
      <c r="J575" s="146"/>
      <c r="K575" s="146"/>
      <c r="L575" s="146"/>
      <c r="M575" s="146"/>
      <c r="N575" s="146"/>
      <c r="O575" s="146"/>
      <c r="P575" s="146"/>
      <c r="Q575" s="146"/>
      <c r="R575" s="146"/>
      <c r="S575" s="146"/>
      <c r="T575" s="146"/>
      <c r="U575" s="146"/>
      <c r="V575" s="146"/>
      <c r="W575" s="146"/>
      <c r="X575" s="146"/>
      <c r="Y575" s="146"/>
      <c r="Z575" s="146"/>
    </row>
    <row r="576" spans="1:26" ht="15.75" customHeight="1">
      <c r="A576" s="146"/>
      <c r="B576" s="146"/>
      <c r="C576" s="146"/>
      <c r="D576" s="146"/>
      <c r="E576" s="146"/>
      <c r="F576" s="146"/>
      <c r="G576" s="146"/>
      <c r="H576" s="146"/>
      <c r="I576" s="146"/>
      <c r="J576" s="146"/>
      <c r="K576" s="146"/>
      <c r="L576" s="146"/>
      <c r="M576" s="146"/>
      <c r="N576" s="146"/>
      <c r="O576" s="146"/>
      <c r="P576" s="146"/>
      <c r="Q576" s="146"/>
      <c r="R576" s="146"/>
      <c r="S576" s="146"/>
      <c r="T576" s="146"/>
      <c r="U576" s="146"/>
      <c r="V576" s="146"/>
      <c r="W576" s="146"/>
      <c r="X576" s="146"/>
      <c r="Y576" s="146"/>
      <c r="Z576" s="146"/>
    </row>
    <row r="577" spans="1:26" ht="15.75" customHeight="1">
      <c r="A577" s="146"/>
      <c r="B577" s="146"/>
      <c r="C577" s="146"/>
      <c r="D577" s="146"/>
      <c r="E577" s="146"/>
      <c r="F577" s="146"/>
      <c r="G577" s="146"/>
      <c r="H577" s="146"/>
      <c r="I577" s="146"/>
      <c r="J577" s="146"/>
      <c r="K577" s="146"/>
      <c r="L577" s="146"/>
      <c r="M577" s="146"/>
      <c r="N577" s="146"/>
      <c r="O577" s="146"/>
      <c r="P577" s="146"/>
      <c r="Q577" s="146"/>
      <c r="R577" s="146"/>
      <c r="S577" s="146"/>
      <c r="T577" s="146"/>
      <c r="U577" s="146"/>
      <c r="V577" s="146"/>
      <c r="W577" s="146"/>
      <c r="X577" s="146"/>
      <c r="Y577" s="146"/>
      <c r="Z577" s="146"/>
    </row>
    <row r="578" spans="1:26" ht="15.75" customHeight="1">
      <c r="A578" s="146"/>
      <c r="B578" s="146"/>
      <c r="C578" s="146"/>
      <c r="D578" s="146"/>
      <c r="E578" s="146"/>
      <c r="F578" s="146"/>
      <c r="G578" s="146"/>
      <c r="H578" s="146"/>
      <c r="I578" s="146"/>
      <c r="J578" s="146"/>
      <c r="K578" s="146"/>
      <c r="L578" s="146"/>
      <c r="M578" s="146"/>
      <c r="N578" s="146"/>
      <c r="O578" s="146"/>
      <c r="P578" s="146"/>
      <c r="Q578" s="146"/>
      <c r="R578" s="146"/>
      <c r="S578" s="146"/>
      <c r="T578" s="146"/>
      <c r="U578" s="146"/>
      <c r="V578" s="146"/>
      <c r="W578" s="146"/>
      <c r="X578" s="146"/>
      <c r="Y578" s="146"/>
      <c r="Z578" s="146"/>
    </row>
    <row r="579" spans="1:26" ht="15.75" customHeight="1">
      <c r="A579" s="146"/>
      <c r="B579" s="146"/>
      <c r="C579" s="146"/>
      <c r="D579" s="146"/>
      <c r="E579" s="146"/>
      <c r="F579" s="146"/>
      <c r="G579" s="146"/>
      <c r="H579" s="146"/>
      <c r="I579" s="146"/>
      <c r="J579" s="146"/>
      <c r="K579" s="146"/>
      <c r="L579" s="146"/>
      <c r="M579" s="146"/>
      <c r="N579" s="146"/>
      <c r="O579" s="146"/>
      <c r="P579" s="146"/>
      <c r="Q579" s="146"/>
      <c r="R579" s="146"/>
      <c r="S579" s="146"/>
      <c r="T579" s="146"/>
      <c r="U579" s="146"/>
      <c r="V579" s="146"/>
      <c r="W579" s="146"/>
      <c r="X579" s="146"/>
      <c r="Y579" s="146"/>
      <c r="Z579" s="146"/>
    </row>
    <row r="580" spans="1:26" ht="15.75" customHeight="1">
      <c r="A580" s="146"/>
      <c r="B580" s="146"/>
      <c r="C580" s="146"/>
      <c r="D580" s="146"/>
      <c r="E580" s="146"/>
      <c r="F580" s="146"/>
      <c r="G580" s="146"/>
      <c r="H580" s="146"/>
      <c r="I580" s="146"/>
      <c r="J580" s="146"/>
      <c r="K580" s="146"/>
      <c r="L580" s="146"/>
      <c r="M580" s="146"/>
      <c r="N580" s="146"/>
      <c r="O580" s="146"/>
      <c r="P580" s="146"/>
      <c r="Q580" s="146"/>
      <c r="R580" s="146"/>
      <c r="S580" s="146"/>
      <c r="T580" s="146"/>
      <c r="U580" s="146"/>
      <c r="V580" s="146"/>
      <c r="W580" s="146"/>
      <c r="X580" s="146"/>
      <c r="Y580" s="146"/>
      <c r="Z580" s="146"/>
    </row>
    <row r="581" spans="1:26" ht="15.75" customHeight="1">
      <c r="A581" s="146"/>
      <c r="B581" s="146"/>
      <c r="C581" s="146"/>
      <c r="D581" s="146"/>
      <c r="E581" s="146"/>
      <c r="F581" s="146"/>
      <c r="G581" s="146"/>
      <c r="H581" s="146"/>
      <c r="I581" s="146"/>
      <c r="J581" s="146"/>
      <c r="K581" s="146"/>
      <c r="L581" s="146"/>
      <c r="M581" s="146"/>
      <c r="N581" s="146"/>
      <c r="O581" s="146"/>
      <c r="P581" s="146"/>
      <c r="Q581" s="146"/>
      <c r="R581" s="146"/>
      <c r="S581" s="146"/>
      <c r="T581" s="146"/>
      <c r="U581" s="146"/>
      <c r="V581" s="146"/>
      <c r="W581" s="146"/>
      <c r="X581" s="146"/>
      <c r="Y581" s="146"/>
      <c r="Z581" s="146"/>
    </row>
    <row r="582" spans="1:26" ht="15.75" customHeight="1">
      <c r="A582" s="146"/>
      <c r="B582" s="146"/>
      <c r="C582" s="146"/>
      <c r="D582" s="146"/>
      <c r="E582" s="146"/>
      <c r="F582" s="146"/>
      <c r="G582" s="146"/>
      <c r="H582" s="146"/>
      <c r="I582" s="146"/>
      <c r="J582" s="146"/>
      <c r="K582" s="146"/>
      <c r="L582" s="146"/>
      <c r="M582" s="146"/>
      <c r="N582" s="146"/>
      <c r="O582" s="146"/>
      <c r="P582" s="146"/>
      <c r="Q582" s="146"/>
      <c r="R582" s="146"/>
      <c r="S582" s="146"/>
      <c r="T582" s="146"/>
      <c r="U582" s="146"/>
      <c r="V582" s="146"/>
      <c r="W582" s="146"/>
      <c r="X582" s="146"/>
      <c r="Y582" s="146"/>
      <c r="Z582" s="146"/>
    </row>
    <row r="583" spans="1:26" ht="15.75" customHeight="1">
      <c r="A583" s="146"/>
      <c r="B583" s="146"/>
      <c r="C583" s="146"/>
      <c r="D583" s="146"/>
      <c r="E583" s="146"/>
      <c r="F583" s="146"/>
      <c r="G583" s="146"/>
      <c r="H583" s="146"/>
      <c r="I583" s="146"/>
      <c r="J583" s="146"/>
      <c r="K583" s="146"/>
      <c r="L583" s="146"/>
      <c r="M583" s="146"/>
      <c r="N583" s="146"/>
      <c r="O583" s="146"/>
      <c r="P583" s="146"/>
      <c r="Q583" s="146"/>
      <c r="R583" s="146"/>
      <c r="S583" s="146"/>
      <c r="T583" s="146"/>
      <c r="U583" s="146"/>
      <c r="V583" s="146"/>
      <c r="W583" s="146"/>
      <c r="X583" s="146"/>
      <c r="Y583" s="146"/>
      <c r="Z583" s="146"/>
    </row>
    <row r="584" spans="1:26" ht="15.75" customHeight="1">
      <c r="A584" s="146"/>
      <c r="B584" s="146"/>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row>
    <row r="585" spans="1:26" ht="15.75" customHeight="1">
      <c r="A585" s="146"/>
      <c r="B585" s="146"/>
      <c r="C585" s="146"/>
      <c r="D585" s="146"/>
      <c r="E585" s="146"/>
      <c r="F585" s="146"/>
      <c r="G585" s="146"/>
      <c r="H585" s="146"/>
      <c r="I585" s="146"/>
      <c r="J585" s="146"/>
      <c r="K585" s="146"/>
      <c r="L585" s="146"/>
      <c r="M585" s="146"/>
      <c r="N585" s="146"/>
      <c r="O585" s="146"/>
      <c r="P585" s="146"/>
      <c r="Q585" s="146"/>
      <c r="R585" s="146"/>
      <c r="S585" s="146"/>
      <c r="T585" s="146"/>
      <c r="U585" s="146"/>
      <c r="V585" s="146"/>
      <c r="W585" s="146"/>
      <c r="X585" s="146"/>
      <c r="Y585" s="146"/>
      <c r="Z585" s="146"/>
    </row>
    <row r="586" spans="1:26" ht="15.75" customHeight="1">
      <c r="A586" s="146"/>
      <c r="B586" s="146"/>
      <c r="C586" s="146"/>
      <c r="D586" s="146"/>
      <c r="E586" s="146"/>
      <c r="F586" s="146"/>
      <c r="G586" s="146"/>
      <c r="H586" s="146"/>
      <c r="I586" s="146"/>
      <c r="J586" s="146"/>
      <c r="K586" s="146"/>
      <c r="L586" s="146"/>
      <c r="M586" s="146"/>
      <c r="N586" s="146"/>
      <c r="O586" s="146"/>
      <c r="P586" s="146"/>
      <c r="Q586" s="146"/>
      <c r="R586" s="146"/>
      <c r="S586" s="146"/>
      <c r="T586" s="146"/>
      <c r="U586" s="146"/>
      <c r="V586" s="146"/>
      <c r="W586" s="146"/>
      <c r="X586" s="146"/>
      <c r="Y586" s="146"/>
      <c r="Z586" s="146"/>
    </row>
    <row r="587" spans="1:26" ht="15.75" customHeight="1">
      <c r="A587" s="146"/>
      <c r="B587" s="146"/>
      <c r="C587" s="146"/>
      <c r="D587" s="146"/>
      <c r="E587" s="146"/>
      <c r="F587" s="146"/>
      <c r="G587" s="146"/>
      <c r="H587" s="146"/>
      <c r="I587" s="146"/>
      <c r="J587" s="146"/>
      <c r="K587" s="146"/>
      <c r="L587" s="146"/>
      <c r="M587" s="146"/>
      <c r="N587" s="146"/>
      <c r="O587" s="146"/>
      <c r="P587" s="146"/>
      <c r="Q587" s="146"/>
      <c r="R587" s="146"/>
      <c r="S587" s="146"/>
      <c r="T587" s="146"/>
      <c r="U587" s="146"/>
      <c r="V587" s="146"/>
      <c r="W587" s="146"/>
      <c r="X587" s="146"/>
      <c r="Y587" s="146"/>
      <c r="Z587" s="146"/>
    </row>
    <row r="588" spans="1:26" ht="15.75" customHeight="1">
      <c r="A588" s="146"/>
      <c r="B588" s="146"/>
      <c r="C588" s="146"/>
      <c r="D588" s="146"/>
      <c r="E588" s="146"/>
      <c r="F588" s="146"/>
      <c r="G588" s="146"/>
      <c r="H588" s="146"/>
      <c r="I588" s="146"/>
      <c r="J588" s="146"/>
      <c r="K588" s="146"/>
      <c r="L588" s="146"/>
      <c r="M588" s="146"/>
      <c r="N588" s="146"/>
      <c r="O588" s="146"/>
      <c r="P588" s="146"/>
      <c r="Q588" s="146"/>
      <c r="R588" s="146"/>
      <c r="S588" s="146"/>
      <c r="T588" s="146"/>
      <c r="U588" s="146"/>
      <c r="V588" s="146"/>
      <c r="W588" s="146"/>
      <c r="X588" s="146"/>
      <c r="Y588" s="146"/>
      <c r="Z588" s="146"/>
    </row>
    <row r="589" spans="1:26" ht="15.75" customHeight="1">
      <c r="A589" s="146"/>
      <c r="B589" s="146"/>
      <c r="C589" s="146"/>
      <c r="D589" s="146"/>
      <c r="E589" s="146"/>
      <c r="F589" s="146"/>
      <c r="G589" s="146"/>
      <c r="H589" s="146"/>
      <c r="I589" s="146"/>
      <c r="J589" s="146"/>
      <c r="K589" s="146"/>
      <c r="L589" s="146"/>
      <c r="M589" s="146"/>
      <c r="N589" s="146"/>
      <c r="O589" s="146"/>
      <c r="P589" s="146"/>
      <c r="Q589" s="146"/>
      <c r="R589" s="146"/>
      <c r="S589" s="146"/>
      <c r="T589" s="146"/>
      <c r="U589" s="146"/>
      <c r="V589" s="146"/>
      <c r="W589" s="146"/>
      <c r="X589" s="146"/>
      <c r="Y589" s="146"/>
      <c r="Z589" s="146"/>
    </row>
    <row r="590" spans="1:26" ht="15.75" customHeight="1">
      <c r="A590" s="146"/>
      <c r="B590" s="146"/>
      <c r="C590" s="146"/>
      <c r="D590" s="146"/>
      <c r="E590" s="146"/>
      <c r="F590" s="146"/>
      <c r="G590" s="146"/>
      <c r="H590" s="146"/>
      <c r="I590" s="146"/>
      <c r="J590" s="146"/>
      <c r="K590" s="146"/>
      <c r="L590" s="146"/>
      <c r="M590" s="146"/>
      <c r="N590" s="146"/>
      <c r="O590" s="146"/>
      <c r="P590" s="146"/>
      <c r="Q590" s="146"/>
      <c r="R590" s="146"/>
      <c r="S590" s="146"/>
      <c r="T590" s="146"/>
      <c r="U590" s="146"/>
      <c r="V590" s="146"/>
      <c r="W590" s="146"/>
      <c r="X590" s="146"/>
      <c r="Y590" s="146"/>
      <c r="Z590" s="146"/>
    </row>
    <row r="591" spans="1:26" ht="15.75" customHeight="1">
      <c r="A591" s="146"/>
      <c r="B591" s="146"/>
      <c r="C591" s="146"/>
      <c r="D591" s="146"/>
      <c r="E591" s="146"/>
      <c r="F591" s="146"/>
      <c r="G591" s="146"/>
      <c r="H591" s="146"/>
      <c r="I591" s="146"/>
      <c r="J591" s="146"/>
      <c r="K591" s="146"/>
      <c r="L591" s="146"/>
      <c r="M591" s="146"/>
      <c r="N591" s="146"/>
      <c r="O591" s="146"/>
      <c r="P591" s="146"/>
      <c r="Q591" s="146"/>
      <c r="R591" s="146"/>
      <c r="S591" s="146"/>
      <c r="T591" s="146"/>
      <c r="U591" s="146"/>
      <c r="V591" s="146"/>
      <c r="W591" s="146"/>
      <c r="X591" s="146"/>
      <c r="Y591" s="146"/>
      <c r="Z591" s="146"/>
    </row>
    <row r="592" spans="1:26" ht="15.75" customHeight="1">
      <c r="A592" s="146"/>
      <c r="B592" s="146"/>
      <c r="C592" s="146"/>
      <c r="D592" s="146"/>
      <c r="E592" s="146"/>
      <c r="F592" s="146"/>
      <c r="G592" s="146"/>
      <c r="H592" s="146"/>
      <c r="I592" s="146"/>
      <c r="J592" s="146"/>
      <c r="K592" s="146"/>
      <c r="L592" s="146"/>
      <c r="M592" s="146"/>
      <c r="N592" s="146"/>
      <c r="O592" s="146"/>
      <c r="P592" s="146"/>
      <c r="Q592" s="146"/>
      <c r="R592" s="146"/>
      <c r="S592" s="146"/>
      <c r="T592" s="146"/>
      <c r="U592" s="146"/>
      <c r="V592" s="146"/>
      <c r="W592" s="146"/>
      <c r="X592" s="146"/>
      <c r="Y592" s="146"/>
      <c r="Z592" s="146"/>
    </row>
    <row r="593" spans="1:26" ht="15.75" customHeight="1">
      <c r="A593" s="146"/>
      <c r="B593" s="146"/>
      <c r="C593" s="146"/>
      <c r="D593" s="146"/>
      <c r="E593" s="146"/>
      <c r="F593" s="146"/>
      <c r="G593" s="146"/>
      <c r="H593" s="146"/>
      <c r="I593" s="146"/>
      <c r="J593" s="146"/>
      <c r="K593" s="146"/>
      <c r="L593" s="146"/>
      <c r="M593" s="146"/>
      <c r="N593" s="146"/>
      <c r="O593" s="146"/>
      <c r="P593" s="146"/>
      <c r="Q593" s="146"/>
      <c r="R593" s="146"/>
      <c r="S593" s="146"/>
      <c r="T593" s="146"/>
      <c r="U593" s="146"/>
      <c r="V593" s="146"/>
      <c r="W593" s="146"/>
      <c r="X593" s="146"/>
      <c r="Y593" s="146"/>
      <c r="Z593" s="146"/>
    </row>
    <row r="594" spans="1:26" ht="15.75" customHeight="1">
      <c r="A594" s="146"/>
      <c r="B594" s="146"/>
      <c r="C594" s="146"/>
      <c r="D594" s="146"/>
      <c r="E594" s="146"/>
      <c r="F594" s="146"/>
      <c r="G594" s="146"/>
      <c r="H594" s="146"/>
      <c r="I594" s="146"/>
      <c r="J594" s="146"/>
      <c r="K594" s="146"/>
      <c r="L594" s="146"/>
      <c r="M594" s="146"/>
      <c r="N594" s="146"/>
      <c r="O594" s="146"/>
      <c r="P594" s="146"/>
      <c r="Q594" s="146"/>
      <c r="R594" s="146"/>
      <c r="S594" s="146"/>
      <c r="T594" s="146"/>
      <c r="U594" s="146"/>
      <c r="V594" s="146"/>
      <c r="W594" s="146"/>
      <c r="X594" s="146"/>
      <c r="Y594" s="146"/>
      <c r="Z594" s="146"/>
    </row>
    <row r="595" spans="1:26" ht="15.75" customHeight="1">
      <c r="A595" s="146"/>
      <c r="B595" s="146"/>
      <c r="C595" s="146"/>
      <c r="D595" s="146"/>
      <c r="E595" s="146"/>
      <c r="F595" s="146"/>
      <c r="G595" s="146"/>
      <c r="H595" s="146"/>
      <c r="I595" s="146"/>
      <c r="J595" s="146"/>
      <c r="K595" s="146"/>
      <c r="L595" s="146"/>
      <c r="M595" s="146"/>
      <c r="N595" s="146"/>
      <c r="O595" s="146"/>
      <c r="P595" s="146"/>
      <c r="Q595" s="146"/>
      <c r="R595" s="146"/>
      <c r="S595" s="146"/>
      <c r="T595" s="146"/>
      <c r="U595" s="146"/>
      <c r="V595" s="146"/>
      <c r="W595" s="146"/>
      <c r="X595" s="146"/>
      <c r="Y595" s="146"/>
      <c r="Z595" s="146"/>
    </row>
    <row r="596" spans="1:26" ht="15.75" customHeight="1">
      <c r="A596" s="146"/>
      <c r="B596" s="146"/>
      <c r="C596" s="146"/>
      <c r="D596" s="146"/>
      <c r="E596" s="146"/>
      <c r="F596" s="146"/>
      <c r="G596" s="146"/>
      <c r="H596" s="146"/>
      <c r="I596" s="146"/>
      <c r="J596" s="146"/>
      <c r="K596" s="146"/>
      <c r="L596" s="146"/>
      <c r="M596" s="146"/>
      <c r="N596" s="146"/>
      <c r="O596" s="146"/>
      <c r="P596" s="146"/>
      <c r="Q596" s="146"/>
      <c r="R596" s="146"/>
      <c r="S596" s="146"/>
      <c r="T596" s="146"/>
      <c r="U596" s="146"/>
      <c r="V596" s="146"/>
      <c r="W596" s="146"/>
      <c r="X596" s="146"/>
      <c r="Y596" s="146"/>
      <c r="Z596" s="146"/>
    </row>
    <row r="597" spans="1:26" ht="15.75" customHeight="1">
      <c r="A597" s="146"/>
      <c r="B597" s="146"/>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row>
    <row r="598" spans="1:26" ht="15.75" customHeight="1">
      <c r="A598" s="146"/>
      <c r="B598" s="146"/>
      <c r="C598" s="146"/>
      <c r="D598" s="146"/>
      <c r="E598" s="146"/>
      <c r="F598" s="146"/>
      <c r="G598" s="146"/>
      <c r="H598" s="146"/>
      <c r="I598" s="146"/>
      <c r="J598" s="146"/>
      <c r="K598" s="146"/>
      <c r="L598" s="146"/>
      <c r="M598" s="146"/>
      <c r="N598" s="146"/>
      <c r="O598" s="146"/>
      <c r="P598" s="146"/>
      <c r="Q598" s="146"/>
      <c r="R598" s="146"/>
      <c r="S598" s="146"/>
      <c r="T598" s="146"/>
      <c r="U598" s="146"/>
      <c r="V598" s="146"/>
      <c r="W598" s="146"/>
      <c r="X598" s="146"/>
      <c r="Y598" s="146"/>
      <c r="Z598" s="146"/>
    </row>
    <row r="599" spans="1:26" ht="15.75" customHeight="1">
      <c r="A599" s="146"/>
      <c r="B599" s="146"/>
      <c r="C599" s="146"/>
      <c r="D599" s="146"/>
      <c r="E599" s="146"/>
      <c r="F599" s="146"/>
      <c r="G599" s="146"/>
      <c r="H599" s="146"/>
      <c r="I599" s="146"/>
      <c r="J599" s="146"/>
      <c r="K599" s="146"/>
      <c r="L599" s="146"/>
      <c r="M599" s="146"/>
      <c r="N599" s="146"/>
      <c r="O599" s="146"/>
      <c r="P599" s="146"/>
      <c r="Q599" s="146"/>
      <c r="R599" s="146"/>
      <c r="S599" s="146"/>
      <c r="T599" s="146"/>
      <c r="U599" s="146"/>
      <c r="V599" s="146"/>
      <c r="W599" s="146"/>
      <c r="X599" s="146"/>
      <c r="Y599" s="146"/>
      <c r="Z599" s="146"/>
    </row>
    <row r="600" spans="1:26" ht="15.75" customHeight="1">
      <c r="A600" s="146"/>
      <c r="B600" s="146"/>
      <c r="C600" s="146"/>
      <c r="D600" s="146"/>
      <c r="E600" s="146"/>
      <c r="F600" s="146"/>
      <c r="G600" s="146"/>
      <c r="H600" s="146"/>
      <c r="I600" s="146"/>
      <c r="J600" s="146"/>
      <c r="K600" s="146"/>
      <c r="L600" s="146"/>
      <c r="M600" s="146"/>
      <c r="N600" s="146"/>
      <c r="O600" s="146"/>
      <c r="P600" s="146"/>
      <c r="Q600" s="146"/>
      <c r="R600" s="146"/>
      <c r="S600" s="146"/>
      <c r="T600" s="146"/>
      <c r="U600" s="146"/>
      <c r="V600" s="146"/>
      <c r="W600" s="146"/>
      <c r="X600" s="146"/>
      <c r="Y600" s="146"/>
      <c r="Z600" s="146"/>
    </row>
    <row r="601" spans="1:26" ht="15.75" customHeight="1">
      <c r="A601" s="146"/>
      <c r="B601" s="146"/>
      <c r="C601" s="146"/>
      <c r="D601" s="146"/>
      <c r="E601" s="146"/>
      <c r="F601" s="146"/>
      <c r="G601" s="146"/>
      <c r="H601" s="146"/>
      <c r="I601" s="146"/>
      <c r="J601" s="146"/>
      <c r="K601" s="146"/>
      <c r="L601" s="146"/>
      <c r="M601" s="146"/>
      <c r="N601" s="146"/>
      <c r="O601" s="146"/>
      <c r="P601" s="146"/>
      <c r="Q601" s="146"/>
      <c r="R601" s="146"/>
      <c r="S601" s="146"/>
      <c r="T601" s="146"/>
      <c r="U601" s="146"/>
      <c r="V601" s="146"/>
      <c r="W601" s="146"/>
      <c r="X601" s="146"/>
      <c r="Y601" s="146"/>
      <c r="Z601" s="146"/>
    </row>
    <row r="602" spans="1:26" ht="15.75" customHeight="1">
      <c r="A602" s="146"/>
      <c r="B602" s="146"/>
      <c r="C602" s="146"/>
      <c r="D602" s="146"/>
      <c r="E602" s="146"/>
      <c r="F602" s="146"/>
      <c r="G602" s="146"/>
      <c r="H602" s="146"/>
      <c r="I602" s="146"/>
      <c r="J602" s="146"/>
      <c r="K602" s="146"/>
      <c r="L602" s="146"/>
      <c r="M602" s="146"/>
      <c r="N602" s="146"/>
      <c r="O602" s="146"/>
      <c r="P602" s="146"/>
      <c r="Q602" s="146"/>
      <c r="R602" s="146"/>
      <c r="S602" s="146"/>
      <c r="T602" s="146"/>
      <c r="U602" s="146"/>
      <c r="V602" s="146"/>
      <c r="W602" s="146"/>
      <c r="X602" s="146"/>
      <c r="Y602" s="146"/>
      <c r="Z602" s="146"/>
    </row>
    <row r="603" spans="1:26" ht="15.75" customHeight="1">
      <c r="A603" s="146"/>
      <c r="B603" s="146"/>
      <c r="C603" s="146"/>
      <c r="D603" s="146"/>
      <c r="E603" s="146"/>
      <c r="F603" s="146"/>
      <c r="G603" s="146"/>
      <c r="H603" s="146"/>
      <c r="I603" s="146"/>
      <c r="J603" s="146"/>
      <c r="K603" s="146"/>
      <c r="L603" s="146"/>
      <c r="M603" s="146"/>
      <c r="N603" s="146"/>
      <c r="O603" s="146"/>
      <c r="P603" s="146"/>
      <c r="Q603" s="146"/>
      <c r="R603" s="146"/>
      <c r="S603" s="146"/>
      <c r="T603" s="146"/>
      <c r="U603" s="146"/>
      <c r="V603" s="146"/>
      <c r="W603" s="146"/>
      <c r="X603" s="146"/>
      <c r="Y603" s="146"/>
      <c r="Z603" s="146"/>
    </row>
    <row r="604" spans="1:26" ht="15.75" customHeight="1">
      <c r="A604" s="146"/>
      <c r="B604" s="146"/>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row>
    <row r="605" spans="1:26" ht="15.75" customHeight="1">
      <c r="A605" s="146"/>
      <c r="B605" s="146"/>
      <c r="C605" s="146"/>
      <c r="D605" s="146"/>
      <c r="E605" s="146"/>
      <c r="F605" s="146"/>
      <c r="G605" s="146"/>
      <c r="H605" s="146"/>
      <c r="I605" s="146"/>
      <c r="J605" s="146"/>
      <c r="K605" s="146"/>
      <c r="L605" s="146"/>
      <c r="M605" s="146"/>
      <c r="N605" s="146"/>
      <c r="O605" s="146"/>
      <c r="P605" s="146"/>
      <c r="Q605" s="146"/>
      <c r="R605" s="146"/>
      <c r="S605" s="146"/>
      <c r="T605" s="146"/>
      <c r="U605" s="146"/>
      <c r="V605" s="146"/>
      <c r="W605" s="146"/>
      <c r="X605" s="146"/>
      <c r="Y605" s="146"/>
      <c r="Z605" s="146"/>
    </row>
    <row r="606" spans="1:26" ht="15.75" customHeight="1">
      <c r="A606" s="146"/>
      <c r="B606" s="146"/>
      <c r="C606" s="146"/>
      <c r="D606" s="146"/>
      <c r="E606" s="146"/>
      <c r="F606" s="146"/>
      <c r="G606" s="146"/>
      <c r="H606" s="146"/>
      <c r="I606" s="146"/>
      <c r="J606" s="146"/>
      <c r="K606" s="146"/>
      <c r="L606" s="146"/>
      <c r="M606" s="146"/>
      <c r="N606" s="146"/>
      <c r="O606" s="146"/>
      <c r="P606" s="146"/>
      <c r="Q606" s="146"/>
      <c r="R606" s="146"/>
      <c r="S606" s="146"/>
      <c r="T606" s="146"/>
      <c r="U606" s="146"/>
      <c r="V606" s="146"/>
      <c r="W606" s="146"/>
      <c r="X606" s="146"/>
      <c r="Y606" s="146"/>
      <c r="Z606" s="146"/>
    </row>
    <row r="607" spans="1:26" ht="15.75" customHeight="1">
      <c r="A607" s="146"/>
      <c r="B607" s="146"/>
      <c r="C607" s="146"/>
      <c r="D607" s="146"/>
      <c r="E607" s="146"/>
      <c r="F607" s="146"/>
      <c r="G607" s="146"/>
      <c r="H607" s="146"/>
      <c r="I607" s="146"/>
      <c r="J607" s="146"/>
      <c r="K607" s="146"/>
      <c r="L607" s="146"/>
      <c r="M607" s="146"/>
      <c r="N607" s="146"/>
      <c r="O607" s="146"/>
      <c r="P607" s="146"/>
      <c r="Q607" s="146"/>
      <c r="R607" s="146"/>
      <c r="S607" s="146"/>
      <c r="T607" s="146"/>
      <c r="U607" s="146"/>
      <c r="V607" s="146"/>
      <c r="W607" s="146"/>
      <c r="X607" s="146"/>
      <c r="Y607" s="146"/>
      <c r="Z607" s="146"/>
    </row>
    <row r="608" spans="1:26" ht="15.75" customHeight="1">
      <c r="A608" s="146"/>
      <c r="B608" s="146"/>
      <c r="C608" s="146"/>
      <c r="D608" s="146"/>
      <c r="E608" s="146"/>
      <c r="F608" s="146"/>
      <c r="G608" s="146"/>
      <c r="H608" s="146"/>
      <c r="I608" s="146"/>
      <c r="J608" s="146"/>
      <c r="K608" s="146"/>
      <c r="L608" s="146"/>
      <c r="M608" s="146"/>
      <c r="N608" s="146"/>
      <c r="O608" s="146"/>
      <c r="P608" s="146"/>
      <c r="Q608" s="146"/>
      <c r="R608" s="146"/>
      <c r="S608" s="146"/>
      <c r="T608" s="146"/>
      <c r="U608" s="146"/>
      <c r="V608" s="146"/>
      <c r="W608" s="146"/>
      <c r="X608" s="146"/>
      <c r="Y608" s="146"/>
      <c r="Z608" s="146"/>
    </row>
    <row r="609" spans="1:26" ht="15.75" customHeight="1">
      <c r="A609" s="146"/>
      <c r="B609" s="146"/>
      <c r="C609" s="146"/>
      <c r="D609" s="146"/>
      <c r="E609" s="146"/>
      <c r="F609" s="146"/>
      <c r="G609" s="146"/>
      <c r="H609" s="146"/>
      <c r="I609" s="146"/>
      <c r="J609" s="146"/>
      <c r="K609" s="146"/>
      <c r="L609" s="146"/>
      <c r="M609" s="146"/>
      <c r="N609" s="146"/>
      <c r="O609" s="146"/>
      <c r="P609" s="146"/>
      <c r="Q609" s="146"/>
      <c r="R609" s="146"/>
      <c r="S609" s="146"/>
      <c r="T609" s="146"/>
      <c r="U609" s="146"/>
      <c r="V609" s="146"/>
      <c r="W609" s="146"/>
      <c r="X609" s="146"/>
      <c r="Y609" s="146"/>
      <c r="Z609" s="146"/>
    </row>
    <row r="610" spans="1:26" ht="15.75" customHeight="1">
      <c r="A610" s="146"/>
      <c r="B610" s="146"/>
      <c r="C610" s="146"/>
      <c r="D610" s="146"/>
      <c r="E610" s="146"/>
      <c r="F610" s="146"/>
      <c r="G610" s="146"/>
      <c r="H610" s="146"/>
      <c r="I610" s="146"/>
      <c r="J610" s="146"/>
      <c r="K610" s="146"/>
      <c r="L610" s="146"/>
      <c r="M610" s="146"/>
      <c r="N610" s="146"/>
      <c r="O610" s="146"/>
      <c r="P610" s="146"/>
      <c r="Q610" s="146"/>
      <c r="R610" s="146"/>
      <c r="S610" s="146"/>
      <c r="T610" s="146"/>
      <c r="U610" s="146"/>
      <c r="V610" s="146"/>
      <c r="W610" s="146"/>
      <c r="X610" s="146"/>
      <c r="Y610" s="146"/>
      <c r="Z610" s="146"/>
    </row>
    <row r="611" spans="1:26" ht="15.75" customHeight="1">
      <c r="A611" s="146"/>
      <c r="B611" s="146"/>
      <c r="C611" s="146"/>
      <c r="D611" s="146"/>
      <c r="E611" s="146"/>
      <c r="F611" s="146"/>
      <c r="G611" s="146"/>
      <c r="H611" s="146"/>
      <c r="I611" s="146"/>
      <c r="J611" s="146"/>
      <c r="K611" s="146"/>
      <c r="L611" s="146"/>
      <c r="M611" s="146"/>
      <c r="N611" s="146"/>
      <c r="O611" s="146"/>
      <c r="P611" s="146"/>
      <c r="Q611" s="146"/>
      <c r="R611" s="146"/>
      <c r="S611" s="146"/>
      <c r="T611" s="146"/>
      <c r="U611" s="146"/>
      <c r="V611" s="146"/>
      <c r="W611" s="146"/>
      <c r="X611" s="146"/>
      <c r="Y611" s="146"/>
      <c r="Z611" s="146"/>
    </row>
    <row r="612" spans="1:26" ht="15.75" customHeight="1">
      <c r="A612" s="146"/>
      <c r="B612" s="146"/>
      <c r="C612" s="146"/>
      <c r="D612" s="146"/>
      <c r="E612" s="146"/>
      <c r="F612" s="146"/>
      <c r="G612" s="146"/>
      <c r="H612" s="146"/>
      <c r="I612" s="146"/>
      <c r="J612" s="146"/>
      <c r="K612" s="146"/>
      <c r="L612" s="146"/>
      <c r="M612" s="146"/>
      <c r="N612" s="146"/>
      <c r="O612" s="146"/>
      <c r="P612" s="146"/>
      <c r="Q612" s="146"/>
      <c r="R612" s="146"/>
      <c r="S612" s="146"/>
      <c r="T612" s="146"/>
      <c r="U612" s="146"/>
      <c r="V612" s="146"/>
      <c r="W612" s="146"/>
      <c r="X612" s="146"/>
      <c r="Y612" s="146"/>
      <c r="Z612" s="146"/>
    </row>
    <row r="613" spans="1:26" ht="15.75" customHeight="1">
      <c r="A613" s="146"/>
      <c r="B613" s="146"/>
      <c r="C613" s="146"/>
      <c r="D613" s="146"/>
      <c r="E613" s="146"/>
      <c r="F613" s="146"/>
      <c r="G613" s="146"/>
      <c r="H613" s="146"/>
      <c r="I613" s="146"/>
      <c r="J613" s="146"/>
      <c r="K613" s="146"/>
      <c r="L613" s="146"/>
      <c r="M613" s="146"/>
      <c r="N613" s="146"/>
      <c r="O613" s="146"/>
      <c r="P613" s="146"/>
      <c r="Q613" s="146"/>
      <c r="R613" s="146"/>
      <c r="S613" s="146"/>
      <c r="T613" s="146"/>
      <c r="U613" s="146"/>
      <c r="V613" s="146"/>
      <c r="W613" s="146"/>
      <c r="X613" s="146"/>
      <c r="Y613" s="146"/>
      <c r="Z613" s="146"/>
    </row>
    <row r="614" spans="1:26" ht="15.75" customHeight="1">
      <c r="A614" s="146"/>
      <c r="B614" s="146"/>
      <c r="C614" s="146"/>
      <c r="D614" s="146"/>
      <c r="E614" s="146"/>
      <c r="F614" s="146"/>
      <c r="G614" s="146"/>
      <c r="H614" s="146"/>
      <c r="I614" s="146"/>
      <c r="J614" s="146"/>
      <c r="K614" s="146"/>
      <c r="L614" s="146"/>
      <c r="M614" s="146"/>
      <c r="N614" s="146"/>
      <c r="O614" s="146"/>
      <c r="P614" s="146"/>
      <c r="Q614" s="146"/>
      <c r="R614" s="146"/>
      <c r="S614" s="146"/>
      <c r="T614" s="146"/>
      <c r="U614" s="146"/>
      <c r="V614" s="146"/>
      <c r="W614" s="146"/>
      <c r="X614" s="146"/>
      <c r="Y614" s="146"/>
      <c r="Z614" s="146"/>
    </row>
    <row r="615" spans="1:26" ht="15.75" customHeight="1">
      <c r="A615" s="146"/>
      <c r="B615" s="146"/>
      <c r="C615" s="146"/>
      <c r="D615" s="146"/>
      <c r="E615" s="146"/>
      <c r="F615" s="146"/>
      <c r="G615" s="146"/>
      <c r="H615" s="146"/>
      <c r="I615" s="146"/>
      <c r="J615" s="146"/>
      <c r="K615" s="146"/>
      <c r="L615" s="146"/>
      <c r="M615" s="146"/>
      <c r="N615" s="146"/>
      <c r="O615" s="146"/>
      <c r="P615" s="146"/>
      <c r="Q615" s="146"/>
      <c r="R615" s="146"/>
      <c r="S615" s="146"/>
      <c r="T615" s="146"/>
      <c r="U615" s="146"/>
      <c r="V615" s="146"/>
      <c r="W615" s="146"/>
      <c r="X615" s="146"/>
      <c r="Y615" s="146"/>
      <c r="Z615" s="146"/>
    </row>
    <row r="616" spans="1:26" ht="15.75" customHeight="1">
      <c r="A616" s="146"/>
      <c r="B616" s="146"/>
      <c r="C616" s="146"/>
      <c r="D616" s="146"/>
      <c r="E616" s="146"/>
      <c r="F616" s="146"/>
      <c r="G616" s="146"/>
      <c r="H616" s="146"/>
      <c r="I616" s="146"/>
      <c r="J616" s="146"/>
      <c r="K616" s="146"/>
      <c r="L616" s="146"/>
      <c r="M616" s="146"/>
      <c r="N616" s="146"/>
      <c r="O616" s="146"/>
      <c r="P616" s="146"/>
      <c r="Q616" s="146"/>
      <c r="R616" s="146"/>
      <c r="S616" s="146"/>
      <c r="T616" s="146"/>
      <c r="U616" s="146"/>
      <c r="V616" s="146"/>
      <c r="W616" s="146"/>
      <c r="X616" s="146"/>
      <c r="Y616" s="146"/>
      <c r="Z616" s="146"/>
    </row>
    <row r="617" spans="1:26" ht="15.75" customHeight="1">
      <c r="A617" s="146"/>
      <c r="B617" s="146"/>
      <c r="C617" s="146"/>
      <c r="D617" s="146"/>
      <c r="E617" s="146"/>
      <c r="F617" s="146"/>
      <c r="G617" s="146"/>
      <c r="H617" s="146"/>
      <c r="I617" s="146"/>
      <c r="J617" s="146"/>
      <c r="K617" s="146"/>
      <c r="L617" s="146"/>
      <c r="M617" s="146"/>
      <c r="N617" s="146"/>
      <c r="O617" s="146"/>
      <c r="P617" s="146"/>
      <c r="Q617" s="146"/>
      <c r="R617" s="146"/>
      <c r="S617" s="146"/>
      <c r="T617" s="146"/>
      <c r="U617" s="146"/>
      <c r="V617" s="146"/>
      <c r="W617" s="146"/>
      <c r="X617" s="146"/>
      <c r="Y617" s="146"/>
      <c r="Z617" s="146"/>
    </row>
    <row r="618" spans="1:26" ht="15.75" customHeight="1">
      <c r="A618" s="146"/>
      <c r="B618" s="146"/>
      <c r="C618" s="146"/>
      <c r="D618" s="146"/>
      <c r="E618" s="146"/>
      <c r="F618" s="146"/>
      <c r="G618" s="146"/>
      <c r="H618" s="146"/>
      <c r="I618" s="146"/>
      <c r="J618" s="146"/>
      <c r="K618" s="146"/>
      <c r="L618" s="146"/>
      <c r="M618" s="146"/>
      <c r="N618" s="146"/>
      <c r="O618" s="146"/>
      <c r="P618" s="146"/>
      <c r="Q618" s="146"/>
      <c r="R618" s="146"/>
      <c r="S618" s="146"/>
      <c r="T618" s="146"/>
      <c r="U618" s="146"/>
      <c r="V618" s="146"/>
      <c r="W618" s="146"/>
      <c r="X618" s="146"/>
      <c r="Y618" s="146"/>
      <c r="Z618" s="146"/>
    </row>
    <row r="619" spans="1:26" ht="15.75" customHeight="1">
      <c r="A619" s="146"/>
      <c r="B619" s="146"/>
      <c r="C619" s="146"/>
      <c r="D619" s="146"/>
      <c r="E619" s="146"/>
      <c r="F619" s="146"/>
      <c r="G619" s="146"/>
      <c r="H619" s="146"/>
      <c r="I619" s="146"/>
      <c r="J619" s="146"/>
      <c r="K619" s="146"/>
      <c r="L619" s="146"/>
      <c r="M619" s="146"/>
      <c r="N619" s="146"/>
      <c r="O619" s="146"/>
      <c r="P619" s="146"/>
      <c r="Q619" s="146"/>
      <c r="R619" s="146"/>
      <c r="S619" s="146"/>
      <c r="T619" s="146"/>
      <c r="U619" s="146"/>
      <c r="V619" s="146"/>
      <c r="W619" s="146"/>
      <c r="X619" s="146"/>
      <c r="Y619" s="146"/>
      <c r="Z619" s="146"/>
    </row>
    <row r="620" spans="1:26" ht="15.75" customHeight="1">
      <c r="A620" s="146"/>
      <c r="B620" s="146"/>
      <c r="C620" s="146"/>
      <c r="D620" s="146"/>
      <c r="E620" s="146"/>
      <c r="F620" s="146"/>
      <c r="G620" s="146"/>
      <c r="H620" s="146"/>
      <c r="I620" s="146"/>
      <c r="J620" s="146"/>
      <c r="K620" s="146"/>
      <c r="L620" s="146"/>
      <c r="M620" s="146"/>
      <c r="N620" s="146"/>
      <c r="O620" s="146"/>
      <c r="P620" s="146"/>
      <c r="Q620" s="146"/>
      <c r="R620" s="146"/>
      <c r="S620" s="146"/>
      <c r="T620" s="146"/>
      <c r="U620" s="146"/>
      <c r="V620" s="146"/>
      <c r="W620" s="146"/>
      <c r="X620" s="146"/>
      <c r="Y620" s="146"/>
      <c r="Z620" s="146"/>
    </row>
    <row r="621" spans="1:26" ht="15.75" customHeight="1">
      <c r="A621" s="146"/>
      <c r="B621" s="146"/>
      <c r="C621" s="146"/>
      <c r="D621" s="146"/>
      <c r="E621" s="146"/>
      <c r="F621" s="146"/>
      <c r="G621" s="146"/>
      <c r="H621" s="146"/>
      <c r="I621" s="146"/>
      <c r="J621" s="146"/>
      <c r="K621" s="146"/>
      <c r="L621" s="146"/>
      <c r="M621" s="146"/>
      <c r="N621" s="146"/>
      <c r="O621" s="146"/>
      <c r="P621" s="146"/>
      <c r="Q621" s="146"/>
      <c r="R621" s="146"/>
      <c r="S621" s="146"/>
      <c r="T621" s="146"/>
      <c r="U621" s="146"/>
      <c r="V621" s="146"/>
      <c r="W621" s="146"/>
      <c r="X621" s="146"/>
      <c r="Y621" s="146"/>
      <c r="Z621" s="146"/>
    </row>
    <row r="622" spans="1:26" ht="15.75" customHeight="1">
      <c r="A622" s="146"/>
      <c r="B622" s="146"/>
      <c r="C622" s="146"/>
      <c r="D622" s="146"/>
      <c r="E622" s="146"/>
      <c r="F622" s="146"/>
      <c r="G622" s="146"/>
      <c r="H622" s="146"/>
      <c r="I622" s="146"/>
      <c r="J622" s="146"/>
      <c r="K622" s="146"/>
      <c r="L622" s="146"/>
      <c r="M622" s="146"/>
      <c r="N622" s="146"/>
      <c r="O622" s="146"/>
      <c r="P622" s="146"/>
      <c r="Q622" s="146"/>
      <c r="R622" s="146"/>
      <c r="S622" s="146"/>
      <c r="T622" s="146"/>
      <c r="U622" s="146"/>
      <c r="V622" s="146"/>
      <c r="W622" s="146"/>
      <c r="X622" s="146"/>
      <c r="Y622" s="146"/>
      <c r="Z622" s="146"/>
    </row>
    <row r="623" spans="1:26" ht="15.75" customHeight="1">
      <c r="A623" s="146"/>
      <c r="B623" s="146"/>
      <c r="C623" s="146"/>
      <c r="D623" s="146"/>
      <c r="E623" s="146"/>
      <c r="F623" s="146"/>
      <c r="G623" s="146"/>
      <c r="H623" s="146"/>
      <c r="I623" s="146"/>
      <c r="J623" s="146"/>
      <c r="K623" s="146"/>
      <c r="L623" s="146"/>
      <c r="M623" s="146"/>
      <c r="N623" s="146"/>
      <c r="O623" s="146"/>
      <c r="P623" s="146"/>
      <c r="Q623" s="146"/>
      <c r="R623" s="146"/>
      <c r="S623" s="146"/>
      <c r="T623" s="146"/>
      <c r="U623" s="146"/>
      <c r="V623" s="146"/>
      <c r="W623" s="146"/>
      <c r="X623" s="146"/>
      <c r="Y623" s="146"/>
      <c r="Z623" s="146"/>
    </row>
    <row r="624" spans="1:26" ht="15.75" customHeight="1">
      <c r="A624" s="146"/>
      <c r="B624" s="146"/>
      <c r="C624" s="146"/>
      <c r="D624" s="146"/>
      <c r="E624" s="146"/>
      <c r="F624" s="146"/>
      <c r="G624" s="146"/>
      <c r="H624" s="146"/>
      <c r="I624" s="146"/>
      <c r="J624" s="146"/>
      <c r="K624" s="146"/>
      <c r="L624" s="146"/>
      <c r="M624" s="146"/>
      <c r="N624" s="146"/>
      <c r="O624" s="146"/>
      <c r="P624" s="146"/>
      <c r="Q624" s="146"/>
      <c r="R624" s="146"/>
      <c r="S624" s="146"/>
      <c r="T624" s="146"/>
      <c r="U624" s="146"/>
      <c r="V624" s="146"/>
      <c r="W624" s="146"/>
      <c r="X624" s="146"/>
      <c r="Y624" s="146"/>
      <c r="Z624" s="146"/>
    </row>
    <row r="625" spans="1:26" ht="15.75" customHeight="1">
      <c r="A625" s="146"/>
      <c r="B625" s="146"/>
      <c r="C625" s="146"/>
      <c r="D625" s="146"/>
      <c r="E625" s="146"/>
      <c r="F625" s="146"/>
      <c r="G625" s="146"/>
      <c r="H625" s="146"/>
      <c r="I625" s="146"/>
      <c r="J625" s="146"/>
      <c r="K625" s="146"/>
      <c r="L625" s="146"/>
      <c r="M625" s="146"/>
      <c r="N625" s="146"/>
      <c r="O625" s="146"/>
      <c r="P625" s="146"/>
      <c r="Q625" s="146"/>
      <c r="R625" s="146"/>
      <c r="S625" s="146"/>
      <c r="T625" s="146"/>
      <c r="U625" s="146"/>
      <c r="V625" s="146"/>
      <c r="W625" s="146"/>
      <c r="X625" s="146"/>
      <c r="Y625" s="146"/>
      <c r="Z625" s="146"/>
    </row>
    <row r="626" spans="1:26" ht="15.75" customHeight="1">
      <c r="A626" s="146"/>
      <c r="B626" s="146"/>
      <c r="C626" s="146"/>
      <c r="D626" s="146"/>
      <c r="E626" s="146"/>
      <c r="F626" s="146"/>
      <c r="G626" s="146"/>
      <c r="H626" s="146"/>
      <c r="I626" s="146"/>
      <c r="J626" s="146"/>
      <c r="K626" s="146"/>
      <c r="L626" s="146"/>
      <c r="M626" s="146"/>
      <c r="N626" s="146"/>
      <c r="O626" s="146"/>
      <c r="P626" s="146"/>
      <c r="Q626" s="146"/>
      <c r="R626" s="146"/>
      <c r="S626" s="146"/>
      <c r="T626" s="146"/>
      <c r="U626" s="146"/>
      <c r="V626" s="146"/>
      <c r="W626" s="146"/>
      <c r="X626" s="146"/>
      <c r="Y626" s="146"/>
      <c r="Z626" s="146"/>
    </row>
    <row r="627" spans="1:26" ht="15.75" customHeight="1">
      <c r="A627" s="146"/>
      <c r="B627" s="146"/>
      <c r="C627" s="146"/>
      <c r="D627" s="146"/>
      <c r="E627" s="146"/>
      <c r="F627" s="146"/>
      <c r="G627" s="146"/>
      <c r="H627" s="146"/>
      <c r="I627" s="146"/>
      <c r="J627" s="146"/>
      <c r="K627" s="146"/>
      <c r="L627" s="146"/>
      <c r="M627" s="146"/>
      <c r="N627" s="146"/>
      <c r="O627" s="146"/>
      <c r="P627" s="146"/>
      <c r="Q627" s="146"/>
      <c r="R627" s="146"/>
      <c r="S627" s="146"/>
      <c r="T627" s="146"/>
      <c r="U627" s="146"/>
      <c r="V627" s="146"/>
      <c r="W627" s="146"/>
      <c r="X627" s="146"/>
      <c r="Y627" s="146"/>
      <c r="Z627" s="146"/>
    </row>
    <row r="628" spans="1:26" ht="15.75" customHeight="1">
      <c r="A628" s="146"/>
      <c r="B628" s="146"/>
      <c r="C628" s="146"/>
      <c r="D628" s="146"/>
      <c r="E628" s="146"/>
      <c r="F628" s="146"/>
      <c r="G628" s="146"/>
      <c r="H628" s="146"/>
      <c r="I628" s="146"/>
      <c r="J628" s="146"/>
      <c r="K628" s="146"/>
      <c r="L628" s="146"/>
      <c r="M628" s="146"/>
      <c r="N628" s="146"/>
      <c r="O628" s="146"/>
      <c r="P628" s="146"/>
      <c r="Q628" s="146"/>
      <c r="R628" s="146"/>
      <c r="S628" s="146"/>
      <c r="T628" s="146"/>
      <c r="U628" s="146"/>
      <c r="V628" s="146"/>
      <c r="W628" s="146"/>
      <c r="X628" s="146"/>
      <c r="Y628" s="146"/>
      <c r="Z628" s="146"/>
    </row>
    <row r="629" spans="1:26" ht="15.75" customHeight="1">
      <c r="A629" s="146"/>
      <c r="B629" s="146"/>
      <c r="C629" s="146"/>
      <c r="D629" s="146"/>
      <c r="E629" s="146"/>
      <c r="F629" s="146"/>
      <c r="G629" s="146"/>
      <c r="H629" s="146"/>
      <c r="I629" s="146"/>
      <c r="J629" s="146"/>
      <c r="K629" s="146"/>
      <c r="L629" s="146"/>
      <c r="M629" s="146"/>
      <c r="N629" s="146"/>
      <c r="O629" s="146"/>
      <c r="P629" s="146"/>
      <c r="Q629" s="146"/>
      <c r="R629" s="146"/>
      <c r="S629" s="146"/>
      <c r="T629" s="146"/>
      <c r="U629" s="146"/>
      <c r="V629" s="146"/>
      <c r="W629" s="146"/>
      <c r="X629" s="146"/>
      <c r="Y629" s="146"/>
      <c r="Z629" s="146"/>
    </row>
    <row r="630" spans="1:26" ht="15.75" customHeight="1">
      <c r="A630" s="146"/>
      <c r="B630" s="146"/>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row>
    <row r="631" spans="1:26" ht="15.75" customHeight="1">
      <c r="A631" s="146"/>
      <c r="B631" s="146"/>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row>
    <row r="632" spans="1:26" ht="15.75" customHeight="1">
      <c r="A632" s="146"/>
      <c r="B632" s="146"/>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row>
    <row r="633" spans="1:26" ht="15.75" customHeight="1">
      <c r="A633" s="146"/>
      <c r="B633" s="146"/>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row>
    <row r="634" spans="1:26" ht="15.75" customHeight="1">
      <c r="A634" s="146"/>
      <c r="B634" s="146"/>
      <c r="C634" s="146"/>
      <c r="D634" s="146"/>
      <c r="E634" s="146"/>
      <c r="F634" s="146"/>
      <c r="G634" s="146"/>
      <c r="H634" s="146"/>
      <c r="I634" s="146"/>
      <c r="J634" s="146"/>
      <c r="K634" s="146"/>
      <c r="L634" s="146"/>
      <c r="M634" s="146"/>
      <c r="N634" s="146"/>
      <c r="O634" s="146"/>
      <c r="P634" s="146"/>
      <c r="Q634" s="146"/>
      <c r="R634" s="146"/>
      <c r="S634" s="146"/>
      <c r="T634" s="146"/>
      <c r="U634" s="146"/>
      <c r="V634" s="146"/>
      <c r="W634" s="146"/>
      <c r="X634" s="146"/>
      <c r="Y634" s="146"/>
      <c r="Z634" s="146"/>
    </row>
    <row r="635" spans="1:26" ht="15.75" customHeight="1">
      <c r="A635" s="146"/>
      <c r="B635" s="146"/>
      <c r="C635" s="146"/>
      <c r="D635" s="146"/>
      <c r="E635" s="146"/>
      <c r="F635" s="146"/>
      <c r="G635" s="146"/>
      <c r="H635" s="146"/>
      <c r="I635" s="146"/>
      <c r="J635" s="146"/>
      <c r="K635" s="146"/>
      <c r="L635" s="146"/>
      <c r="M635" s="146"/>
      <c r="N635" s="146"/>
      <c r="O635" s="146"/>
      <c r="P635" s="146"/>
      <c r="Q635" s="146"/>
      <c r="R635" s="146"/>
      <c r="S635" s="146"/>
      <c r="T635" s="146"/>
      <c r="U635" s="146"/>
      <c r="V635" s="146"/>
      <c r="W635" s="146"/>
      <c r="X635" s="146"/>
      <c r="Y635" s="146"/>
      <c r="Z635" s="146"/>
    </row>
    <row r="636" spans="1:26" ht="15.75" customHeight="1">
      <c r="A636" s="146"/>
      <c r="B636" s="146"/>
      <c r="C636" s="146"/>
      <c r="D636" s="146"/>
      <c r="E636" s="146"/>
      <c r="F636" s="146"/>
      <c r="G636" s="146"/>
      <c r="H636" s="146"/>
      <c r="I636" s="146"/>
      <c r="J636" s="146"/>
      <c r="K636" s="146"/>
      <c r="L636" s="146"/>
      <c r="M636" s="146"/>
      <c r="N636" s="146"/>
      <c r="O636" s="146"/>
      <c r="P636" s="146"/>
      <c r="Q636" s="146"/>
      <c r="R636" s="146"/>
      <c r="S636" s="146"/>
      <c r="T636" s="146"/>
      <c r="U636" s="146"/>
      <c r="V636" s="146"/>
      <c r="W636" s="146"/>
      <c r="X636" s="146"/>
      <c r="Y636" s="146"/>
      <c r="Z636" s="146"/>
    </row>
    <row r="637" spans="1:26" ht="15.75" customHeight="1">
      <c r="A637" s="146"/>
      <c r="B637" s="146"/>
      <c r="C637" s="146"/>
      <c r="D637" s="146"/>
      <c r="E637" s="146"/>
      <c r="F637" s="146"/>
      <c r="G637" s="146"/>
      <c r="H637" s="146"/>
      <c r="I637" s="146"/>
      <c r="J637" s="146"/>
      <c r="K637" s="146"/>
      <c r="L637" s="146"/>
      <c r="M637" s="146"/>
      <c r="N637" s="146"/>
      <c r="O637" s="146"/>
      <c r="P637" s="146"/>
      <c r="Q637" s="146"/>
      <c r="R637" s="146"/>
      <c r="S637" s="146"/>
      <c r="T637" s="146"/>
      <c r="U637" s="146"/>
      <c r="V637" s="146"/>
      <c r="W637" s="146"/>
      <c r="X637" s="146"/>
      <c r="Y637" s="146"/>
      <c r="Z637" s="146"/>
    </row>
    <row r="638" spans="1:26" ht="15.75" customHeight="1">
      <c r="A638" s="146"/>
      <c r="B638" s="146"/>
      <c r="C638" s="146"/>
      <c r="D638" s="146"/>
      <c r="E638" s="146"/>
      <c r="F638" s="146"/>
      <c r="G638" s="146"/>
      <c r="H638" s="146"/>
      <c r="I638" s="146"/>
      <c r="J638" s="146"/>
      <c r="K638" s="146"/>
      <c r="L638" s="146"/>
      <c r="M638" s="146"/>
      <c r="N638" s="146"/>
      <c r="O638" s="146"/>
      <c r="P638" s="146"/>
      <c r="Q638" s="146"/>
      <c r="R638" s="146"/>
      <c r="S638" s="146"/>
      <c r="T638" s="146"/>
      <c r="U638" s="146"/>
      <c r="V638" s="146"/>
      <c r="W638" s="146"/>
      <c r="X638" s="146"/>
      <c r="Y638" s="146"/>
      <c r="Z638" s="146"/>
    </row>
    <row r="639" spans="1:26" ht="15.75" customHeight="1">
      <c r="A639" s="146"/>
      <c r="B639" s="146"/>
      <c r="C639" s="146"/>
      <c r="D639" s="146"/>
      <c r="E639" s="146"/>
      <c r="F639" s="146"/>
      <c r="G639" s="146"/>
      <c r="H639" s="146"/>
      <c r="I639" s="146"/>
      <c r="J639" s="146"/>
      <c r="K639" s="146"/>
      <c r="L639" s="146"/>
      <c r="M639" s="146"/>
      <c r="N639" s="146"/>
      <c r="O639" s="146"/>
      <c r="P639" s="146"/>
      <c r="Q639" s="146"/>
      <c r="R639" s="146"/>
      <c r="S639" s="146"/>
      <c r="T639" s="146"/>
      <c r="U639" s="146"/>
      <c r="V639" s="146"/>
      <c r="W639" s="146"/>
      <c r="X639" s="146"/>
      <c r="Y639" s="146"/>
      <c r="Z639" s="146"/>
    </row>
    <row r="640" spans="1:26" ht="15.75" customHeight="1">
      <c r="A640" s="146"/>
      <c r="B640" s="146"/>
      <c r="C640" s="146"/>
      <c r="D640" s="146"/>
      <c r="E640" s="146"/>
      <c r="F640" s="146"/>
      <c r="G640" s="146"/>
      <c r="H640" s="146"/>
      <c r="I640" s="146"/>
      <c r="J640" s="146"/>
      <c r="K640" s="146"/>
      <c r="L640" s="146"/>
      <c r="M640" s="146"/>
      <c r="N640" s="146"/>
      <c r="O640" s="146"/>
      <c r="P640" s="146"/>
      <c r="Q640" s="146"/>
      <c r="R640" s="146"/>
      <c r="S640" s="146"/>
      <c r="T640" s="146"/>
      <c r="U640" s="146"/>
      <c r="V640" s="146"/>
      <c r="W640" s="146"/>
      <c r="X640" s="146"/>
      <c r="Y640" s="146"/>
      <c r="Z640" s="146"/>
    </row>
    <row r="641" spans="1:26" ht="15.75" customHeight="1">
      <c r="A641" s="146"/>
      <c r="B641" s="146"/>
      <c r="C641" s="146"/>
      <c r="D641" s="146"/>
      <c r="E641" s="146"/>
      <c r="F641" s="146"/>
      <c r="G641" s="146"/>
      <c r="H641" s="146"/>
      <c r="I641" s="146"/>
      <c r="J641" s="146"/>
      <c r="K641" s="146"/>
      <c r="L641" s="146"/>
      <c r="M641" s="146"/>
      <c r="N641" s="146"/>
      <c r="O641" s="146"/>
      <c r="P641" s="146"/>
      <c r="Q641" s="146"/>
      <c r="R641" s="146"/>
      <c r="S641" s="146"/>
      <c r="T641" s="146"/>
      <c r="U641" s="146"/>
      <c r="V641" s="146"/>
      <c r="W641" s="146"/>
      <c r="X641" s="146"/>
      <c r="Y641" s="146"/>
      <c r="Z641" s="146"/>
    </row>
    <row r="642" spans="1:26" ht="15.75" customHeight="1">
      <c r="A642" s="146"/>
      <c r="B642" s="146"/>
      <c r="C642" s="146"/>
      <c r="D642" s="146"/>
      <c r="E642" s="146"/>
      <c r="F642" s="146"/>
      <c r="G642" s="146"/>
      <c r="H642" s="146"/>
      <c r="I642" s="146"/>
      <c r="J642" s="146"/>
      <c r="K642" s="146"/>
      <c r="L642" s="146"/>
      <c r="M642" s="146"/>
      <c r="N642" s="146"/>
      <c r="O642" s="146"/>
      <c r="P642" s="146"/>
      <c r="Q642" s="146"/>
      <c r="R642" s="146"/>
      <c r="S642" s="146"/>
      <c r="T642" s="146"/>
      <c r="U642" s="146"/>
      <c r="V642" s="146"/>
      <c r="W642" s="146"/>
      <c r="X642" s="146"/>
      <c r="Y642" s="146"/>
      <c r="Z642" s="146"/>
    </row>
    <row r="643" spans="1:26" ht="15.75" customHeight="1">
      <c r="A643" s="146"/>
      <c r="B643" s="146"/>
      <c r="C643" s="146"/>
      <c r="D643" s="146"/>
      <c r="E643" s="146"/>
      <c r="F643" s="146"/>
      <c r="G643" s="146"/>
      <c r="H643" s="146"/>
      <c r="I643" s="146"/>
      <c r="J643" s="146"/>
      <c r="K643" s="146"/>
      <c r="L643" s="146"/>
      <c r="M643" s="146"/>
      <c r="N643" s="146"/>
      <c r="O643" s="146"/>
      <c r="P643" s="146"/>
      <c r="Q643" s="146"/>
      <c r="R643" s="146"/>
      <c r="S643" s="146"/>
      <c r="T643" s="146"/>
      <c r="U643" s="146"/>
      <c r="V643" s="146"/>
      <c r="W643" s="146"/>
      <c r="X643" s="146"/>
      <c r="Y643" s="146"/>
      <c r="Z643" s="146"/>
    </row>
    <row r="644" spans="1:26" ht="15.75" customHeight="1">
      <c r="A644" s="146"/>
      <c r="B644" s="146"/>
      <c r="C644" s="146"/>
      <c r="D644" s="146"/>
      <c r="E644" s="146"/>
      <c r="F644" s="146"/>
      <c r="G644" s="146"/>
      <c r="H644" s="146"/>
      <c r="I644" s="146"/>
      <c r="J644" s="146"/>
      <c r="K644" s="146"/>
      <c r="L644" s="146"/>
      <c r="M644" s="146"/>
      <c r="N644" s="146"/>
      <c r="O644" s="146"/>
      <c r="P644" s="146"/>
      <c r="Q644" s="146"/>
      <c r="R644" s="146"/>
      <c r="S644" s="146"/>
      <c r="T644" s="146"/>
      <c r="U644" s="146"/>
      <c r="V644" s="146"/>
      <c r="W644" s="146"/>
      <c r="X644" s="146"/>
      <c r="Y644" s="146"/>
      <c r="Z644" s="146"/>
    </row>
    <row r="645" spans="1:26" ht="15.75" customHeight="1">
      <c r="A645" s="146"/>
      <c r="B645" s="146"/>
      <c r="C645" s="146"/>
      <c r="D645" s="146"/>
      <c r="E645" s="146"/>
      <c r="F645" s="146"/>
      <c r="G645" s="146"/>
      <c r="H645" s="146"/>
      <c r="I645" s="146"/>
      <c r="J645" s="146"/>
      <c r="K645" s="146"/>
      <c r="L645" s="146"/>
      <c r="M645" s="146"/>
      <c r="N645" s="146"/>
      <c r="O645" s="146"/>
      <c r="P645" s="146"/>
      <c r="Q645" s="146"/>
      <c r="R645" s="146"/>
      <c r="S645" s="146"/>
      <c r="T645" s="146"/>
      <c r="U645" s="146"/>
      <c r="V645" s="146"/>
      <c r="W645" s="146"/>
      <c r="X645" s="146"/>
      <c r="Y645" s="146"/>
      <c r="Z645" s="146"/>
    </row>
    <row r="646" spans="1:26" ht="15.75" customHeight="1">
      <c r="A646" s="146"/>
      <c r="B646" s="146"/>
      <c r="C646" s="146"/>
      <c r="D646" s="146"/>
      <c r="E646" s="146"/>
      <c r="F646" s="146"/>
      <c r="G646" s="146"/>
      <c r="H646" s="146"/>
      <c r="I646" s="146"/>
      <c r="J646" s="146"/>
      <c r="K646" s="146"/>
      <c r="L646" s="146"/>
      <c r="M646" s="146"/>
      <c r="N646" s="146"/>
      <c r="O646" s="146"/>
      <c r="P646" s="146"/>
      <c r="Q646" s="146"/>
      <c r="R646" s="146"/>
      <c r="S646" s="146"/>
      <c r="T646" s="146"/>
      <c r="U646" s="146"/>
      <c r="V646" s="146"/>
      <c r="W646" s="146"/>
      <c r="X646" s="146"/>
      <c r="Y646" s="146"/>
      <c r="Z646" s="146"/>
    </row>
    <row r="647" spans="1:26" ht="15.75" customHeight="1">
      <c r="A647" s="146"/>
      <c r="B647" s="146"/>
      <c r="C647" s="146"/>
      <c r="D647" s="146"/>
      <c r="E647" s="146"/>
      <c r="F647" s="146"/>
      <c r="G647" s="146"/>
      <c r="H647" s="146"/>
      <c r="I647" s="146"/>
      <c r="J647" s="146"/>
      <c r="K647" s="146"/>
      <c r="L647" s="146"/>
      <c r="M647" s="146"/>
      <c r="N647" s="146"/>
      <c r="O647" s="146"/>
      <c r="P647" s="146"/>
      <c r="Q647" s="146"/>
      <c r="R647" s="146"/>
      <c r="S647" s="146"/>
      <c r="T647" s="146"/>
      <c r="U647" s="146"/>
      <c r="V647" s="146"/>
      <c r="W647" s="146"/>
      <c r="X647" s="146"/>
      <c r="Y647" s="146"/>
      <c r="Z647" s="146"/>
    </row>
    <row r="648" spans="1:26" ht="15.75" customHeight="1">
      <c r="A648" s="146"/>
      <c r="B648" s="146"/>
      <c r="C648" s="146"/>
      <c r="D648" s="146"/>
      <c r="E648" s="146"/>
      <c r="F648" s="146"/>
      <c r="G648" s="146"/>
      <c r="H648" s="146"/>
      <c r="I648" s="146"/>
      <c r="J648" s="146"/>
      <c r="K648" s="146"/>
      <c r="L648" s="146"/>
      <c r="M648" s="146"/>
      <c r="N648" s="146"/>
      <c r="O648" s="146"/>
      <c r="P648" s="146"/>
      <c r="Q648" s="146"/>
      <c r="R648" s="146"/>
      <c r="S648" s="146"/>
      <c r="T648" s="146"/>
      <c r="U648" s="146"/>
      <c r="V648" s="146"/>
      <c r="W648" s="146"/>
      <c r="X648" s="146"/>
      <c r="Y648" s="146"/>
      <c r="Z648" s="146"/>
    </row>
    <row r="649" spans="1:26" ht="15.75" customHeight="1">
      <c r="A649" s="146"/>
      <c r="B649" s="146"/>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row>
    <row r="650" spans="1:26" ht="15.75" customHeight="1">
      <c r="A650" s="146"/>
      <c r="B650" s="146"/>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row>
    <row r="651" spans="1:26" ht="15.75" customHeight="1">
      <c r="A651" s="146"/>
      <c r="B651" s="146"/>
      <c r="C651" s="146"/>
      <c r="D651" s="146"/>
      <c r="E651" s="146"/>
      <c r="F651" s="146"/>
      <c r="G651" s="146"/>
      <c r="H651" s="146"/>
      <c r="I651" s="146"/>
      <c r="J651" s="146"/>
      <c r="K651" s="146"/>
      <c r="L651" s="146"/>
      <c r="M651" s="146"/>
      <c r="N651" s="146"/>
      <c r="O651" s="146"/>
      <c r="P651" s="146"/>
      <c r="Q651" s="146"/>
      <c r="R651" s="146"/>
      <c r="S651" s="146"/>
      <c r="T651" s="146"/>
      <c r="U651" s="146"/>
      <c r="V651" s="146"/>
      <c r="W651" s="146"/>
      <c r="X651" s="146"/>
      <c r="Y651" s="146"/>
      <c r="Z651" s="146"/>
    </row>
    <row r="652" spans="1:26" ht="15.75" customHeight="1">
      <c r="A652" s="146"/>
      <c r="B652" s="146"/>
      <c r="C652" s="146"/>
      <c r="D652" s="146"/>
      <c r="E652" s="146"/>
      <c r="F652" s="146"/>
      <c r="G652" s="146"/>
      <c r="H652" s="146"/>
      <c r="I652" s="146"/>
      <c r="J652" s="146"/>
      <c r="K652" s="146"/>
      <c r="L652" s="146"/>
      <c r="M652" s="146"/>
      <c r="N652" s="146"/>
      <c r="O652" s="146"/>
      <c r="P652" s="146"/>
      <c r="Q652" s="146"/>
      <c r="R652" s="146"/>
      <c r="S652" s="146"/>
      <c r="T652" s="146"/>
      <c r="U652" s="146"/>
      <c r="V652" s="146"/>
      <c r="W652" s="146"/>
      <c r="X652" s="146"/>
      <c r="Y652" s="146"/>
      <c r="Z652" s="146"/>
    </row>
    <row r="653" spans="1:26" ht="15.75" customHeight="1">
      <c r="A653" s="146"/>
      <c r="B653" s="146"/>
      <c r="C653" s="146"/>
      <c r="D653" s="146"/>
      <c r="E653" s="146"/>
      <c r="F653" s="146"/>
      <c r="G653" s="146"/>
      <c r="H653" s="146"/>
      <c r="I653" s="146"/>
      <c r="J653" s="146"/>
      <c r="K653" s="146"/>
      <c r="L653" s="146"/>
      <c r="M653" s="146"/>
      <c r="N653" s="146"/>
      <c r="O653" s="146"/>
      <c r="P653" s="146"/>
      <c r="Q653" s="146"/>
      <c r="R653" s="146"/>
      <c r="S653" s="146"/>
      <c r="T653" s="146"/>
      <c r="U653" s="146"/>
      <c r="V653" s="146"/>
      <c r="W653" s="146"/>
      <c r="X653" s="146"/>
      <c r="Y653" s="146"/>
      <c r="Z653" s="146"/>
    </row>
    <row r="654" spans="1:26" ht="15.75" customHeight="1">
      <c r="A654" s="146"/>
      <c r="B654" s="146"/>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row>
    <row r="655" spans="1:26" ht="15.75" customHeight="1">
      <c r="A655" s="146"/>
      <c r="B655" s="146"/>
      <c r="C655" s="146"/>
      <c r="D655" s="146"/>
      <c r="E655" s="146"/>
      <c r="F655" s="146"/>
      <c r="G655" s="146"/>
      <c r="H655" s="146"/>
      <c r="I655" s="146"/>
      <c r="J655" s="146"/>
      <c r="K655" s="146"/>
      <c r="L655" s="146"/>
      <c r="M655" s="146"/>
      <c r="N655" s="146"/>
      <c r="O655" s="146"/>
      <c r="P655" s="146"/>
      <c r="Q655" s="146"/>
      <c r="R655" s="146"/>
      <c r="S655" s="146"/>
      <c r="T655" s="146"/>
      <c r="U655" s="146"/>
      <c r="V655" s="146"/>
      <c r="W655" s="146"/>
      <c r="X655" s="146"/>
      <c r="Y655" s="146"/>
      <c r="Z655" s="146"/>
    </row>
    <row r="656" spans="1:26" ht="15.75" customHeight="1">
      <c r="A656" s="146"/>
      <c r="B656" s="146"/>
      <c r="C656" s="146"/>
      <c r="D656" s="146"/>
      <c r="E656" s="146"/>
      <c r="F656" s="146"/>
      <c r="G656" s="146"/>
      <c r="H656" s="146"/>
      <c r="I656" s="146"/>
      <c r="J656" s="146"/>
      <c r="K656" s="146"/>
      <c r="L656" s="146"/>
      <c r="M656" s="146"/>
      <c r="N656" s="146"/>
      <c r="O656" s="146"/>
      <c r="P656" s="146"/>
      <c r="Q656" s="146"/>
      <c r="R656" s="146"/>
      <c r="S656" s="146"/>
      <c r="T656" s="146"/>
      <c r="U656" s="146"/>
      <c r="V656" s="146"/>
      <c r="W656" s="146"/>
      <c r="X656" s="146"/>
      <c r="Y656" s="146"/>
      <c r="Z656" s="146"/>
    </row>
    <row r="657" spans="1:26" ht="15.75" customHeight="1">
      <c r="A657" s="146"/>
      <c r="B657" s="146"/>
      <c r="C657" s="146"/>
      <c r="D657" s="146"/>
      <c r="E657" s="146"/>
      <c r="F657" s="146"/>
      <c r="G657" s="146"/>
      <c r="H657" s="146"/>
      <c r="I657" s="146"/>
      <c r="J657" s="146"/>
      <c r="K657" s="146"/>
      <c r="L657" s="146"/>
      <c r="M657" s="146"/>
      <c r="N657" s="146"/>
      <c r="O657" s="146"/>
      <c r="P657" s="146"/>
      <c r="Q657" s="146"/>
      <c r="R657" s="146"/>
      <c r="S657" s="146"/>
      <c r="T657" s="146"/>
      <c r="U657" s="146"/>
      <c r="V657" s="146"/>
      <c r="W657" s="146"/>
      <c r="X657" s="146"/>
      <c r="Y657" s="146"/>
      <c r="Z657" s="146"/>
    </row>
    <row r="658" spans="1:26" ht="15.75" customHeight="1">
      <c r="A658" s="146"/>
      <c r="B658" s="146"/>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row>
    <row r="659" spans="1:26" ht="15.75" customHeight="1">
      <c r="A659" s="146"/>
      <c r="B659" s="146"/>
      <c r="C659" s="146"/>
      <c r="D659" s="146"/>
      <c r="E659" s="146"/>
      <c r="F659" s="146"/>
      <c r="G659" s="146"/>
      <c r="H659" s="146"/>
      <c r="I659" s="146"/>
      <c r="J659" s="146"/>
      <c r="K659" s="146"/>
      <c r="L659" s="146"/>
      <c r="M659" s="146"/>
      <c r="N659" s="146"/>
      <c r="O659" s="146"/>
      <c r="P659" s="146"/>
      <c r="Q659" s="146"/>
      <c r="R659" s="146"/>
      <c r="S659" s="146"/>
      <c r="T659" s="146"/>
      <c r="U659" s="146"/>
      <c r="V659" s="146"/>
      <c r="W659" s="146"/>
      <c r="X659" s="146"/>
      <c r="Y659" s="146"/>
      <c r="Z659" s="146"/>
    </row>
    <row r="660" spans="1:26" ht="15.75" customHeight="1">
      <c r="A660" s="146"/>
      <c r="B660" s="146"/>
      <c r="C660" s="146"/>
      <c r="D660" s="146"/>
      <c r="E660" s="146"/>
      <c r="F660" s="146"/>
      <c r="G660" s="146"/>
      <c r="H660" s="146"/>
      <c r="I660" s="146"/>
      <c r="J660" s="146"/>
      <c r="K660" s="146"/>
      <c r="L660" s="146"/>
      <c r="M660" s="146"/>
      <c r="N660" s="146"/>
      <c r="O660" s="146"/>
      <c r="P660" s="146"/>
      <c r="Q660" s="146"/>
      <c r="R660" s="146"/>
      <c r="S660" s="146"/>
      <c r="T660" s="146"/>
      <c r="U660" s="146"/>
      <c r="V660" s="146"/>
      <c r="W660" s="146"/>
      <c r="X660" s="146"/>
      <c r="Y660" s="146"/>
      <c r="Z660" s="146"/>
    </row>
    <row r="661" spans="1:26" ht="15.75" customHeight="1">
      <c r="A661" s="146"/>
      <c r="B661" s="146"/>
      <c r="C661" s="146"/>
      <c r="D661" s="146"/>
      <c r="E661" s="146"/>
      <c r="F661" s="146"/>
      <c r="G661" s="146"/>
      <c r="H661" s="146"/>
      <c r="I661" s="146"/>
      <c r="J661" s="146"/>
      <c r="K661" s="146"/>
      <c r="L661" s="146"/>
      <c r="M661" s="146"/>
      <c r="N661" s="146"/>
      <c r="O661" s="146"/>
      <c r="P661" s="146"/>
      <c r="Q661" s="146"/>
      <c r="R661" s="146"/>
      <c r="S661" s="146"/>
      <c r="T661" s="146"/>
      <c r="U661" s="146"/>
      <c r="V661" s="146"/>
      <c r="W661" s="146"/>
      <c r="X661" s="146"/>
      <c r="Y661" s="146"/>
      <c r="Z661" s="146"/>
    </row>
    <row r="662" spans="1:26" ht="15.75" customHeight="1">
      <c r="A662" s="146"/>
      <c r="B662" s="146"/>
      <c r="C662" s="146"/>
      <c r="D662" s="146"/>
      <c r="E662" s="146"/>
      <c r="F662" s="146"/>
      <c r="G662" s="146"/>
      <c r="H662" s="146"/>
      <c r="I662" s="146"/>
      <c r="J662" s="146"/>
      <c r="K662" s="146"/>
      <c r="L662" s="146"/>
      <c r="M662" s="146"/>
      <c r="N662" s="146"/>
      <c r="O662" s="146"/>
      <c r="P662" s="146"/>
      <c r="Q662" s="146"/>
      <c r="R662" s="146"/>
      <c r="S662" s="146"/>
      <c r="T662" s="146"/>
      <c r="U662" s="146"/>
      <c r="V662" s="146"/>
      <c r="W662" s="146"/>
      <c r="X662" s="146"/>
      <c r="Y662" s="146"/>
      <c r="Z662" s="146"/>
    </row>
    <row r="663" spans="1:26" ht="15.75" customHeight="1">
      <c r="A663" s="146"/>
      <c r="B663" s="146"/>
      <c r="C663" s="146"/>
      <c r="D663" s="146"/>
      <c r="E663" s="146"/>
      <c r="F663" s="146"/>
      <c r="G663" s="146"/>
      <c r="H663" s="146"/>
      <c r="I663" s="146"/>
      <c r="J663" s="146"/>
      <c r="K663" s="146"/>
      <c r="L663" s="146"/>
      <c r="M663" s="146"/>
      <c r="N663" s="146"/>
      <c r="O663" s="146"/>
      <c r="P663" s="146"/>
      <c r="Q663" s="146"/>
      <c r="R663" s="146"/>
      <c r="S663" s="146"/>
      <c r="T663" s="146"/>
      <c r="U663" s="146"/>
      <c r="V663" s="146"/>
      <c r="W663" s="146"/>
      <c r="X663" s="146"/>
      <c r="Y663" s="146"/>
      <c r="Z663" s="146"/>
    </row>
    <row r="664" spans="1:26" ht="15.75" customHeight="1">
      <c r="A664" s="146"/>
      <c r="B664" s="146"/>
      <c r="C664" s="146"/>
      <c r="D664" s="146"/>
      <c r="E664" s="146"/>
      <c r="F664" s="146"/>
      <c r="G664" s="146"/>
      <c r="H664" s="146"/>
      <c r="I664" s="146"/>
      <c r="J664" s="146"/>
      <c r="K664" s="146"/>
      <c r="L664" s="146"/>
      <c r="M664" s="146"/>
      <c r="N664" s="146"/>
      <c r="O664" s="146"/>
      <c r="P664" s="146"/>
      <c r="Q664" s="146"/>
      <c r="R664" s="146"/>
      <c r="S664" s="146"/>
      <c r="T664" s="146"/>
      <c r="U664" s="146"/>
      <c r="V664" s="146"/>
      <c r="W664" s="146"/>
      <c r="X664" s="146"/>
      <c r="Y664" s="146"/>
      <c r="Z664" s="146"/>
    </row>
    <row r="665" spans="1:26" ht="15.75" customHeight="1">
      <c r="A665" s="146"/>
      <c r="B665" s="146"/>
      <c r="C665" s="146"/>
      <c r="D665" s="146"/>
      <c r="E665" s="146"/>
      <c r="F665" s="146"/>
      <c r="G665" s="146"/>
      <c r="H665" s="146"/>
      <c r="I665" s="146"/>
      <c r="J665" s="146"/>
      <c r="K665" s="146"/>
      <c r="L665" s="146"/>
      <c r="M665" s="146"/>
      <c r="N665" s="146"/>
      <c r="O665" s="146"/>
      <c r="P665" s="146"/>
      <c r="Q665" s="146"/>
      <c r="R665" s="146"/>
      <c r="S665" s="146"/>
      <c r="T665" s="146"/>
      <c r="U665" s="146"/>
      <c r="V665" s="146"/>
      <c r="W665" s="146"/>
      <c r="X665" s="146"/>
      <c r="Y665" s="146"/>
      <c r="Z665" s="146"/>
    </row>
    <row r="666" spans="1:26" ht="15.75" customHeight="1">
      <c r="A666" s="146"/>
      <c r="B666" s="146"/>
      <c r="C666" s="146"/>
      <c r="D666" s="146"/>
      <c r="E666" s="146"/>
      <c r="F666" s="146"/>
      <c r="G666" s="146"/>
      <c r="H666" s="146"/>
      <c r="I666" s="146"/>
      <c r="J666" s="146"/>
      <c r="K666" s="146"/>
      <c r="L666" s="146"/>
      <c r="M666" s="146"/>
      <c r="N666" s="146"/>
      <c r="O666" s="146"/>
      <c r="P666" s="146"/>
      <c r="Q666" s="146"/>
      <c r="R666" s="146"/>
      <c r="S666" s="146"/>
      <c r="T666" s="146"/>
      <c r="U666" s="146"/>
      <c r="V666" s="146"/>
      <c r="W666" s="146"/>
      <c r="X666" s="146"/>
      <c r="Y666" s="146"/>
      <c r="Z666" s="146"/>
    </row>
    <row r="667" spans="1:26" ht="15.75" customHeight="1">
      <c r="A667" s="146"/>
      <c r="B667" s="146"/>
      <c r="C667" s="146"/>
      <c r="D667" s="146"/>
      <c r="E667" s="146"/>
      <c r="F667" s="146"/>
      <c r="G667" s="146"/>
      <c r="H667" s="146"/>
      <c r="I667" s="146"/>
      <c r="J667" s="146"/>
      <c r="K667" s="146"/>
      <c r="L667" s="146"/>
      <c r="M667" s="146"/>
      <c r="N667" s="146"/>
      <c r="O667" s="146"/>
      <c r="P667" s="146"/>
      <c r="Q667" s="146"/>
      <c r="R667" s="146"/>
      <c r="S667" s="146"/>
      <c r="T667" s="146"/>
      <c r="U667" s="146"/>
      <c r="V667" s="146"/>
      <c r="W667" s="146"/>
      <c r="X667" s="146"/>
      <c r="Y667" s="146"/>
      <c r="Z667" s="146"/>
    </row>
    <row r="668" spans="1:26" ht="15.75" customHeight="1">
      <c r="A668" s="146"/>
      <c r="B668" s="146"/>
      <c r="C668" s="146"/>
      <c r="D668" s="146"/>
      <c r="E668" s="146"/>
      <c r="F668" s="146"/>
      <c r="G668" s="146"/>
      <c r="H668" s="146"/>
      <c r="I668" s="146"/>
      <c r="J668" s="146"/>
      <c r="K668" s="146"/>
      <c r="L668" s="146"/>
      <c r="M668" s="146"/>
      <c r="N668" s="146"/>
      <c r="O668" s="146"/>
      <c r="P668" s="146"/>
      <c r="Q668" s="146"/>
      <c r="R668" s="146"/>
      <c r="S668" s="146"/>
      <c r="T668" s="146"/>
      <c r="U668" s="146"/>
      <c r="V668" s="146"/>
      <c r="W668" s="146"/>
      <c r="X668" s="146"/>
      <c r="Y668" s="146"/>
      <c r="Z668" s="146"/>
    </row>
    <row r="669" spans="1:26" ht="15.75" customHeight="1">
      <c r="A669" s="146"/>
      <c r="B669" s="146"/>
      <c r="C669" s="146"/>
      <c r="D669" s="146"/>
      <c r="E669" s="146"/>
      <c r="F669" s="146"/>
      <c r="G669" s="146"/>
      <c r="H669" s="146"/>
      <c r="I669" s="146"/>
      <c r="J669" s="146"/>
      <c r="K669" s="146"/>
      <c r="L669" s="146"/>
      <c r="M669" s="146"/>
      <c r="N669" s="146"/>
      <c r="O669" s="146"/>
      <c r="P669" s="146"/>
      <c r="Q669" s="146"/>
      <c r="R669" s="146"/>
      <c r="S669" s="146"/>
      <c r="T669" s="146"/>
      <c r="U669" s="146"/>
      <c r="V669" s="146"/>
      <c r="W669" s="146"/>
      <c r="X669" s="146"/>
      <c r="Y669" s="146"/>
      <c r="Z669" s="146"/>
    </row>
    <row r="670" spans="1:26" ht="15.75" customHeight="1">
      <c r="A670" s="146"/>
      <c r="B670" s="146"/>
      <c r="C670" s="146"/>
      <c r="D670" s="146"/>
      <c r="E670" s="146"/>
      <c r="F670" s="146"/>
      <c r="G670" s="146"/>
      <c r="H670" s="146"/>
      <c r="I670" s="146"/>
      <c r="J670" s="146"/>
      <c r="K670" s="146"/>
      <c r="L670" s="146"/>
      <c r="M670" s="146"/>
      <c r="N670" s="146"/>
      <c r="O670" s="146"/>
      <c r="P670" s="146"/>
      <c r="Q670" s="146"/>
      <c r="R670" s="146"/>
      <c r="S670" s="146"/>
      <c r="T670" s="146"/>
      <c r="U670" s="146"/>
      <c r="V670" s="146"/>
      <c r="W670" s="146"/>
      <c r="X670" s="146"/>
      <c r="Y670" s="146"/>
      <c r="Z670" s="146"/>
    </row>
    <row r="671" spans="1:26" ht="15.75" customHeight="1">
      <c r="A671" s="146"/>
      <c r="B671" s="146"/>
      <c r="C671" s="146"/>
      <c r="D671" s="146"/>
      <c r="E671" s="146"/>
      <c r="F671" s="146"/>
      <c r="G671" s="146"/>
      <c r="H671" s="146"/>
      <c r="I671" s="146"/>
      <c r="J671" s="146"/>
      <c r="K671" s="146"/>
      <c r="L671" s="146"/>
      <c r="M671" s="146"/>
      <c r="N671" s="146"/>
      <c r="O671" s="146"/>
      <c r="P671" s="146"/>
      <c r="Q671" s="146"/>
      <c r="R671" s="146"/>
      <c r="S671" s="146"/>
      <c r="T671" s="146"/>
      <c r="U671" s="146"/>
      <c r="V671" s="146"/>
      <c r="W671" s="146"/>
      <c r="X671" s="146"/>
      <c r="Y671" s="146"/>
      <c r="Z671" s="146"/>
    </row>
    <row r="672" spans="1:26" ht="15.75" customHeight="1">
      <c r="A672" s="146"/>
      <c r="B672" s="146"/>
      <c r="C672" s="146"/>
      <c r="D672" s="146"/>
      <c r="E672" s="146"/>
      <c r="F672" s="146"/>
      <c r="G672" s="146"/>
      <c r="H672" s="146"/>
      <c r="I672" s="146"/>
      <c r="J672" s="146"/>
      <c r="K672" s="146"/>
      <c r="L672" s="146"/>
      <c r="M672" s="146"/>
      <c r="N672" s="146"/>
      <c r="O672" s="146"/>
      <c r="P672" s="146"/>
      <c r="Q672" s="146"/>
      <c r="R672" s="146"/>
      <c r="S672" s="146"/>
      <c r="T672" s="146"/>
      <c r="U672" s="146"/>
      <c r="V672" s="146"/>
      <c r="W672" s="146"/>
      <c r="X672" s="146"/>
      <c r="Y672" s="146"/>
      <c r="Z672" s="146"/>
    </row>
    <row r="673" spans="1:26" ht="15.75" customHeight="1">
      <c r="A673" s="146"/>
      <c r="B673" s="146"/>
      <c r="C673" s="146"/>
      <c r="D673" s="146"/>
      <c r="E673" s="146"/>
      <c r="F673" s="146"/>
      <c r="G673" s="146"/>
      <c r="H673" s="146"/>
      <c r="I673" s="146"/>
      <c r="J673" s="146"/>
      <c r="K673" s="146"/>
      <c r="L673" s="146"/>
      <c r="M673" s="146"/>
      <c r="N673" s="146"/>
      <c r="O673" s="146"/>
      <c r="P673" s="146"/>
      <c r="Q673" s="146"/>
      <c r="R673" s="146"/>
      <c r="S673" s="146"/>
      <c r="T673" s="146"/>
      <c r="U673" s="146"/>
      <c r="V673" s="146"/>
      <c r="W673" s="146"/>
      <c r="X673" s="146"/>
      <c r="Y673" s="146"/>
      <c r="Z673" s="146"/>
    </row>
    <row r="674" spans="1:26" ht="15.75" customHeight="1">
      <c r="A674" s="146"/>
      <c r="B674" s="146"/>
      <c r="C674" s="146"/>
      <c r="D674" s="146"/>
      <c r="E674" s="146"/>
      <c r="F674" s="146"/>
      <c r="G674" s="146"/>
      <c r="H674" s="146"/>
      <c r="I674" s="146"/>
      <c r="J674" s="146"/>
      <c r="K674" s="146"/>
      <c r="L674" s="146"/>
      <c r="M674" s="146"/>
      <c r="N674" s="146"/>
      <c r="O674" s="146"/>
      <c r="P674" s="146"/>
      <c r="Q674" s="146"/>
      <c r="R674" s="146"/>
      <c r="S674" s="146"/>
      <c r="T674" s="146"/>
      <c r="U674" s="146"/>
      <c r="V674" s="146"/>
      <c r="W674" s="146"/>
      <c r="X674" s="146"/>
      <c r="Y674" s="146"/>
      <c r="Z674" s="146"/>
    </row>
    <row r="675" spans="1:26" ht="15.75" customHeight="1">
      <c r="A675" s="146"/>
      <c r="B675" s="146"/>
      <c r="C675" s="146"/>
      <c r="D675" s="146"/>
      <c r="E675" s="146"/>
      <c r="F675" s="146"/>
      <c r="G675" s="146"/>
      <c r="H675" s="146"/>
      <c r="I675" s="146"/>
      <c r="J675" s="146"/>
      <c r="K675" s="146"/>
      <c r="L675" s="146"/>
      <c r="M675" s="146"/>
      <c r="N675" s="146"/>
      <c r="O675" s="146"/>
      <c r="P675" s="146"/>
      <c r="Q675" s="146"/>
      <c r="R675" s="146"/>
      <c r="S675" s="146"/>
      <c r="T675" s="146"/>
      <c r="U675" s="146"/>
      <c r="V675" s="146"/>
      <c r="W675" s="146"/>
      <c r="X675" s="146"/>
      <c r="Y675" s="146"/>
      <c r="Z675" s="146"/>
    </row>
    <row r="676" spans="1:26" ht="15.75" customHeight="1">
      <c r="A676" s="146"/>
      <c r="B676" s="146"/>
      <c r="C676" s="146"/>
      <c r="D676" s="146"/>
      <c r="E676" s="146"/>
      <c r="F676" s="146"/>
      <c r="G676" s="146"/>
      <c r="H676" s="146"/>
      <c r="I676" s="146"/>
      <c r="J676" s="146"/>
      <c r="K676" s="146"/>
      <c r="L676" s="146"/>
      <c r="M676" s="146"/>
      <c r="N676" s="146"/>
      <c r="O676" s="146"/>
      <c r="P676" s="146"/>
      <c r="Q676" s="146"/>
      <c r="R676" s="146"/>
      <c r="S676" s="146"/>
      <c r="T676" s="146"/>
      <c r="U676" s="146"/>
      <c r="V676" s="146"/>
      <c r="W676" s="146"/>
      <c r="X676" s="146"/>
      <c r="Y676" s="146"/>
      <c r="Z676" s="146"/>
    </row>
    <row r="677" spans="1:26" ht="15.75" customHeight="1">
      <c r="A677" s="146"/>
      <c r="B677" s="146"/>
      <c r="C677" s="146"/>
      <c r="D677" s="146"/>
      <c r="E677" s="146"/>
      <c r="F677" s="146"/>
      <c r="G677" s="146"/>
      <c r="H677" s="146"/>
      <c r="I677" s="146"/>
      <c r="J677" s="146"/>
      <c r="K677" s="146"/>
      <c r="L677" s="146"/>
      <c r="M677" s="146"/>
      <c r="N677" s="146"/>
      <c r="O677" s="146"/>
      <c r="P677" s="146"/>
      <c r="Q677" s="146"/>
      <c r="R677" s="146"/>
      <c r="S677" s="146"/>
      <c r="T677" s="146"/>
      <c r="U677" s="146"/>
      <c r="V677" s="146"/>
      <c r="W677" s="146"/>
      <c r="X677" s="146"/>
      <c r="Y677" s="146"/>
      <c r="Z677" s="146"/>
    </row>
    <row r="678" spans="1:26" ht="15.75" customHeight="1">
      <c r="A678" s="146"/>
      <c r="B678" s="146"/>
      <c r="C678" s="146"/>
      <c r="D678" s="146"/>
      <c r="E678" s="146"/>
      <c r="F678" s="146"/>
      <c r="G678" s="146"/>
      <c r="H678" s="146"/>
      <c r="I678" s="146"/>
      <c r="J678" s="146"/>
      <c r="K678" s="146"/>
      <c r="L678" s="146"/>
      <c r="M678" s="146"/>
      <c r="N678" s="146"/>
      <c r="O678" s="146"/>
      <c r="P678" s="146"/>
      <c r="Q678" s="146"/>
      <c r="R678" s="146"/>
      <c r="S678" s="146"/>
      <c r="T678" s="146"/>
      <c r="U678" s="146"/>
      <c r="V678" s="146"/>
      <c r="W678" s="146"/>
      <c r="X678" s="146"/>
      <c r="Y678" s="146"/>
      <c r="Z678" s="146"/>
    </row>
    <row r="679" spans="1:26" ht="15.75" customHeight="1">
      <c r="A679" s="146"/>
      <c r="B679" s="146"/>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row>
    <row r="680" spans="1:26" ht="15.75" customHeight="1">
      <c r="A680" s="146"/>
      <c r="B680" s="146"/>
      <c r="C680" s="146"/>
      <c r="D680" s="146"/>
      <c r="E680" s="146"/>
      <c r="F680" s="146"/>
      <c r="G680" s="146"/>
      <c r="H680" s="146"/>
      <c r="I680" s="146"/>
      <c r="J680" s="146"/>
      <c r="K680" s="146"/>
      <c r="L680" s="146"/>
      <c r="M680" s="146"/>
      <c r="N680" s="146"/>
      <c r="O680" s="146"/>
      <c r="P680" s="146"/>
      <c r="Q680" s="146"/>
      <c r="R680" s="146"/>
      <c r="S680" s="146"/>
      <c r="T680" s="146"/>
      <c r="U680" s="146"/>
      <c r="V680" s="146"/>
      <c r="W680" s="146"/>
      <c r="X680" s="146"/>
      <c r="Y680" s="146"/>
      <c r="Z680" s="146"/>
    </row>
    <row r="681" spans="1:26" ht="15.75" customHeight="1">
      <c r="A681" s="146"/>
      <c r="B681" s="146"/>
      <c r="C681" s="146"/>
      <c r="D681" s="146"/>
      <c r="E681" s="146"/>
      <c r="F681" s="146"/>
      <c r="G681" s="146"/>
      <c r="H681" s="146"/>
      <c r="I681" s="146"/>
      <c r="J681" s="146"/>
      <c r="K681" s="146"/>
      <c r="L681" s="146"/>
      <c r="M681" s="146"/>
      <c r="N681" s="146"/>
      <c r="O681" s="146"/>
      <c r="P681" s="146"/>
      <c r="Q681" s="146"/>
      <c r="R681" s="146"/>
      <c r="S681" s="146"/>
      <c r="T681" s="146"/>
      <c r="U681" s="146"/>
      <c r="V681" s="146"/>
      <c r="W681" s="146"/>
      <c r="X681" s="146"/>
      <c r="Y681" s="146"/>
      <c r="Z681" s="146"/>
    </row>
    <row r="682" spans="1:26" ht="15.75" customHeight="1">
      <c r="A682" s="146"/>
      <c r="B682" s="146"/>
      <c r="C682" s="146"/>
      <c r="D682" s="146"/>
      <c r="E682" s="146"/>
      <c r="F682" s="146"/>
      <c r="G682" s="146"/>
      <c r="H682" s="146"/>
      <c r="I682" s="146"/>
      <c r="J682" s="146"/>
      <c r="K682" s="146"/>
      <c r="L682" s="146"/>
      <c r="M682" s="146"/>
      <c r="N682" s="146"/>
      <c r="O682" s="146"/>
      <c r="P682" s="146"/>
      <c r="Q682" s="146"/>
      <c r="R682" s="146"/>
      <c r="S682" s="146"/>
      <c r="T682" s="146"/>
      <c r="U682" s="146"/>
      <c r="V682" s="146"/>
      <c r="W682" s="146"/>
      <c r="X682" s="146"/>
      <c r="Y682" s="146"/>
      <c r="Z682" s="146"/>
    </row>
    <row r="683" spans="1:26" ht="15.75" customHeight="1">
      <c r="A683" s="146"/>
      <c r="B683" s="146"/>
      <c r="C683" s="146"/>
      <c r="D683" s="146"/>
      <c r="E683" s="146"/>
      <c r="F683" s="146"/>
      <c r="G683" s="146"/>
      <c r="H683" s="146"/>
      <c r="I683" s="146"/>
      <c r="J683" s="146"/>
      <c r="K683" s="146"/>
      <c r="L683" s="146"/>
      <c r="M683" s="146"/>
      <c r="N683" s="146"/>
      <c r="O683" s="146"/>
      <c r="P683" s="146"/>
      <c r="Q683" s="146"/>
      <c r="R683" s="146"/>
      <c r="S683" s="146"/>
      <c r="T683" s="146"/>
      <c r="U683" s="146"/>
      <c r="V683" s="146"/>
      <c r="W683" s="146"/>
      <c r="X683" s="146"/>
      <c r="Y683" s="146"/>
      <c r="Z683" s="146"/>
    </row>
    <row r="684" spans="1:26" ht="15.75" customHeight="1">
      <c r="A684" s="146"/>
      <c r="B684" s="146"/>
      <c r="C684" s="146"/>
      <c r="D684" s="146"/>
      <c r="E684" s="146"/>
      <c r="F684" s="146"/>
      <c r="G684" s="146"/>
      <c r="H684" s="146"/>
      <c r="I684" s="146"/>
      <c r="J684" s="146"/>
      <c r="K684" s="146"/>
      <c r="L684" s="146"/>
      <c r="M684" s="146"/>
      <c r="N684" s="146"/>
      <c r="O684" s="146"/>
      <c r="P684" s="146"/>
      <c r="Q684" s="146"/>
      <c r="R684" s="146"/>
      <c r="S684" s="146"/>
      <c r="T684" s="146"/>
      <c r="U684" s="146"/>
      <c r="V684" s="146"/>
      <c r="W684" s="146"/>
      <c r="X684" s="146"/>
      <c r="Y684" s="146"/>
      <c r="Z684" s="146"/>
    </row>
    <row r="685" spans="1:26" ht="15.75" customHeight="1">
      <c r="A685" s="146"/>
      <c r="B685" s="146"/>
      <c r="C685" s="146"/>
      <c r="D685" s="146"/>
      <c r="E685" s="146"/>
      <c r="F685" s="146"/>
      <c r="G685" s="146"/>
      <c r="H685" s="146"/>
      <c r="I685" s="146"/>
      <c r="J685" s="146"/>
      <c r="K685" s="146"/>
      <c r="L685" s="146"/>
      <c r="M685" s="146"/>
      <c r="N685" s="146"/>
      <c r="O685" s="146"/>
      <c r="P685" s="146"/>
      <c r="Q685" s="146"/>
      <c r="R685" s="146"/>
      <c r="S685" s="146"/>
      <c r="T685" s="146"/>
      <c r="U685" s="146"/>
      <c r="V685" s="146"/>
      <c r="W685" s="146"/>
      <c r="X685" s="146"/>
      <c r="Y685" s="146"/>
      <c r="Z685" s="146"/>
    </row>
    <row r="686" spans="1:26" ht="15.75" customHeight="1">
      <c r="A686" s="146"/>
      <c r="B686" s="146"/>
      <c r="C686" s="146"/>
      <c r="D686" s="146"/>
      <c r="E686" s="146"/>
      <c r="F686" s="146"/>
      <c r="G686" s="146"/>
      <c r="H686" s="146"/>
      <c r="I686" s="146"/>
      <c r="J686" s="146"/>
      <c r="K686" s="146"/>
      <c r="L686" s="146"/>
      <c r="M686" s="146"/>
      <c r="N686" s="146"/>
      <c r="O686" s="146"/>
      <c r="P686" s="146"/>
      <c r="Q686" s="146"/>
      <c r="R686" s="146"/>
      <c r="S686" s="146"/>
      <c r="T686" s="146"/>
      <c r="U686" s="146"/>
      <c r="V686" s="146"/>
      <c r="W686" s="146"/>
      <c r="X686" s="146"/>
      <c r="Y686" s="146"/>
      <c r="Z686" s="146"/>
    </row>
    <row r="687" spans="1:26" ht="15.75" customHeight="1">
      <c r="A687" s="146"/>
      <c r="B687" s="146"/>
      <c r="C687" s="146"/>
      <c r="D687" s="146"/>
      <c r="E687" s="146"/>
      <c r="F687" s="146"/>
      <c r="G687" s="146"/>
      <c r="H687" s="146"/>
      <c r="I687" s="146"/>
      <c r="J687" s="146"/>
      <c r="K687" s="146"/>
      <c r="L687" s="146"/>
      <c r="M687" s="146"/>
      <c r="N687" s="146"/>
      <c r="O687" s="146"/>
      <c r="P687" s="146"/>
      <c r="Q687" s="146"/>
      <c r="R687" s="146"/>
      <c r="S687" s="146"/>
      <c r="T687" s="146"/>
      <c r="U687" s="146"/>
      <c r="V687" s="146"/>
      <c r="W687" s="146"/>
      <c r="X687" s="146"/>
      <c r="Y687" s="146"/>
      <c r="Z687" s="146"/>
    </row>
    <row r="688" spans="1:26" ht="15.75" customHeight="1">
      <c r="A688" s="146"/>
      <c r="B688" s="146"/>
      <c r="C688" s="146"/>
      <c r="D688" s="146"/>
      <c r="E688" s="146"/>
      <c r="F688" s="146"/>
      <c r="G688" s="146"/>
      <c r="H688" s="146"/>
      <c r="I688" s="146"/>
      <c r="J688" s="146"/>
      <c r="K688" s="146"/>
      <c r="L688" s="146"/>
      <c r="M688" s="146"/>
      <c r="N688" s="146"/>
      <c r="O688" s="146"/>
      <c r="P688" s="146"/>
      <c r="Q688" s="146"/>
      <c r="R688" s="146"/>
      <c r="S688" s="146"/>
      <c r="T688" s="146"/>
      <c r="U688" s="146"/>
      <c r="V688" s="146"/>
      <c r="W688" s="146"/>
      <c r="X688" s="146"/>
      <c r="Y688" s="146"/>
      <c r="Z688" s="146"/>
    </row>
    <row r="689" spans="1:26" ht="15.75" customHeight="1">
      <c r="A689" s="146"/>
      <c r="B689" s="146"/>
      <c r="C689" s="146"/>
      <c r="D689" s="146"/>
      <c r="E689" s="146"/>
      <c r="F689" s="146"/>
      <c r="G689" s="146"/>
      <c r="H689" s="146"/>
      <c r="I689" s="146"/>
      <c r="J689" s="146"/>
      <c r="K689" s="146"/>
      <c r="L689" s="146"/>
      <c r="M689" s="146"/>
      <c r="N689" s="146"/>
      <c r="O689" s="146"/>
      <c r="P689" s="146"/>
      <c r="Q689" s="146"/>
      <c r="R689" s="146"/>
      <c r="S689" s="146"/>
      <c r="T689" s="146"/>
      <c r="U689" s="146"/>
      <c r="V689" s="146"/>
      <c r="W689" s="146"/>
      <c r="X689" s="146"/>
      <c r="Y689" s="146"/>
      <c r="Z689" s="146"/>
    </row>
    <row r="690" spans="1:26" ht="15.75" customHeight="1">
      <c r="A690" s="146"/>
      <c r="B690" s="146"/>
      <c r="C690" s="146"/>
      <c r="D690" s="146"/>
      <c r="E690" s="146"/>
      <c r="F690" s="146"/>
      <c r="G690" s="146"/>
      <c r="H690" s="146"/>
      <c r="I690" s="146"/>
      <c r="J690" s="146"/>
      <c r="K690" s="146"/>
      <c r="L690" s="146"/>
      <c r="M690" s="146"/>
      <c r="N690" s="146"/>
      <c r="O690" s="146"/>
      <c r="P690" s="146"/>
      <c r="Q690" s="146"/>
      <c r="R690" s="146"/>
      <c r="S690" s="146"/>
      <c r="T690" s="146"/>
      <c r="U690" s="146"/>
      <c r="V690" s="146"/>
      <c r="W690" s="146"/>
      <c r="X690" s="146"/>
      <c r="Y690" s="146"/>
      <c r="Z690" s="146"/>
    </row>
    <row r="691" spans="1:26" ht="15.75" customHeight="1">
      <c r="A691" s="146"/>
      <c r="B691" s="146"/>
      <c r="C691" s="146"/>
      <c r="D691" s="146"/>
      <c r="E691" s="146"/>
      <c r="F691" s="146"/>
      <c r="G691" s="146"/>
      <c r="H691" s="146"/>
      <c r="I691" s="146"/>
      <c r="J691" s="146"/>
      <c r="K691" s="146"/>
      <c r="L691" s="146"/>
      <c r="M691" s="146"/>
      <c r="N691" s="146"/>
      <c r="O691" s="146"/>
      <c r="P691" s="146"/>
      <c r="Q691" s="146"/>
      <c r="R691" s="146"/>
      <c r="S691" s="146"/>
      <c r="T691" s="146"/>
      <c r="U691" s="146"/>
      <c r="V691" s="146"/>
      <c r="W691" s="146"/>
      <c r="X691" s="146"/>
      <c r="Y691" s="146"/>
      <c r="Z691" s="146"/>
    </row>
    <row r="692" spans="1:26" ht="15.75" customHeight="1">
      <c r="A692" s="146"/>
      <c r="B692" s="146"/>
      <c r="C692" s="146"/>
      <c r="D692" s="146"/>
      <c r="E692" s="146"/>
      <c r="F692" s="146"/>
      <c r="G692" s="146"/>
      <c r="H692" s="146"/>
      <c r="I692" s="146"/>
      <c r="J692" s="146"/>
      <c r="K692" s="146"/>
      <c r="L692" s="146"/>
      <c r="M692" s="146"/>
      <c r="N692" s="146"/>
      <c r="O692" s="146"/>
      <c r="P692" s="146"/>
      <c r="Q692" s="146"/>
      <c r="R692" s="146"/>
      <c r="S692" s="146"/>
      <c r="T692" s="146"/>
      <c r="U692" s="146"/>
      <c r="V692" s="146"/>
      <c r="W692" s="146"/>
      <c r="X692" s="146"/>
      <c r="Y692" s="146"/>
      <c r="Z692" s="146"/>
    </row>
    <row r="693" spans="1:26" ht="15.75" customHeight="1">
      <c r="A693" s="146"/>
      <c r="B693" s="146"/>
      <c r="C693" s="146"/>
      <c r="D693" s="146"/>
      <c r="E693" s="146"/>
      <c r="F693" s="146"/>
      <c r="G693" s="146"/>
      <c r="H693" s="146"/>
      <c r="I693" s="146"/>
      <c r="J693" s="146"/>
      <c r="K693" s="146"/>
      <c r="L693" s="146"/>
      <c r="M693" s="146"/>
      <c r="N693" s="146"/>
      <c r="O693" s="146"/>
      <c r="P693" s="146"/>
      <c r="Q693" s="146"/>
      <c r="R693" s="146"/>
      <c r="S693" s="146"/>
      <c r="T693" s="146"/>
      <c r="U693" s="146"/>
      <c r="V693" s="146"/>
      <c r="W693" s="146"/>
      <c r="X693" s="146"/>
      <c r="Y693" s="146"/>
      <c r="Z693" s="146"/>
    </row>
    <row r="694" spans="1:26" ht="15.75" customHeight="1">
      <c r="A694" s="146"/>
      <c r="B694" s="146"/>
      <c r="C694" s="146"/>
      <c r="D694" s="146"/>
      <c r="E694" s="146"/>
      <c r="F694" s="146"/>
      <c r="G694" s="146"/>
      <c r="H694" s="146"/>
      <c r="I694" s="146"/>
      <c r="J694" s="146"/>
      <c r="K694" s="146"/>
      <c r="L694" s="146"/>
      <c r="M694" s="146"/>
      <c r="N694" s="146"/>
      <c r="O694" s="146"/>
      <c r="P694" s="146"/>
      <c r="Q694" s="146"/>
      <c r="R694" s="146"/>
      <c r="S694" s="146"/>
      <c r="T694" s="146"/>
      <c r="U694" s="146"/>
      <c r="V694" s="146"/>
      <c r="W694" s="146"/>
      <c r="X694" s="146"/>
      <c r="Y694" s="146"/>
      <c r="Z694" s="146"/>
    </row>
    <row r="695" spans="1:26" ht="15.75" customHeight="1">
      <c r="A695" s="146"/>
      <c r="B695" s="146"/>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row>
    <row r="696" spans="1:26" ht="15.75" customHeight="1">
      <c r="A696" s="146"/>
      <c r="B696" s="146"/>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row>
    <row r="697" spans="1:26" ht="15.75" customHeight="1">
      <c r="A697" s="146"/>
      <c r="B697" s="146"/>
      <c r="C697" s="146"/>
      <c r="D697" s="146"/>
      <c r="E697" s="146"/>
      <c r="F697" s="146"/>
      <c r="G697" s="146"/>
      <c r="H697" s="146"/>
      <c r="I697" s="146"/>
      <c r="J697" s="146"/>
      <c r="K697" s="146"/>
      <c r="L697" s="146"/>
      <c r="M697" s="146"/>
      <c r="N697" s="146"/>
      <c r="O697" s="146"/>
      <c r="P697" s="146"/>
      <c r="Q697" s="146"/>
      <c r="R697" s="146"/>
      <c r="S697" s="146"/>
      <c r="T697" s="146"/>
      <c r="U697" s="146"/>
      <c r="V697" s="146"/>
      <c r="W697" s="146"/>
      <c r="X697" s="146"/>
      <c r="Y697" s="146"/>
      <c r="Z697" s="146"/>
    </row>
    <row r="698" spans="1:26" ht="15.75" customHeight="1">
      <c r="A698" s="146"/>
      <c r="B698" s="146"/>
      <c r="C698" s="146"/>
      <c r="D698" s="146"/>
      <c r="E698" s="146"/>
      <c r="F698" s="146"/>
      <c r="G698" s="146"/>
      <c r="H698" s="146"/>
      <c r="I698" s="146"/>
      <c r="J698" s="146"/>
      <c r="K698" s="146"/>
      <c r="L698" s="146"/>
      <c r="M698" s="146"/>
      <c r="N698" s="146"/>
      <c r="O698" s="146"/>
      <c r="P698" s="146"/>
      <c r="Q698" s="146"/>
      <c r="R698" s="146"/>
      <c r="S698" s="146"/>
      <c r="T698" s="146"/>
      <c r="U698" s="146"/>
      <c r="V698" s="146"/>
      <c r="W698" s="146"/>
      <c r="X698" s="146"/>
      <c r="Y698" s="146"/>
      <c r="Z698" s="146"/>
    </row>
    <row r="699" spans="1:26" ht="15.75" customHeight="1">
      <c r="A699" s="146"/>
      <c r="B699" s="146"/>
      <c r="C699" s="146"/>
      <c r="D699" s="146"/>
      <c r="E699" s="146"/>
      <c r="F699" s="146"/>
      <c r="G699" s="146"/>
      <c r="H699" s="146"/>
      <c r="I699" s="146"/>
      <c r="J699" s="146"/>
      <c r="K699" s="146"/>
      <c r="L699" s="146"/>
      <c r="M699" s="146"/>
      <c r="N699" s="146"/>
      <c r="O699" s="146"/>
      <c r="P699" s="146"/>
      <c r="Q699" s="146"/>
      <c r="R699" s="146"/>
      <c r="S699" s="146"/>
      <c r="T699" s="146"/>
      <c r="U699" s="146"/>
      <c r="V699" s="146"/>
      <c r="W699" s="146"/>
      <c r="X699" s="146"/>
      <c r="Y699" s="146"/>
      <c r="Z699" s="146"/>
    </row>
    <row r="700" spans="1:26" ht="15.75" customHeight="1">
      <c r="A700" s="146"/>
      <c r="B700" s="146"/>
      <c r="C700" s="146"/>
      <c r="D700" s="146"/>
      <c r="E700" s="146"/>
      <c r="F700" s="146"/>
      <c r="G700" s="146"/>
      <c r="H700" s="146"/>
      <c r="I700" s="146"/>
      <c r="J700" s="146"/>
      <c r="K700" s="146"/>
      <c r="L700" s="146"/>
      <c r="M700" s="146"/>
      <c r="N700" s="146"/>
      <c r="O700" s="146"/>
      <c r="P700" s="146"/>
      <c r="Q700" s="146"/>
      <c r="R700" s="146"/>
      <c r="S700" s="146"/>
      <c r="T700" s="146"/>
      <c r="U700" s="146"/>
      <c r="V700" s="146"/>
      <c r="W700" s="146"/>
      <c r="X700" s="146"/>
      <c r="Y700" s="146"/>
      <c r="Z700" s="146"/>
    </row>
    <row r="701" spans="1:26" ht="15.75" customHeight="1">
      <c r="A701" s="146"/>
      <c r="B701" s="146"/>
      <c r="C701" s="146"/>
      <c r="D701" s="146"/>
      <c r="E701" s="146"/>
      <c r="F701" s="146"/>
      <c r="G701" s="146"/>
      <c r="H701" s="146"/>
      <c r="I701" s="146"/>
      <c r="J701" s="146"/>
      <c r="K701" s="146"/>
      <c r="L701" s="146"/>
      <c r="M701" s="146"/>
      <c r="N701" s="146"/>
      <c r="O701" s="146"/>
      <c r="P701" s="146"/>
      <c r="Q701" s="146"/>
      <c r="R701" s="146"/>
      <c r="S701" s="146"/>
      <c r="T701" s="146"/>
      <c r="U701" s="146"/>
      <c r="V701" s="146"/>
      <c r="W701" s="146"/>
      <c r="X701" s="146"/>
      <c r="Y701" s="146"/>
      <c r="Z701" s="146"/>
    </row>
    <row r="702" spans="1:26" ht="15.75" customHeight="1">
      <c r="A702" s="146"/>
      <c r="B702" s="146"/>
      <c r="C702" s="146"/>
      <c r="D702" s="146"/>
      <c r="E702" s="146"/>
      <c r="F702" s="146"/>
      <c r="G702" s="146"/>
      <c r="H702" s="146"/>
      <c r="I702" s="146"/>
      <c r="J702" s="146"/>
      <c r="K702" s="146"/>
      <c r="L702" s="146"/>
      <c r="M702" s="146"/>
      <c r="N702" s="146"/>
      <c r="O702" s="146"/>
      <c r="P702" s="146"/>
      <c r="Q702" s="146"/>
      <c r="R702" s="146"/>
      <c r="S702" s="146"/>
      <c r="T702" s="146"/>
      <c r="U702" s="146"/>
      <c r="V702" s="146"/>
      <c r="W702" s="146"/>
      <c r="X702" s="146"/>
      <c r="Y702" s="146"/>
      <c r="Z702" s="146"/>
    </row>
    <row r="703" spans="1:26" ht="15.75" customHeight="1">
      <c r="A703" s="146"/>
      <c r="B703" s="146"/>
      <c r="C703" s="146"/>
      <c r="D703" s="146"/>
      <c r="E703" s="146"/>
      <c r="F703" s="146"/>
      <c r="G703" s="146"/>
      <c r="H703" s="146"/>
      <c r="I703" s="146"/>
      <c r="J703" s="146"/>
      <c r="K703" s="146"/>
      <c r="L703" s="146"/>
      <c r="M703" s="146"/>
      <c r="N703" s="146"/>
      <c r="O703" s="146"/>
      <c r="P703" s="146"/>
      <c r="Q703" s="146"/>
      <c r="R703" s="146"/>
      <c r="S703" s="146"/>
      <c r="T703" s="146"/>
      <c r="U703" s="146"/>
      <c r="V703" s="146"/>
      <c r="W703" s="146"/>
      <c r="X703" s="146"/>
      <c r="Y703" s="146"/>
      <c r="Z703" s="146"/>
    </row>
    <row r="704" spans="1:26" ht="15.75" customHeight="1">
      <c r="A704" s="146"/>
      <c r="B704" s="146"/>
      <c r="C704" s="146"/>
      <c r="D704" s="146"/>
      <c r="E704" s="146"/>
      <c r="F704" s="146"/>
      <c r="G704" s="146"/>
      <c r="H704" s="146"/>
      <c r="I704" s="146"/>
      <c r="J704" s="146"/>
      <c r="K704" s="146"/>
      <c r="L704" s="146"/>
      <c r="M704" s="146"/>
      <c r="N704" s="146"/>
      <c r="O704" s="146"/>
      <c r="P704" s="146"/>
      <c r="Q704" s="146"/>
      <c r="R704" s="146"/>
      <c r="S704" s="146"/>
      <c r="T704" s="146"/>
      <c r="U704" s="146"/>
      <c r="V704" s="146"/>
      <c r="W704" s="146"/>
      <c r="X704" s="146"/>
      <c r="Y704" s="146"/>
      <c r="Z704" s="146"/>
    </row>
    <row r="705" spans="1:26" ht="15.75" customHeight="1">
      <c r="A705" s="146"/>
      <c r="B705" s="146"/>
      <c r="C705" s="146"/>
      <c r="D705" s="146"/>
      <c r="E705" s="146"/>
      <c r="F705" s="146"/>
      <c r="G705" s="146"/>
      <c r="H705" s="146"/>
      <c r="I705" s="146"/>
      <c r="J705" s="146"/>
      <c r="K705" s="146"/>
      <c r="L705" s="146"/>
      <c r="M705" s="146"/>
      <c r="N705" s="146"/>
      <c r="O705" s="146"/>
      <c r="P705" s="146"/>
      <c r="Q705" s="146"/>
      <c r="R705" s="146"/>
      <c r="S705" s="146"/>
      <c r="T705" s="146"/>
      <c r="U705" s="146"/>
      <c r="V705" s="146"/>
      <c r="W705" s="146"/>
      <c r="X705" s="146"/>
      <c r="Y705" s="146"/>
      <c r="Z705" s="146"/>
    </row>
    <row r="706" spans="1:26" ht="15.75" customHeight="1">
      <c r="A706" s="146"/>
      <c r="B706" s="146"/>
      <c r="C706" s="146"/>
      <c r="D706" s="146"/>
      <c r="E706" s="146"/>
      <c r="F706" s="146"/>
      <c r="G706" s="146"/>
      <c r="H706" s="146"/>
      <c r="I706" s="146"/>
      <c r="J706" s="146"/>
      <c r="K706" s="146"/>
      <c r="L706" s="146"/>
      <c r="M706" s="146"/>
      <c r="N706" s="146"/>
      <c r="O706" s="146"/>
      <c r="P706" s="146"/>
      <c r="Q706" s="146"/>
      <c r="R706" s="146"/>
      <c r="S706" s="146"/>
      <c r="T706" s="146"/>
      <c r="U706" s="146"/>
      <c r="V706" s="146"/>
      <c r="W706" s="146"/>
      <c r="X706" s="146"/>
      <c r="Y706" s="146"/>
      <c r="Z706" s="146"/>
    </row>
    <row r="707" spans="1:26" ht="15.75" customHeight="1">
      <c r="A707" s="146"/>
      <c r="B707" s="146"/>
      <c r="C707" s="146"/>
      <c r="D707" s="146"/>
      <c r="E707" s="146"/>
      <c r="F707" s="146"/>
      <c r="G707" s="146"/>
      <c r="H707" s="146"/>
      <c r="I707" s="146"/>
      <c r="J707" s="146"/>
      <c r="K707" s="146"/>
      <c r="L707" s="146"/>
      <c r="M707" s="146"/>
      <c r="N707" s="146"/>
      <c r="O707" s="146"/>
      <c r="P707" s="146"/>
      <c r="Q707" s="146"/>
      <c r="R707" s="146"/>
      <c r="S707" s="146"/>
      <c r="T707" s="146"/>
      <c r="U707" s="146"/>
      <c r="V707" s="146"/>
      <c r="W707" s="146"/>
      <c r="X707" s="146"/>
      <c r="Y707" s="146"/>
      <c r="Z707" s="146"/>
    </row>
    <row r="708" spans="1:26" ht="15.75" customHeight="1">
      <c r="A708" s="146"/>
      <c r="B708" s="146"/>
      <c r="C708" s="146"/>
      <c r="D708" s="146"/>
      <c r="E708" s="146"/>
      <c r="F708" s="146"/>
      <c r="G708" s="146"/>
      <c r="H708" s="146"/>
      <c r="I708" s="146"/>
      <c r="J708" s="146"/>
      <c r="K708" s="146"/>
      <c r="L708" s="146"/>
      <c r="M708" s="146"/>
      <c r="N708" s="146"/>
      <c r="O708" s="146"/>
      <c r="P708" s="146"/>
      <c r="Q708" s="146"/>
      <c r="R708" s="146"/>
      <c r="S708" s="146"/>
      <c r="T708" s="146"/>
      <c r="U708" s="146"/>
      <c r="V708" s="146"/>
      <c r="W708" s="146"/>
      <c r="X708" s="146"/>
      <c r="Y708" s="146"/>
      <c r="Z708" s="146"/>
    </row>
    <row r="709" spans="1:26" ht="15.75" customHeight="1">
      <c r="A709" s="146"/>
      <c r="B709" s="146"/>
      <c r="C709" s="146"/>
      <c r="D709" s="146"/>
      <c r="E709" s="146"/>
      <c r="F709" s="146"/>
      <c r="G709" s="146"/>
      <c r="H709" s="146"/>
      <c r="I709" s="146"/>
      <c r="J709" s="146"/>
      <c r="K709" s="146"/>
      <c r="L709" s="146"/>
      <c r="M709" s="146"/>
      <c r="N709" s="146"/>
      <c r="O709" s="146"/>
      <c r="P709" s="146"/>
      <c r="Q709" s="146"/>
      <c r="R709" s="146"/>
      <c r="S709" s="146"/>
      <c r="T709" s="146"/>
      <c r="U709" s="146"/>
      <c r="V709" s="146"/>
      <c r="W709" s="146"/>
      <c r="X709" s="146"/>
      <c r="Y709" s="146"/>
      <c r="Z709" s="146"/>
    </row>
    <row r="710" spans="1:26" ht="15.75" customHeight="1">
      <c r="A710" s="146"/>
      <c r="B710" s="146"/>
      <c r="C710" s="146"/>
      <c r="D710" s="146"/>
      <c r="E710" s="146"/>
      <c r="F710" s="146"/>
      <c r="G710" s="146"/>
      <c r="H710" s="146"/>
      <c r="I710" s="146"/>
      <c r="J710" s="146"/>
      <c r="K710" s="146"/>
      <c r="L710" s="146"/>
      <c r="M710" s="146"/>
      <c r="N710" s="146"/>
      <c r="O710" s="146"/>
      <c r="P710" s="146"/>
      <c r="Q710" s="146"/>
      <c r="R710" s="146"/>
      <c r="S710" s="146"/>
      <c r="T710" s="146"/>
      <c r="U710" s="146"/>
      <c r="V710" s="146"/>
      <c r="W710" s="146"/>
      <c r="X710" s="146"/>
      <c r="Y710" s="146"/>
      <c r="Z710" s="146"/>
    </row>
    <row r="711" spans="1:26" ht="15.75" customHeight="1">
      <c r="A711" s="146"/>
      <c r="B711" s="146"/>
      <c r="C711" s="146"/>
      <c r="D711" s="146"/>
      <c r="E711" s="146"/>
      <c r="F711" s="146"/>
      <c r="G711" s="146"/>
      <c r="H711" s="146"/>
      <c r="I711" s="146"/>
      <c r="J711" s="146"/>
      <c r="K711" s="146"/>
      <c r="L711" s="146"/>
      <c r="M711" s="146"/>
      <c r="N711" s="146"/>
      <c r="O711" s="146"/>
      <c r="P711" s="146"/>
      <c r="Q711" s="146"/>
      <c r="R711" s="146"/>
      <c r="S711" s="146"/>
      <c r="T711" s="146"/>
      <c r="U711" s="146"/>
      <c r="V711" s="146"/>
      <c r="W711" s="146"/>
      <c r="X711" s="146"/>
      <c r="Y711" s="146"/>
      <c r="Z711" s="146"/>
    </row>
    <row r="712" spans="1:26" ht="15.75" customHeight="1">
      <c r="A712" s="146"/>
      <c r="B712" s="146"/>
      <c r="C712" s="146"/>
      <c r="D712" s="146"/>
      <c r="E712" s="146"/>
      <c r="F712" s="146"/>
      <c r="G712" s="146"/>
      <c r="H712" s="146"/>
      <c r="I712" s="146"/>
      <c r="J712" s="146"/>
      <c r="K712" s="146"/>
      <c r="L712" s="146"/>
      <c r="M712" s="146"/>
      <c r="N712" s="146"/>
      <c r="O712" s="146"/>
      <c r="P712" s="146"/>
      <c r="Q712" s="146"/>
      <c r="R712" s="146"/>
      <c r="S712" s="146"/>
      <c r="T712" s="146"/>
      <c r="U712" s="146"/>
      <c r="V712" s="146"/>
      <c r="W712" s="146"/>
      <c r="X712" s="146"/>
      <c r="Y712" s="146"/>
      <c r="Z712" s="146"/>
    </row>
    <row r="713" spans="1:26" ht="15.75" customHeight="1">
      <c r="A713" s="146"/>
      <c r="B713" s="146"/>
      <c r="C713" s="146"/>
      <c r="D713" s="146"/>
      <c r="E713" s="146"/>
      <c r="F713" s="146"/>
      <c r="G713" s="146"/>
      <c r="H713" s="146"/>
      <c r="I713" s="146"/>
      <c r="J713" s="146"/>
      <c r="K713" s="146"/>
      <c r="L713" s="146"/>
      <c r="M713" s="146"/>
      <c r="N713" s="146"/>
      <c r="O713" s="146"/>
      <c r="P713" s="146"/>
      <c r="Q713" s="146"/>
      <c r="R713" s="146"/>
      <c r="S713" s="146"/>
      <c r="T713" s="146"/>
      <c r="U713" s="146"/>
      <c r="V713" s="146"/>
      <c r="W713" s="146"/>
      <c r="X713" s="146"/>
      <c r="Y713" s="146"/>
      <c r="Z713" s="146"/>
    </row>
    <row r="714" spans="1:26" ht="15.75" customHeight="1">
      <c r="A714" s="146"/>
      <c r="B714" s="146"/>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row>
    <row r="715" spans="1:26" ht="15.75" customHeight="1">
      <c r="A715" s="146"/>
      <c r="B715" s="146"/>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row>
    <row r="716" spans="1:26" ht="15.75" customHeight="1">
      <c r="A716" s="146"/>
      <c r="B716" s="146"/>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row>
    <row r="717" spans="1:26" ht="15.75" customHeight="1">
      <c r="A717" s="146"/>
      <c r="B717" s="146"/>
      <c r="C717" s="146"/>
      <c r="D717" s="146"/>
      <c r="E717" s="146"/>
      <c r="F717" s="146"/>
      <c r="G717" s="146"/>
      <c r="H717" s="146"/>
      <c r="I717" s="146"/>
      <c r="J717" s="146"/>
      <c r="K717" s="146"/>
      <c r="L717" s="146"/>
      <c r="M717" s="146"/>
      <c r="N717" s="146"/>
      <c r="O717" s="146"/>
      <c r="P717" s="146"/>
      <c r="Q717" s="146"/>
      <c r="R717" s="146"/>
      <c r="S717" s="146"/>
      <c r="T717" s="146"/>
      <c r="U717" s="146"/>
      <c r="V717" s="146"/>
      <c r="W717" s="146"/>
      <c r="X717" s="146"/>
      <c r="Y717" s="146"/>
      <c r="Z717" s="146"/>
    </row>
    <row r="718" spans="1:26" ht="15.75" customHeight="1">
      <c r="A718" s="146"/>
      <c r="B718" s="146"/>
      <c r="C718" s="146"/>
      <c r="D718" s="146"/>
      <c r="E718" s="146"/>
      <c r="F718" s="146"/>
      <c r="G718" s="146"/>
      <c r="H718" s="146"/>
      <c r="I718" s="146"/>
      <c r="J718" s="146"/>
      <c r="K718" s="146"/>
      <c r="L718" s="146"/>
      <c r="M718" s="146"/>
      <c r="N718" s="146"/>
      <c r="O718" s="146"/>
      <c r="P718" s="146"/>
      <c r="Q718" s="146"/>
      <c r="R718" s="146"/>
      <c r="S718" s="146"/>
      <c r="T718" s="146"/>
      <c r="U718" s="146"/>
      <c r="V718" s="146"/>
      <c r="W718" s="146"/>
      <c r="X718" s="146"/>
      <c r="Y718" s="146"/>
      <c r="Z718" s="146"/>
    </row>
    <row r="719" spans="1:26" ht="15.75" customHeight="1">
      <c r="A719" s="146"/>
      <c r="B719" s="146"/>
      <c r="C719" s="146"/>
      <c r="D719" s="146"/>
      <c r="E719" s="146"/>
      <c r="F719" s="146"/>
      <c r="G719" s="146"/>
      <c r="H719" s="146"/>
      <c r="I719" s="146"/>
      <c r="J719" s="146"/>
      <c r="K719" s="146"/>
      <c r="L719" s="146"/>
      <c r="M719" s="146"/>
      <c r="N719" s="146"/>
      <c r="O719" s="146"/>
      <c r="P719" s="146"/>
      <c r="Q719" s="146"/>
      <c r="R719" s="146"/>
      <c r="S719" s="146"/>
      <c r="T719" s="146"/>
      <c r="U719" s="146"/>
      <c r="V719" s="146"/>
      <c r="W719" s="146"/>
      <c r="X719" s="146"/>
      <c r="Y719" s="146"/>
      <c r="Z719" s="146"/>
    </row>
    <row r="720" spans="1:26" ht="15.75" customHeight="1">
      <c r="A720" s="146"/>
      <c r="B720" s="146"/>
      <c r="C720" s="146"/>
      <c r="D720" s="146"/>
      <c r="E720" s="146"/>
      <c r="F720" s="146"/>
      <c r="G720" s="146"/>
      <c r="H720" s="146"/>
      <c r="I720" s="146"/>
      <c r="J720" s="146"/>
      <c r="K720" s="146"/>
      <c r="L720" s="146"/>
      <c r="M720" s="146"/>
      <c r="N720" s="146"/>
      <c r="O720" s="146"/>
      <c r="P720" s="146"/>
      <c r="Q720" s="146"/>
      <c r="R720" s="146"/>
      <c r="S720" s="146"/>
      <c r="T720" s="146"/>
      <c r="U720" s="146"/>
      <c r="V720" s="146"/>
      <c r="W720" s="146"/>
      <c r="X720" s="146"/>
      <c r="Y720" s="146"/>
      <c r="Z720" s="146"/>
    </row>
    <row r="721" spans="1:26" ht="15.75" customHeight="1">
      <c r="A721" s="146"/>
      <c r="B721" s="146"/>
      <c r="C721" s="146"/>
      <c r="D721" s="146"/>
      <c r="E721" s="146"/>
      <c r="F721" s="146"/>
      <c r="G721" s="146"/>
      <c r="H721" s="146"/>
      <c r="I721" s="146"/>
      <c r="J721" s="146"/>
      <c r="K721" s="146"/>
      <c r="L721" s="146"/>
      <c r="M721" s="146"/>
      <c r="N721" s="146"/>
      <c r="O721" s="146"/>
      <c r="P721" s="146"/>
      <c r="Q721" s="146"/>
      <c r="R721" s="146"/>
      <c r="S721" s="146"/>
      <c r="T721" s="146"/>
      <c r="U721" s="146"/>
      <c r="V721" s="146"/>
      <c r="W721" s="146"/>
      <c r="X721" s="146"/>
      <c r="Y721" s="146"/>
      <c r="Z721" s="146"/>
    </row>
    <row r="722" spans="1:26" ht="15.75" customHeight="1">
      <c r="A722" s="146"/>
      <c r="B722" s="146"/>
      <c r="C722" s="146"/>
      <c r="D722" s="146"/>
      <c r="E722" s="146"/>
      <c r="F722" s="146"/>
      <c r="G722" s="146"/>
      <c r="H722" s="146"/>
      <c r="I722" s="146"/>
      <c r="J722" s="146"/>
      <c r="K722" s="146"/>
      <c r="L722" s="146"/>
      <c r="M722" s="146"/>
      <c r="N722" s="146"/>
      <c r="O722" s="146"/>
      <c r="P722" s="146"/>
      <c r="Q722" s="146"/>
      <c r="R722" s="146"/>
      <c r="S722" s="146"/>
      <c r="T722" s="146"/>
      <c r="U722" s="146"/>
      <c r="V722" s="146"/>
      <c r="W722" s="146"/>
      <c r="X722" s="146"/>
      <c r="Y722" s="146"/>
      <c r="Z722" s="146"/>
    </row>
    <row r="723" spans="1:26" ht="15.75" customHeight="1">
      <c r="A723" s="146"/>
      <c r="B723" s="146"/>
      <c r="C723" s="146"/>
      <c r="D723" s="146"/>
      <c r="E723" s="146"/>
      <c r="F723" s="146"/>
      <c r="G723" s="146"/>
      <c r="H723" s="146"/>
      <c r="I723" s="146"/>
      <c r="J723" s="146"/>
      <c r="K723" s="146"/>
      <c r="L723" s="146"/>
      <c r="M723" s="146"/>
      <c r="N723" s="146"/>
      <c r="O723" s="146"/>
      <c r="P723" s="146"/>
      <c r="Q723" s="146"/>
      <c r="R723" s="146"/>
      <c r="S723" s="146"/>
      <c r="T723" s="146"/>
      <c r="U723" s="146"/>
      <c r="V723" s="146"/>
      <c r="W723" s="146"/>
      <c r="X723" s="146"/>
      <c r="Y723" s="146"/>
      <c r="Z723" s="146"/>
    </row>
    <row r="724" spans="1:26" ht="15.75" customHeight="1">
      <c r="A724" s="146"/>
      <c r="B724" s="146"/>
      <c r="C724" s="146"/>
      <c r="D724" s="146"/>
      <c r="E724" s="146"/>
      <c r="F724" s="146"/>
      <c r="G724" s="146"/>
      <c r="H724" s="146"/>
      <c r="I724" s="146"/>
      <c r="J724" s="146"/>
      <c r="K724" s="146"/>
      <c r="L724" s="146"/>
      <c r="M724" s="146"/>
      <c r="N724" s="146"/>
      <c r="O724" s="146"/>
      <c r="P724" s="146"/>
      <c r="Q724" s="146"/>
      <c r="R724" s="146"/>
      <c r="S724" s="146"/>
      <c r="T724" s="146"/>
      <c r="U724" s="146"/>
      <c r="V724" s="146"/>
      <c r="W724" s="146"/>
      <c r="X724" s="146"/>
      <c r="Y724" s="146"/>
      <c r="Z724" s="146"/>
    </row>
    <row r="725" spans="1:26" ht="15.75" customHeight="1">
      <c r="A725" s="146"/>
      <c r="B725" s="146"/>
      <c r="C725" s="146"/>
      <c r="D725" s="146"/>
      <c r="E725" s="146"/>
      <c r="F725" s="146"/>
      <c r="G725" s="146"/>
      <c r="H725" s="146"/>
      <c r="I725" s="146"/>
      <c r="J725" s="146"/>
      <c r="K725" s="146"/>
      <c r="L725" s="146"/>
      <c r="M725" s="146"/>
      <c r="N725" s="146"/>
      <c r="O725" s="146"/>
      <c r="P725" s="146"/>
      <c r="Q725" s="146"/>
      <c r="R725" s="146"/>
      <c r="S725" s="146"/>
      <c r="T725" s="146"/>
      <c r="U725" s="146"/>
      <c r="V725" s="146"/>
      <c r="W725" s="146"/>
      <c r="X725" s="146"/>
      <c r="Y725" s="146"/>
      <c r="Z725" s="146"/>
    </row>
    <row r="726" spans="1:26" ht="15.75" customHeight="1">
      <c r="A726" s="146"/>
      <c r="B726" s="146"/>
      <c r="C726" s="146"/>
      <c r="D726" s="146"/>
      <c r="E726" s="146"/>
      <c r="F726" s="146"/>
      <c r="G726" s="146"/>
      <c r="H726" s="146"/>
      <c r="I726" s="146"/>
      <c r="J726" s="146"/>
      <c r="K726" s="146"/>
      <c r="L726" s="146"/>
      <c r="M726" s="146"/>
      <c r="N726" s="146"/>
      <c r="O726" s="146"/>
      <c r="P726" s="146"/>
      <c r="Q726" s="146"/>
      <c r="R726" s="146"/>
      <c r="S726" s="146"/>
      <c r="T726" s="146"/>
      <c r="U726" s="146"/>
      <c r="V726" s="146"/>
      <c r="W726" s="146"/>
      <c r="X726" s="146"/>
      <c r="Y726" s="146"/>
      <c r="Z726" s="146"/>
    </row>
    <row r="727" spans="1:26" ht="15.75" customHeight="1">
      <c r="A727" s="146"/>
      <c r="B727" s="146"/>
      <c r="C727" s="146"/>
      <c r="D727" s="146"/>
      <c r="E727" s="146"/>
      <c r="F727" s="146"/>
      <c r="G727" s="146"/>
      <c r="H727" s="146"/>
      <c r="I727" s="146"/>
      <c r="J727" s="146"/>
      <c r="K727" s="146"/>
      <c r="L727" s="146"/>
      <c r="M727" s="146"/>
      <c r="N727" s="146"/>
      <c r="O727" s="146"/>
      <c r="P727" s="146"/>
      <c r="Q727" s="146"/>
      <c r="R727" s="146"/>
      <c r="S727" s="146"/>
      <c r="T727" s="146"/>
      <c r="U727" s="146"/>
      <c r="V727" s="146"/>
      <c r="W727" s="146"/>
      <c r="X727" s="146"/>
      <c r="Y727" s="146"/>
      <c r="Z727" s="146"/>
    </row>
    <row r="728" spans="1:26" ht="15.75" customHeight="1">
      <c r="A728" s="146"/>
      <c r="B728" s="146"/>
      <c r="C728" s="146"/>
      <c r="D728" s="146"/>
      <c r="E728" s="146"/>
      <c r="F728" s="146"/>
      <c r="G728" s="146"/>
      <c r="H728" s="146"/>
      <c r="I728" s="146"/>
      <c r="J728" s="146"/>
      <c r="K728" s="146"/>
      <c r="L728" s="146"/>
      <c r="M728" s="146"/>
      <c r="N728" s="146"/>
      <c r="O728" s="146"/>
      <c r="P728" s="146"/>
      <c r="Q728" s="146"/>
      <c r="R728" s="146"/>
      <c r="S728" s="146"/>
      <c r="T728" s="146"/>
      <c r="U728" s="146"/>
      <c r="V728" s="146"/>
      <c r="W728" s="146"/>
      <c r="X728" s="146"/>
      <c r="Y728" s="146"/>
      <c r="Z728" s="146"/>
    </row>
    <row r="729" spans="1:26" ht="15.75" customHeight="1">
      <c r="A729" s="146"/>
      <c r="B729" s="146"/>
      <c r="C729" s="146"/>
      <c r="D729" s="146"/>
      <c r="E729" s="146"/>
      <c r="F729" s="146"/>
      <c r="G729" s="146"/>
      <c r="H729" s="146"/>
      <c r="I729" s="146"/>
      <c r="J729" s="146"/>
      <c r="K729" s="146"/>
      <c r="L729" s="146"/>
      <c r="M729" s="146"/>
      <c r="N729" s="146"/>
      <c r="O729" s="146"/>
      <c r="P729" s="146"/>
      <c r="Q729" s="146"/>
      <c r="R729" s="146"/>
      <c r="S729" s="146"/>
      <c r="T729" s="146"/>
      <c r="U729" s="146"/>
      <c r="V729" s="146"/>
      <c r="W729" s="146"/>
      <c r="X729" s="146"/>
      <c r="Y729" s="146"/>
      <c r="Z729" s="146"/>
    </row>
    <row r="730" spans="1:26" ht="15.75" customHeight="1">
      <c r="A730" s="146"/>
      <c r="B730" s="146"/>
      <c r="C730" s="146"/>
      <c r="D730" s="146"/>
      <c r="E730" s="146"/>
      <c r="F730" s="146"/>
      <c r="G730" s="146"/>
      <c r="H730" s="146"/>
      <c r="I730" s="146"/>
      <c r="J730" s="146"/>
      <c r="K730" s="146"/>
      <c r="L730" s="146"/>
      <c r="M730" s="146"/>
      <c r="N730" s="146"/>
      <c r="O730" s="146"/>
      <c r="P730" s="146"/>
      <c r="Q730" s="146"/>
      <c r="R730" s="146"/>
      <c r="S730" s="146"/>
      <c r="T730" s="146"/>
      <c r="U730" s="146"/>
      <c r="V730" s="146"/>
      <c r="W730" s="146"/>
      <c r="X730" s="146"/>
      <c r="Y730" s="146"/>
      <c r="Z730" s="146"/>
    </row>
    <row r="731" spans="1:26" ht="15.75" customHeight="1">
      <c r="A731" s="146"/>
      <c r="B731" s="146"/>
      <c r="C731" s="146"/>
      <c r="D731" s="146"/>
      <c r="E731" s="146"/>
      <c r="F731" s="146"/>
      <c r="G731" s="146"/>
      <c r="H731" s="146"/>
      <c r="I731" s="146"/>
      <c r="J731" s="146"/>
      <c r="K731" s="146"/>
      <c r="L731" s="146"/>
      <c r="M731" s="146"/>
      <c r="N731" s="146"/>
      <c r="O731" s="146"/>
      <c r="P731" s="146"/>
      <c r="Q731" s="146"/>
      <c r="R731" s="146"/>
      <c r="S731" s="146"/>
      <c r="T731" s="146"/>
      <c r="U731" s="146"/>
      <c r="V731" s="146"/>
      <c r="W731" s="146"/>
      <c r="X731" s="146"/>
      <c r="Y731" s="146"/>
      <c r="Z731" s="146"/>
    </row>
    <row r="732" spans="1:26" ht="15.75" customHeight="1">
      <c r="A732" s="146"/>
      <c r="B732" s="146"/>
      <c r="C732" s="146"/>
      <c r="D732" s="146"/>
      <c r="E732" s="146"/>
      <c r="F732" s="146"/>
      <c r="G732" s="146"/>
      <c r="H732" s="146"/>
      <c r="I732" s="146"/>
      <c r="J732" s="146"/>
      <c r="K732" s="146"/>
      <c r="L732" s="146"/>
      <c r="M732" s="146"/>
      <c r="N732" s="146"/>
      <c r="O732" s="146"/>
      <c r="P732" s="146"/>
      <c r="Q732" s="146"/>
      <c r="R732" s="146"/>
      <c r="S732" s="146"/>
      <c r="T732" s="146"/>
      <c r="U732" s="146"/>
      <c r="V732" s="146"/>
      <c r="W732" s="146"/>
      <c r="X732" s="146"/>
      <c r="Y732" s="146"/>
      <c r="Z732" s="146"/>
    </row>
    <row r="733" spans="1:26" ht="15.75" customHeight="1">
      <c r="A733" s="146"/>
      <c r="B733" s="146"/>
      <c r="C733" s="146"/>
      <c r="D733" s="146"/>
      <c r="E733" s="146"/>
      <c r="F733" s="146"/>
      <c r="G733" s="146"/>
      <c r="H733" s="146"/>
      <c r="I733" s="146"/>
      <c r="J733" s="146"/>
      <c r="K733" s="146"/>
      <c r="L733" s="146"/>
      <c r="M733" s="146"/>
      <c r="N733" s="146"/>
      <c r="O733" s="146"/>
      <c r="P733" s="146"/>
      <c r="Q733" s="146"/>
      <c r="R733" s="146"/>
      <c r="S733" s="146"/>
      <c r="T733" s="146"/>
      <c r="U733" s="146"/>
      <c r="V733" s="146"/>
      <c r="W733" s="146"/>
      <c r="X733" s="146"/>
      <c r="Y733" s="146"/>
      <c r="Z733" s="146"/>
    </row>
    <row r="734" spans="1:26" ht="15.75" customHeight="1">
      <c r="A734" s="146"/>
      <c r="B734" s="146"/>
      <c r="C734" s="146"/>
      <c r="D734" s="146"/>
      <c r="E734" s="146"/>
      <c r="F734" s="146"/>
      <c r="G734" s="146"/>
      <c r="H734" s="146"/>
      <c r="I734" s="146"/>
      <c r="J734" s="146"/>
      <c r="K734" s="146"/>
      <c r="L734" s="146"/>
      <c r="M734" s="146"/>
      <c r="N734" s="146"/>
      <c r="O734" s="146"/>
      <c r="P734" s="146"/>
      <c r="Q734" s="146"/>
      <c r="R734" s="146"/>
      <c r="S734" s="146"/>
      <c r="T734" s="146"/>
      <c r="U734" s="146"/>
      <c r="V734" s="146"/>
      <c r="W734" s="146"/>
      <c r="X734" s="146"/>
      <c r="Y734" s="146"/>
      <c r="Z734" s="146"/>
    </row>
    <row r="735" spans="1:26" ht="15.75" customHeight="1">
      <c r="A735" s="146"/>
      <c r="B735" s="146"/>
      <c r="C735" s="146"/>
      <c r="D735" s="146"/>
      <c r="E735" s="146"/>
      <c r="F735" s="146"/>
      <c r="G735" s="146"/>
      <c r="H735" s="146"/>
      <c r="I735" s="146"/>
      <c r="J735" s="146"/>
      <c r="K735" s="146"/>
      <c r="L735" s="146"/>
      <c r="M735" s="146"/>
      <c r="N735" s="146"/>
      <c r="O735" s="146"/>
      <c r="P735" s="146"/>
      <c r="Q735" s="146"/>
      <c r="R735" s="146"/>
      <c r="S735" s="146"/>
      <c r="T735" s="146"/>
      <c r="U735" s="146"/>
      <c r="V735" s="146"/>
      <c r="W735" s="146"/>
      <c r="X735" s="146"/>
      <c r="Y735" s="146"/>
      <c r="Z735" s="146"/>
    </row>
    <row r="736" spans="1:26" ht="15.75" customHeight="1">
      <c r="A736" s="146"/>
      <c r="B736" s="146"/>
      <c r="C736" s="146"/>
      <c r="D736" s="146"/>
      <c r="E736" s="146"/>
      <c r="F736" s="146"/>
      <c r="G736" s="146"/>
      <c r="H736" s="146"/>
      <c r="I736" s="146"/>
      <c r="J736" s="146"/>
      <c r="K736" s="146"/>
      <c r="L736" s="146"/>
      <c r="M736" s="146"/>
      <c r="N736" s="146"/>
      <c r="O736" s="146"/>
      <c r="P736" s="146"/>
      <c r="Q736" s="146"/>
      <c r="R736" s="146"/>
      <c r="S736" s="146"/>
      <c r="T736" s="146"/>
      <c r="U736" s="146"/>
      <c r="V736" s="146"/>
      <c r="W736" s="146"/>
      <c r="X736" s="146"/>
      <c r="Y736" s="146"/>
      <c r="Z736" s="146"/>
    </row>
    <row r="737" spans="1:26" ht="15.75" customHeight="1">
      <c r="A737" s="146"/>
      <c r="B737" s="146"/>
      <c r="C737" s="146"/>
      <c r="D737" s="146"/>
      <c r="E737" s="146"/>
      <c r="F737" s="146"/>
      <c r="G737" s="146"/>
      <c r="H737" s="146"/>
      <c r="I737" s="146"/>
      <c r="J737" s="146"/>
      <c r="K737" s="146"/>
      <c r="L737" s="146"/>
      <c r="M737" s="146"/>
      <c r="N737" s="146"/>
      <c r="O737" s="146"/>
      <c r="P737" s="146"/>
      <c r="Q737" s="146"/>
      <c r="R737" s="146"/>
      <c r="S737" s="146"/>
      <c r="T737" s="146"/>
      <c r="U737" s="146"/>
      <c r="V737" s="146"/>
      <c r="W737" s="146"/>
      <c r="X737" s="146"/>
      <c r="Y737" s="146"/>
      <c r="Z737" s="146"/>
    </row>
    <row r="738" spans="1:26" ht="15.75" customHeight="1">
      <c r="A738" s="146"/>
      <c r="B738" s="146"/>
      <c r="C738" s="146"/>
      <c r="D738" s="146"/>
      <c r="E738" s="146"/>
      <c r="F738" s="146"/>
      <c r="G738" s="146"/>
      <c r="H738" s="146"/>
      <c r="I738" s="146"/>
      <c r="J738" s="146"/>
      <c r="K738" s="146"/>
      <c r="L738" s="146"/>
      <c r="M738" s="146"/>
      <c r="N738" s="146"/>
      <c r="O738" s="146"/>
      <c r="P738" s="146"/>
      <c r="Q738" s="146"/>
      <c r="R738" s="146"/>
      <c r="S738" s="146"/>
      <c r="T738" s="146"/>
      <c r="U738" s="146"/>
      <c r="V738" s="146"/>
      <c r="W738" s="146"/>
      <c r="X738" s="146"/>
      <c r="Y738" s="146"/>
      <c r="Z738" s="146"/>
    </row>
    <row r="739" spans="1:26" ht="15.75" customHeight="1">
      <c r="A739" s="146"/>
      <c r="B739" s="146"/>
      <c r="C739" s="146"/>
      <c r="D739" s="146"/>
      <c r="E739" s="146"/>
      <c r="F739" s="146"/>
      <c r="G739" s="146"/>
      <c r="H739" s="146"/>
      <c r="I739" s="146"/>
      <c r="J739" s="146"/>
      <c r="K739" s="146"/>
      <c r="L739" s="146"/>
      <c r="M739" s="146"/>
      <c r="N739" s="146"/>
      <c r="O739" s="146"/>
      <c r="P739" s="146"/>
      <c r="Q739" s="146"/>
      <c r="R739" s="146"/>
      <c r="S739" s="146"/>
      <c r="T739" s="146"/>
      <c r="U739" s="146"/>
      <c r="V739" s="146"/>
      <c r="W739" s="146"/>
      <c r="X739" s="146"/>
      <c r="Y739" s="146"/>
      <c r="Z739" s="146"/>
    </row>
    <row r="740" spans="1:26" ht="15.75" customHeight="1">
      <c r="A740" s="146"/>
      <c r="B740" s="146"/>
      <c r="C740" s="146"/>
      <c r="D740" s="146"/>
      <c r="E740" s="146"/>
      <c r="F740" s="146"/>
      <c r="G740" s="146"/>
      <c r="H740" s="146"/>
      <c r="I740" s="146"/>
      <c r="J740" s="146"/>
      <c r="K740" s="146"/>
      <c r="L740" s="146"/>
      <c r="M740" s="146"/>
      <c r="N740" s="146"/>
      <c r="O740" s="146"/>
      <c r="P740" s="146"/>
      <c r="Q740" s="146"/>
      <c r="R740" s="146"/>
      <c r="S740" s="146"/>
      <c r="T740" s="146"/>
      <c r="U740" s="146"/>
      <c r="V740" s="146"/>
      <c r="W740" s="146"/>
      <c r="X740" s="146"/>
      <c r="Y740" s="146"/>
      <c r="Z740" s="146"/>
    </row>
    <row r="741" spans="1:26" ht="15.75" customHeight="1">
      <c r="A741" s="146"/>
      <c r="B741" s="146"/>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row>
    <row r="742" spans="1:26" ht="15.75" customHeight="1">
      <c r="A742" s="146"/>
      <c r="B742" s="146"/>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row>
    <row r="743" spans="1:26" ht="15.75" customHeight="1">
      <c r="A743" s="146"/>
      <c r="B743" s="146"/>
      <c r="C743" s="146"/>
      <c r="D743" s="146"/>
      <c r="E743" s="146"/>
      <c r="F743" s="146"/>
      <c r="G743" s="146"/>
      <c r="H743" s="146"/>
      <c r="I743" s="146"/>
      <c r="J743" s="146"/>
      <c r="K743" s="146"/>
      <c r="L743" s="146"/>
      <c r="M743" s="146"/>
      <c r="N743" s="146"/>
      <c r="O743" s="146"/>
      <c r="P743" s="146"/>
      <c r="Q743" s="146"/>
      <c r="R743" s="146"/>
      <c r="S743" s="146"/>
      <c r="T743" s="146"/>
      <c r="U743" s="146"/>
      <c r="V743" s="146"/>
      <c r="W743" s="146"/>
      <c r="X743" s="146"/>
      <c r="Y743" s="146"/>
      <c r="Z743" s="146"/>
    </row>
    <row r="744" spans="1:26" ht="15.75" customHeight="1">
      <c r="A744" s="146"/>
      <c r="B744" s="146"/>
      <c r="C744" s="146"/>
      <c r="D744" s="146"/>
      <c r="E744" s="146"/>
      <c r="F744" s="146"/>
      <c r="G744" s="146"/>
      <c r="H744" s="146"/>
      <c r="I744" s="146"/>
      <c r="J744" s="146"/>
      <c r="K744" s="146"/>
      <c r="L744" s="146"/>
      <c r="M744" s="146"/>
      <c r="N744" s="146"/>
      <c r="O744" s="146"/>
      <c r="P744" s="146"/>
      <c r="Q744" s="146"/>
      <c r="R744" s="146"/>
      <c r="S744" s="146"/>
      <c r="T744" s="146"/>
      <c r="U744" s="146"/>
      <c r="V744" s="146"/>
      <c r="W744" s="146"/>
      <c r="X744" s="146"/>
      <c r="Y744" s="146"/>
      <c r="Z744" s="146"/>
    </row>
    <row r="745" spans="1:26" ht="15.75" customHeight="1">
      <c r="A745" s="146"/>
      <c r="B745" s="146"/>
      <c r="C745" s="146"/>
      <c r="D745" s="146"/>
      <c r="E745" s="146"/>
      <c r="F745" s="146"/>
      <c r="G745" s="146"/>
      <c r="H745" s="146"/>
      <c r="I745" s="146"/>
      <c r="J745" s="146"/>
      <c r="K745" s="146"/>
      <c r="L745" s="146"/>
      <c r="M745" s="146"/>
      <c r="N745" s="146"/>
      <c r="O745" s="146"/>
      <c r="P745" s="146"/>
      <c r="Q745" s="146"/>
      <c r="R745" s="146"/>
      <c r="S745" s="146"/>
      <c r="T745" s="146"/>
      <c r="U745" s="146"/>
      <c r="V745" s="146"/>
      <c r="W745" s="146"/>
      <c r="X745" s="146"/>
      <c r="Y745" s="146"/>
      <c r="Z745" s="146"/>
    </row>
    <row r="746" spans="1:26" ht="15.75" customHeight="1">
      <c r="A746" s="146"/>
      <c r="B746" s="146"/>
      <c r="C746" s="146"/>
      <c r="D746" s="146"/>
      <c r="E746" s="146"/>
      <c r="F746" s="146"/>
      <c r="G746" s="146"/>
      <c r="H746" s="146"/>
      <c r="I746" s="146"/>
      <c r="J746" s="146"/>
      <c r="K746" s="146"/>
      <c r="L746" s="146"/>
      <c r="M746" s="146"/>
      <c r="N746" s="146"/>
      <c r="O746" s="146"/>
      <c r="P746" s="146"/>
      <c r="Q746" s="146"/>
      <c r="R746" s="146"/>
      <c r="S746" s="146"/>
      <c r="T746" s="146"/>
      <c r="U746" s="146"/>
      <c r="V746" s="146"/>
      <c r="W746" s="146"/>
      <c r="X746" s="146"/>
      <c r="Y746" s="146"/>
      <c r="Z746" s="146"/>
    </row>
    <row r="747" spans="1:26" ht="15.75" customHeight="1">
      <c r="A747" s="146"/>
      <c r="B747" s="146"/>
      <c r="C747" s="146"/>
      <c r="D747" s="146"/>
      <c r="E747" s="146"/>
      <c r="F747" s="146"/>
      <c r="G747" s="146"/>
      <c r="H747" s="146"/>
      <c r="I747" s="146"/>
      <c r="J747" s="146"/>
      <c r="K747" s="146"/>
      <c r="L747" s="146"/>
      <c r="M747" s="146"/>
      <c r="N747" s="146"/>
      <c r="O747" s="146"/>
      <c r="P747" s="146"/>
      <c r="Q747" s="146"/>
      <c r="R747" s="146"/>
      <c r="S747" s="146"/>
      <c r="T747" s="146"/>
      <c r="U747" s="146"/>
      <c r="V747" s="146"/>
      <c r="W747" s="146"/>
      <c r="X747" s="146"/>
      <c r="Y747" s="146"/>
      <c r="Z747" s="146"/>
    </row>
    <row r="748" spans="1:26" ht="15.75" customHeight="1">
      <c r="A748" s="146"/>
      <c r="B748" s="146"/>
      <c r="C748" s="146"/>
      <c r="D748" s="146"/>
      <c r="E748" s="146"/>
      <c r="F748" s="146"/>
      <c r="G748" s="146"/>
      <c r="H748" s="146"/>
      <c r="I748" s="146"/>
      <c r="J748" s="146"/>
      <c r="K748" s="146"/>
      <c r="L748" s="146"/>
      <c r="M748" s="146"/>
      <c r="N748" s="146"/>
      <c r="O748" s="146"/>
      <c r="P748" s="146"/>
      <c r="Q748" s="146"/>
      <c r="R748" s="146"/>
      <c r="S748" s="146"/>
      <c r="T748" s="146"/>
      <c r="U748" s="146"/>
      <c r="V748" s="146"/>
      <c r="W748" s="146"/>
      <c r="X748" s="146"/>
      <c r="Y748" s="146"/>
      <c r="Z748" s="146"/>
    </row>
    <row r="749" spans="1:26" ht="15.75" customHeight="1">
      <c r="A749" s="146"/>
      <c r="B749" s="146"/>
      <c r="C749" s="146"/>
      <c r="D749" s="146"/>
      <c r="E749" s="146"/>
      <c r="F749" s="146"/>
      <c r="G749" s="146"/>
      <c r="H749" s="146"/>
      <c r="I749" s="146"/>
      <c r="J749" s="146"/>
      <c r="K749" s="146"/>
      <c r="L749" s="146"/>
      <c r="M749" s="146"/>
      <c r="N749" s="146"/>
      <c r="O749" s="146"/>
      <c r="P749" s="146"/>
      <c r="Q749" s="146"/>
      <c r="R749" s="146"/>
      <c r="S749" s="146"/>
      <c r="T749" s="146"/>
      <c r="U749" s="146"/>
      <c r="V749" s="146"/>
      <c r="W749" s="146"/>
      <c r="X749" s="146"/>
      <c r="Y749" s="146"/>
      <c r="Z749" s="146"/>
    </row>
    <row r="750" spans="1:26" ht="15.75" customHeight="1">
      <c r="A750" s="146"/>
      <c r="B750" s="146"/>
      <c r="C750" s="146"/>
      <c r="D750" s="146"/>
      <c r="E750" s="146"/>
      <c r="F750" s="146"/>
      <c r="G750" s="146"/>
      <c r="H750" s="146"/>
      <c r="I750" s="146"/>
      <c r="J750" s="146"/>
      <c r="K750" s="146"/>
      <c r="L750" s="146"/>
      <c r="M750" s="146"/>
      <c r="N750" s="146"/>
      <c r="O750" s="146"/>
      <c r="P750" s="146"/>
      <c r="Q750" s="146"/>
      <c r="R750" s="146"/>
      <c r="S750" s="146"/>
      <c r="T750" s="146"/>
      <c r="U750" s="146"/>
      <c r="V750" s="146"/>
      <c r="W750" s="146"/>
      <c r="X750" s="146"/>
      <c r="Y750" s="146"/>
      <c r="Z750" s="146"/>
    </row>
    <row r="751" spans="1:26" ht="15.75" customHeight="1">
      <c r="A751" s="146"/>
      <c r="B751" s="146"/>
      <c r="C751" s="146"/>
      <c r="D751" s="146"/>
      <c r="E751" s="146"/>
      <c r="F751" s="146"/>
      <c r="G751" s="146"/>
      <c r="H751" s="146"/>
      <c r="I751" s="146"/>
      <c r="J751" s="146"/>
      <c r="K751" s="146"/>
      <c r="L751" s="146"/>
      <c r="M751" s="146"/>
      <c r="N751" s="146"/>
      <c r="O751" s="146"/>
      <c r="P751" s="146"/>
      <c r="Q751" s="146"/>
      <c r="R751" s="146"/>
      <c r="S751" s="146"/>
      <c r="T751" s="146"/>
      <c r="U751" s="146"/>
      <c r="V751" s="146"/>
      <c r="W751" s="146"/>
      <c r="X751" s="146"/>
      <c r="Y751" s="146"/>
      <c r="Z751" s="146"/>
    </row>
    <row r="752" spans="1:26" ht="15.75" customHeight="1">
      <c r="A752" s="146"/>
      <c r="B752" s="146"/>
      <c r="C752" s="146"/>
      <c r="D752" s="146"/>
      <c r="E752" s="146"/>
      <c r="F752" s="146"/>
      <c r="G752" s="146"/>
      <c r="H752" s="146"/>
      <c r="I752" s="146"/>
      <c r="J752" s="146"/>
      <c r="K752" s="146"/>
      <c r="L752" s="146"/>
      <c r="M752" s="146"/>
      <c r="N752" s="146"/>
      <c r="O752" s="146"/>
      <c r="P752" s="146"/>
      <c r="Q752" s="146"/>
      <c r="R752" s="146"/>
      <c r="S752" s="146"/>
      <c r="T752" s="146"/>
      <c r="U752" s="146"/>
      <c r="V752" s="146"/>
      <c r="W752" s="146"/>
      <c r="X752" s="146"/>
      <c r="Y752" s="146"/>
      <c r="Z752" s="146"/>
    </row>
    <row r="753" spans="1:26" ht="15.75" customHeight="1">
      <c r="A753" s="146"/>
      <c r="B753" s="146"/>
      <c r="C753" s="146"/>
      <c r="D753" s="146"/>
      <c r="E753" s="146"/>
      <c r="F753" s="146"/>
      <c r="G753" s="146"/>
      <c r="H753" s="146"/>
      <c r="I753" s="146"/>
      <c r="J753" s="146"/>
      <c r="K753" s="146"/>
      <c r="L753" s="146"/>
      <c r="M753" s="146"/>
      <c r="N753" s="146"/>
      <c r="O753" s="146"/>
      <c r="P753" s="146"/>
      <c r="Q753" s="146"/>
      <c r="R753" s="146"/>
      <c r="S753" s="146"/>
      <c r="T753" s="146"/>
      <c r="U753" s="146"/>
      <c r="V753" s="146"/>
      <c r="W753" s="146"/>
      <c r="X753" s="146"/>
      <c r="Y753" s="146"/>
      <c r="Z753" s="146"/>
    </row>
    <row r="754" spans="1:26" ht="15.75" customHeight="1">
      <c r="A754" s="146"/>
      <c r="B754" s="146"/>
      <c r="C754" s="146"/>
      <c r="D754" s="146"/>
      <c r="E754" s="146"/>
      <c r="F754" s="146"/>
      <c r="G754" s="146"/>
      <c r="H754" s="146"/>
      <c r="I754" s="146"/>
      <c r="J754" s="146"/>
      <c r="K754" s="146"/>
      <c r="L754" s="146"/>
      <c r="M754" s="146"/>
      <c r="N754" s="146"/>
      <c r="O754" s="146"/>
      <c r="P754" s="146"/>
      <c r="Q754" s="146"/>
      <c r="R754" s="146"/>
      <c r="S754" s="146"/>
      <c r="T754" s="146"/>
      <c r="U754" s="146"/>
      <c r="V754" s="146"/>
      <c r="W754" s="146"/>
      <c r="X754" s="146"/>
      <c r="Y754" s="146"/>
      <c r="Z754" s="146"/>
    </row>
    <row r="755" spans="1:26" ht="15.75" customHeight="1">
      <c r="A755" s="146"/>
      <c r="B755" s="146"/>
      <c r="C755" s="146"/>
      <c r="D755" s="146"/>
      <c r="E755" s="146"/>
      <c r="F755" s="146"/>
      <c r="G755" s="146"/>
      <c r="H755" s="146"/>
      <c r="I755" s="146"/>
      <c r="J755" s="146"/>
      <c r="K755" s="146"/>
      <c r="L755" s="146"/>
      <c r="M755" s="146"/>
      <c r="N755" s="146"/>
      <c r="O755" s="146"/>
      <c r="P755" s="146"/>
      <c r="Q755" s="146"/>
      <c r="R755" s="146"/>
      <c r="S755" s="146"/>
      <c r="T755" s="146"/>
      <c r="U755" s="146"/>
      <c r="V755" s="146"/>
      <c r="W755" s="146"/>
      <c r="X755" s="146"/>
      <c r="Y755" s="146"/>
      <c r="Z755" s="146"/>
    </row>
    <row r="756" spans="1:26" ht="15.75" customHeight="1">
      <c r="A756" s="146"/>
      <c r="B756" s="146"/>
      <c r="C756" s="146"/>
      <c r="D756" s="146"/>
      <c r="E756" s="146"/>
      <c r="F756" s="146"/>
      <c r="G756" s="146"/>
      <c r="H756" s="146"/>
      <c r="I756" s="146"/>
      <c r="J756" s="146"/>
      <c r="K756" s="146"/>
      <c r="L756" s="146"/>
      <c r="M756" s="146"/>
      <c r="N756" s="146"/>
      <c r="O756" s="146"/>
      <c r="P756" s="146"/>
      <c r="Q756" s="146"/>
      <c r="R756" s="146"/>
      <c r="S756" s="146"/>
      <c r="T756" s="146"/>
      <c r="U756" s="146"/>
      <c r="V756" s="146"/>
      <c r="W756" s="146"/>
      <c r="X756" s="146"/>
      <c r="Y756" s="146"/>
      <c r="Z756" s="146"/>
    </row>
    <row r="757" spans="1:26" ht="15.75" customHeight="1">
      <c r="A757" s="146"/>
      <c r="B757" s="146"/>
      <c r="C757" s="146"/>
      <c r="D757" s="146"/>
      <c r="E757" s="146"/>
      <c r="F757" s="146"/>
      <c r="G757" s="146"/>
      <c r="H757" s="146"/>
      <c r="I757" s="146"/>
      <c r="J757" s="146"/>
      <c r="K757" s="146"/>
      <c r="L757" s="146"/>
      <c r="M757" s="146"/>
      <c r="N757" s="146"/>
      <c r="O757" s="146"/>
      <c r="P757" s="146"/>
      <c r="Q757" s="146"/>
      <c r="R757" s="146"/>
      <c r="S757" s="146"/>
      <c r="T757" s="146"/>
      <c r="U757" s="146"/>
      <c r="V757" s="146"/>
      <c r="W757" s="146"/>
      <c r="X757" s="146"/>
      <c r="Y757" s="146"/>
      <c r="Z757" s="146"/>
    </row>
    <row r="758" spans="1:26" ht="15.75" customHeight="1">
      <c r="A758" s="146"/>
      <c r="B758" s="146"/>
      <c r="C758" s="146"/>
      <c r="D758" s="146"/>
      <c r="E758" s="146"/>
      <c r="F758" s="146"/>
      <c r="G758" s="146"/>
      <c r="H758" s="146"/>
      <c r="I758" s="146"/>
      <c r="J758" s="146"/>
      <c r="K758" s="146"/>
      <c r="L758" s="146"/>
      <c r="M758" s="146"/>
      <c r="N758" s="146"/>
      <c r="O758" s="146"/>
      <c r="P758" s="146"/>
      <c r="Q758" s="146"/>
      <c r="R758" s="146"/>
      <c r="S758" s="146"/>
      <c r="T758" s="146"/>
      <c r="U758" s="146"/>
      <c r="V758" s="146"/>
      <c r="W758" s="146"/>
      <c r="X758" s="146"/>
      <c r="Y758" s="146"/>
      <c r="Z758" s="146"/>
    </row>
    <row r="759" spans="1:26" ht="15.75" customHeight="1">
      <c r="A759" s="146"/>
      <c r="B759" s="146"/>
      <c r="C759" s="146"/>
      <c r="D759" s="146"/>
      <c r="E759" s="146"/>
      <c r="F759" s="146"/>
      <c r="G759" s="146"/>
      <c r="H759" s="146"/>
      <c r="I759" s="146"/>
      <c r="J759" s="146"/>
      <c r="K759" s="146"/>
      <c r="L759" s="146"/>
      <c r="M759" s="146"/>
      <c r="N759" s="146"/>
      <c r="O759" s="146"/>
      <c r="P759" s="146"/>
      <c r="Q759" s="146"/>
      <c r="R759" s="146"/>
      <c r="S759" s="146"/>
      <c r="T759" s="146"/>
      <c r="U759" s="146"/>
      <c r="V759" s="146"/>
      <c r="W759" s="146"/>
      <c r="X759" s="146"/>
      <c r="Y759" s="146"/>
      <c r="Z759" s="146"/>
    </row>
    <row r="760" spans="1:26" ht="15.75" customHeight="1">
      <c r="A760" s="146"/>
      <c r="B760" s="146"/>
      <c r="C760" s="146"/>
      <c r="D760" s="146"/>
      <c r="E760" s="146"/>
      <c r="F760" s="146"/>
      <c r="G760" s="146"/>
      <c r="H760" s="146"/>
      <c r="I760" s="146"/>
      <c r="J760" s="146"/>
      <c r="K760" s="146"/>
      <c r="L760" s="146"/>
      <c r="M760" s="146"/>
      <c r="N760" s="146"/>
      <c r="O760" s="146"/>
      <c r="P760" s="146"/>
      <c r="Q760" s="146"/>
      <c r="R760" s="146"/>
      <c r="S760" s="146"/>
      <c r="T760" s="146"/>
      <c r="U760" s="146"/>
      <c r="V760" s="146"/>
      <c r="W760" s="146"/>
      <c r="X760" s="146"/>
      <c r="Y760" s="146"/>
      <c r="Z760" s="146"/>
    </row>
    <row r="761" spans="1:26" ht="15.75" customHeight="1">
      <c r="A761" s="146"/>
      <c r="B761" s="146"/>
      <c r="C761" s="146"/>
      <c r="D761" s="146"/>
      <c r="E761" s="146"/>
      <c r="F761" s="146"/>
      <c r="G761" s="146"/>
      <c r="H761" s="146"/>
      <c r="I761" s="146"/>
      <c r="J761" s="146"/>
      <c r="K761" s="146"/>
      <c r="L761" s="146"/>
      <c r="M761" s="146"/>
      <c r="N761" s="146"/>
      <c r="O761" s="146"/>
      <c r="P761" s="146"/>
      <c r="Q761" s="146"/>
      <c r="R761" s="146"/>
      <c r="S761" s="146"/>
      <c r="T761" s="146"/>
      <c r="U761" s="146"/>
      <c r="V761" s="146"/>
      <c r="W761" s="146"/>
      <c r="X761" s="146"/>
      <c r="Y761" s="146"/>
      <c r="Z761" s="146"/>
    </row>
    <row r="762" spans="1:26" ht="15.75" customHeight="1">
      <c r="A762" s="146"/>
      <c r="B762" s="146"/>
      <c r="C762" s="146"/>
      <c r="D762" s="146"/>
      <c r="E762" s="146"/>
      <c r="F762" s="146"/>
      <c r="G762" s="146"/>
      <c r="H762" s="146"/>
      <c r="I762" s="146"/>
      <c r="J762" s="146"/>
      <c r="K762" s="146"/>
      <c r="L762" s="146"/>
      <c r="M762" s="146"/>
      <c r="N762" s="146"/>
      <c r="O762" s="146"/>
      <c r="P762" s="146"/>
      <c r="Q762" s="146"/>
      <c r="R762" s="146"/>
      <c r="S762" s="146"/>
      <c r="T762" s="146"/>
      <c r="U762" s="146"/>
      <c r="V762" s="146"/>
      <c r="W762" s="146"/>
      <c r="X762" s="146"/>
      <c r="Y762" s="146"/>
      <c r="Z762" s="146"/>
    </row>
    <row r="763" spans="1:26" ht="15.75" customHeight="1">
      <c r="A763" s="146"/>
      <c r="B763" s="146"/>
      <c r="C763" s="146"/>
      <c r="D763" s="146"/>
      <c r="E763" s="146"/>
      <c r="F763" s="146"/>
      <c r="G763" s="146"/>
      <c r="H763" s="146"/>
      <c r="I763" s="146"/>
      <c r="J763" s="146"/>
      <c r="K763" s="146"/>
      <c r="L763" s="146"/>
      <c r="M763" s="146"/>
      <c r="N763" s="146"/>
      <c r="O763" s="146"/>
      <c r="P763" s="146"/>
      <c r="Q763" s="146"/>
      <c r="R763" s="146"/>
      <c r="S763" s="146"/>
      <c r="T763" s="146"/>
      <c r="U763" s="146"/>
      <c r="V763" s="146"/>
      <c r="W763" s="146"/>
      <c r="X763" s="146"/>
      <c r="Y763" s="146"/>
      <c r="Z763" s="146"/>
    </row>
    <row r="764" spans="1:26" ht="15.75" customHeight="1">
      <c r="A764" s="146"/>
      <c r="B764" s="146"/>
      <c r="C764" s="146"/>
      <c r="D764" s="146"/>
      <c r="E764" s="146"/>
      <c r="F764" s="146"/>
      <c r="G764" s="146"/>
      <c r="H764" s="146"/>
      <c r="I764" s="146"/>
      <c r="J764" s="146"/>
      <c r="K764" s="146"/>
      <c r="L764" s="146"/>
      <c r="M764" s="146"/>
      <c r="N764" s="146"/>
      <c r="O764" s="146"/>
      <c r="P764" s="146"/>
      <c r="Q764" s="146"/>
      <c r="R764" s="146"/>
      <c r="S764" s="146"/>
      <c r="T764" s="146"/>
      <c r="U764" s="146"/>
      <c r="V764" s="146"/>
      <c r="W764" s="146"/>
      <c r="X764" s="146"/>
      <c r="Y764" s="146"/>
      <c r="Z764" s="146"/>
    </row>
    <row r="765" spans="1:26" ht="15.75" customHeight="1">
      <c r="A765" s="146"/>
      <c r="B765" s="146"/>
      <c r="C765" s="146"/>
      <c r="D765" s="146"/>
      <c r="E765" s="146"/>
      <c r="F765" s="146"/>
      <c r="G765" s="146"/>
      <c r="H765" s="146"/>
      <c r="I765" s="146"/>
      <c r="J765" s="146"/>
      <c r="K765" s="146"/>
      <c r="L765" s="146"/>
      <c r="M765" s="146"/>
      <c r="N765" s="146"/>
      <c r="O765" s="146"/>
      <c r="P765" s="146"/>
      <c r="Q765" s="146"/>
      <c r="R765" s="146"/>
      <c r="S765" s="146"/>
      <c r="T765" s="146"/>
      <c r="U765" s="146"/>
      <c r="V765" s="146"/>
      <c r="W765" s="146"/>
      <c r="X765" s="146"/>
      <c r="Y765" s="146"/>
      <c r="Z765" s="146"/>
    </row>
    <row r="766" spans="1:26" ht="15.75" customHeight="1">
      <c r="A766" s="146"/>
      <c r="B766" s="146"/>
      <c r="C766" s="146"/>
      <c r="D766" s="146"/>
      <c r="E766" s="146"/>
      <c r="F766" s="146"/>
      <c r="G766" s="146"/>
      <c r="H766" s="146"/>
      <c r="I766" s="146"/>
      <c r="J766" s="146"/>
      <c r="K766" s="146"/>
      <c r="L766" s="146"/>
      <c r="M766" s="146"/>
      <c r="N766" s="146"/>
      <c r="O766" s="146"/>
      <c r="P766" s="146"/>
      <c r="Q766" s="146"/>
      <c r="R766" s="146"/>
      <c r="S766" s="146"/>
      <c r="T766" s="146"/>
      <c r="U766" s="146"/>
      <c r="V766" s="146"/>
      <c r="W766" s="146"/>
      <c r="X766" s="146"/>
      <c r="Y766" s="146"/>
      <c r="Z766" s="146"/>
    </row>
    <row r="767" spans="1:26" ht="15.75" customHeight="1">
      <c r="A767" s="146"/>
      <c r="B767" s="146"/>
      <c r="C767" s="146"/>
      <c r="D767" s="146"/>
      <c r="E767" s="146"/>
      <c r="F767" s="146"/>
      <c r="G767" s="146"/>
      <c r="H767" s="146"/>
      <c r="I767" s="146"/>
      <c r="J767" s="146"/>
      <c r="K767" s="146"/>
      <c r="L767" s="146"/>
      <c r="M767" s="146"/>
      <c r="N767" s="146"/>
      <c r="O767" s="146"/>
      <c r="P767" s="146"/>
      <c r="Q767" s="146"/>
      <c r="R767" s="146"/>
      <c r="S767" s="146"/>
      <c r="T767" s="146"/>
      <c r="U767" s="146"/>
      <c r="V767" s="146"/>
      <c r="W767" s="146"/>
      <c r="X767" s="146"/>
      <c r="Y767" s="146"/>
      <c r="Z767" s="146"/>
    </row>
    <row r="768" spans="1:26" ht="15.75" customHeight="1">
      <c r="A768" s="146"/>
      <c r="B768" s="146"/>
      <c r="C768" s="146"/>
      <c r="D768" s="146"/>
      <c r="E768" s="146"/>
      <c r="F768" s="146"/>
      <c r="G768" s="146"/>
      <c r="H768" s="146"/>
      <c r="I768" s="146"/>
      <c r="J768" s="146"/>
      <c r="K768" s="146"/>
      <c r="L768" s="146"/>
      <c r="M768" s="146"/>
      <c r="N768" s="146"/>
      <c r="O768" s="146"/>
      <c r="P768" s="146"/>
      <c r="Q768" s="146"/>
      <c r="R768" s="146"/>
      <c r="S768" s="146"/>
      <c r="T768" s="146"/>
      <c r="U768" s="146"/>
      <c r="V768" s="146"/>
      <c r="W768" s="146"/>
      <c r="X768" s="146"/>
      <c r="Y768" s="146"/>
      <c r="Z768" s="146"/>
    </row>
    <row r="769" spans="1:26" ht="15.75" customHeight="1">
      <c r="A769" s="146"/>
      <c r="B769" s="146"/>
      <c r="C769" s="146"/>
      <c r="D769" s="146"/>
      <c r="E769" s="146"/>
      <c r="F769" s="146"/>
      <c r="G769" s="146"/>
      <c r="H769" s="146"/>
      <c r="I769" s="146"/>
      <c r="J769" s="146"/>
      <c r="K769" s="146"/>
      <c r="L769" s="146"/>
      <c r="M769" s="146"/>
      <c r="N769" s="146"/>
      <c r="O769" s="146"/>
      <c r="P769" s="146"/>
      <c r="Q769" s="146"/>
      <c r="R769" s="146"/>
      <c r="S769" s="146"/>
      <c r="T769" s="146"/>
      <c r="U769" s="146"/>
      <c r="V769" s="146"/>
      <c r="W769" s="146"/>
      <c r="X769" s="146"/>
      <c r="Y769" s="146"/>
      <c r="Z769" s="146"/>
    </row>
    <row r="770" spans="1:26" ht="15.75" customHeight="1">
      <c r="A770" s="146"/>
      <c r="B770" s="146"/>
      <c r="C770" s="146"/>
      <c r="D770" s="146"/>
      <c r="E770" s="146"/>
      <c r="F770" s="146"/>
      <c r="G770" s="146"/>
      <c r="H770" s="146"/>
      <c r="I770" s="146"/>
      <c r="J770" s="146"/>
      <c r="K770" s="146"/>
      <c r="L770" s="146"/>
      <c r="M770" s="146"/>
      <c r="N770" s="146"/>
      <c r="O770" s="146"/>
      <c r="P770" s="146"/>
      <c r="Q770" s="146"/>
      <c r="R770" s="146"/>
      <c r="S770" s="146"/>
      <c r="T770" s="146"/>
      <c r="U770" s="146"/>
      <c r="V770" s="146"/>
      <c r="W770" s="146"/>
      <c r="X770" s="146"/>
      <c r="Y770" s="146"/>
      <c r="Z770" s="146"/>
    </row>
    <row r="771" spans="1:26" ht="15.75" customHeight="1">
      <c r="A771" s="146"/>
      <c r="B771" s="146"/>
      <c r="C771" s="146"/>
      <c r="D771" s="146"/>
      <c r="E771" s="146"/>
      <c r="F771" s="146"/>
      <c r="G771" s="146"/>
      <c r="H771" s="146"/>
      <c r="I771" s="146"/>
      <c r="J771" s="146"/>
      <c r="K771" s="146"/>
      <c r="L771" s="146"/>
      <c r="M771" s="146"/>
      <c r="N771" s="146"/>
      <c r="O771" s="146"/>
      <c r="P771" s="146"/>
      <c r="Q771" s="146"/>
      <c r="R771" s="146"/>
      <c r="S771" s="146"/>
      <c r="T771" s="146"/>
      <c r="U771" s="146"/>
      <c r="V771" s="146"/>
      <c r="W771" s="146"/>
      <c r="X771" s="146"/>
      <c r="Y771" s="146"/>
      <c r="Z771" s="146"/>
    </row>
    <row r="772" spans="1:26" ht="15.75" customHeight="1">
      <c r="A772" s="146"/>
      <c r="B772" s="146"/>
      <c r="C772" s="146"/>
      <c r="D772" s="146"/>
      <c r="E772" s="146"/>
      <c r="F772" s="146"/>
      <c r="G772" s="146"/>
      <c r="H772" s="146"/>
      <c r="I772" s="146"/>
      <c r="J772" s="146"/>
      <c r="K772" s="146"/>
      <c r="L772" s="146"/>
      <c r="M772" s="146"/>
      <c r="N772" s="146"/>
      <c r="O772" s="146"/>
      <c r="P772" s="146"/>
      <c r="Q772" s="146"/>
      <c r="R772" s="146"/>
      <c r="S772" s="146"/>
      <c r="T772" s="146"/>
      <c r="U772" s="146"/>
      <c r="V772" s="146"/>
      <c r="W772" s="146"/>
      <c r="X772" s="146"/>
      <c r="Y772" s="146"/>
      <c r="Z772" s="146"/>
    </row>
    <row r="773" spans="1:26" ht="15.75" customHeight="1">
      <c r="A773" s="146"/>
      <c r="B773" s="146"/>
      <c r="C773" s="146"/>
      <c r="D773" s="146"/>
      <c r="E773" s="146"/>
      <c r="F773" s="146"/>
      <c r="G773" s="146"/>
      <c r="H773" s="146"/>
      <c r="I773" s="146"/>
      <c r="J773" s="146"/>
      <c r="K773" s="146"/>
      <c r="L773" s="146"/>
      <c r="M773" s="146"/>
      <c r="N773" s="146"/>
      <c r="O773" s="146"/>
      <c r="P773" s="146"/>
      <c r="Q773" s="146"/>
      <c r="R773" s="146"/>
      <c r="S773" s="146"/>
      <c r="T773" s="146"/>
      <c r="U773" s="146"/>
      <c r="V773" s="146"/>
      <c r="W773" s="146"/>
      <c r="X773" s="146"/>
      <c r="Y773" s="146"/>
      <c r="Z773" s="146"/>
    </row>
    <row r="774" spans="1:26" ht="15.75" customHeight="1">
      <c r="A774" s="146"/>
      <c r="B774" s="146"/>
      <c r="C774" s="146"/>
      <c r="D774" s="146"/>
      <c r="E774" s="146"/>
      <c r="F774" s="146"/>
      <c r="G774" s="146"/>
      <c r="H774" s="146"/>
      <c r="I774" s="146"/>
      <c r="J774" s="146"/>
      <c r="K774" s="146"/>
      <c r="L774" s="146"/>
      <c r="M774" s="146"/>
      <c r="N774" s="146"/>
      <c r="O774" s="146"/>
      <c r="P774" s="146"/>
      <c r="Q774" s="146"/>
      <c r="R774" s="146"/>
      <c r="S774" s="146"/>
      <c r="T774" s="146"/>
      <c r="U774" s="146"/>
      <c r="V774" s="146"/>
      <c r="W774" s="146"/>
      <c r="X774" s="146"/>
      <c r="Y774" s="146"/>
      <c r="Z774" s="146"/>
    </row>
    <row r="775" spans="1:26" ht="15.75" customHeight="1">
      <c r="A775" s="146"/>
      <c r="B775" s="146"/>
      <c r="C775" s="146"/>
      <c r="D775" s="146"/>
      <c r="E775" s="146"/>
      <c r="F775" s="146"/>
      <c r="G775" s="146"/>
      <c r="H775" s="146"/>
      <c r="I775" s="146"/>
      <c r="J775" s="146"/>
      <c r="K775" s="146"/>
      <c r="L775" s="146"/>
      <c r="M775" s="146"/>
      <c r="N775" s="146"/>
      <c r="O775" s="146"/>
      <c r="P775" s="146"/>
      <c r="Q775" s="146"/>
      <c r="R775" s="146"/>
      <c r="S775" s="146"/>
      <c r="T775" s="146"/>
      <c r="U775" s="146"/>
      <c r="V775" s="146"/>
      <c r="W775" s="146"/>
      <c r="X775" s="146"/>
      <c r="Y775" s="146"/>
      <c r="Z775" s="146"/>
    </row>
    <row r="776" spans="1:26" ht="15.75" customHeight="1">
      <c r="A776" s="146"/>
      <c r="B776" s="146"/>
      <c r="C776" s="146"/>
      <c r="D776" s="146"/>
      <c r="E776" s="146"/>
      <c r="F776" s="146"/>
      <c r="G776" s="146"/>
      <c r="H776" s="146"/>
      <c r="I776" s="146"/>
      <c r="J776" s="146"/>
      <c r="K776" s="146"/>
      <c r="L776" s="146"/>
      <c r="M776" s="146"/>
      <c r="N776" s="146"/>
      <c r="O776" s="146"/>
      <c r="P776" s="146"/>
      <c r="Q776" s="146"/>
      <c r="R776" s="146"/>
      <c r="S776" s="146"/>
      <c r="T776" s="146"/>
      <c r="U776" s="146"/>
      <c r="V776" s="146"/>
      <c r="W776" s="146"/>
      <c r="X776" s="146"/>
      <c r="Y776" s="146"/>
      <c r="Z776" s="146"/>
    </row>
    <row r="777" spans="1:26" ht="15.75" customHeight="1">
      <c r="A777" s="146"/>
      <c r="B777" s="146"/>
      <c r="C777" s="146"/>
      <c r="D777" s="146"/>
      <c r="E777" s="146"/>
      <c r="F777" s="146"/>
      <c r="G777" s="146"/>
      <c r="H777" s="146"/>
      <c r="I777" s="146"/>
      <c r="J777" s="146"/>
      <c r="K777" s="146"/>
      <c r="L777" s="146"/>
      <c r="M777" s="146"/>
      <c r="N777" s="146"/>
      <c r="O777" s="146"/>
      <c r="P777" s="146"/>
      <c r="Q777" s="146"/>
      <c r="R777" s="146"/>
      <c r="S777" s="146"/>
      <c r="T777" s="146"/>
      <c r="U777" s="146"/>
      <c r="V777" s="146"/>
      <c r="W777" s="146"/>
      <c r="X777" s="146"/>
      <c r="Y777" s="146"/>
      <c r="Z777" s="146"/>
    </row>
    <row r="778" spans="1:26" ht="15.75" customHeight="1">
      <c r="A778" s="146"/>
      <c r="B778" s="146"/>
      <c r="C778" s="146"/>
      <c r="D778" s="146"/>
      <c r="E778" s="146"/>
      <c r="F778" s="146"/>
      <c r="G778" s="146"/>
      <c r="H778" s="146"/>
      <c r="I778" s="146"/>
      <c r="J778" s="146"/>
      <c r="K778" s="146"/>
      <c r="L778" s="146"/>
      <c r="M778" s="146"/>
      <c r="N778" s="146"/>
      <c r="O778" s="146"/>
      <c r="P778" s="146"/>
      <c r="Q778" s="146"/>
      <c r="R778" s="146"/>
      <c r="S778" s="146"/>
      <c r="T778" s="146"/>
      <c r="U778" s="146"/>
      <c r="V778" s="146"/>
      <c r="W778" s="146"/>
      <c r="X778" s="146"/>
      <c r="Y778" s="146"/>
      <c r="Z778" s="146"/>
    </row>
    <row r="779" spans="1:26" ht="15.75" customHeight="1">
      <c r="A779" s="146"/>
      <c r="B779" s="146"/>
      <c r="C779" s="146"/>
      <c r="D779" s="146"/>
      <c r="E779" s="146"/>
      <c r="F779" s="146"/>
      <c r="G779" s="146"/>
      <c r="H779" s="146"/>
      <c r="I779" s="146"/>
      <c r="J779" s="146"/>
      <c r="K779" s="146"/>
      <c r="L779" s="146"/>
      <c r="M779" s="146"/>
      <c r="N779" s="146"/>
      <c r="O779" s="146"/>
      <c r="P779" s="146"/>
      <c r="Q779" s="146"/>
      <c r="R779" s="146"/>
      <c r="S779" s="146"/>
      <c r="T779" s="146"/>
      <c r="U779" s="146"/>
      <c r="V779" s="146"/>
      <c r="W779" s="146"/>
      <c r="X779" s="146"/>
      <c r="Y779" s="146"/>
      <c r="Z779" s="146"/>
    </row>
    <row r="780" spans="1:26" ht="15.75" customHeight="1">
      <c r="A780" s="146"/>
      <c r="B780" s="146"/>
      <c r="C780" s="146"/>
      <c r="D780" s="146"/>
      <c r="E780" s="146"/>
      <c r="F780" s="146"/>
      <c r="G780" s="146"/>
      <c r="H780" s="146"/>
      <c r="I780" s="146"/>
      <c r="J780" s="146"/>
      <c r="K780" s="146"/>
      <c r="L780" s="146"/>
      <c r="M780" s="146"/>
      <c r="N780" s="146"/>
      <c r="O780" s="146"/>
      <c r="P780" s="146"/>
      <c r="Q780" s="146"/>
      <c r="R780" s="146"/>
      <c r="S780" s="146"/>
      <c r="T780" s="146"/>
      <c r="U780" s="146"/>
      <c r="V780" s="146"/>
      <c r="W780" s="146"/>
      <c r="X780" s="146"/>
      <c r="Y780" s="146"/>
      <c r="Z780" s="146"/>
    </row>
    <row r="781" spans="1:26" ht="15.75" customHeight="1">
      <c r="A781" s="146"/>
      <c r="B781" s="146"/>
      <c r="C781" s="146"/>
      <c r="D781" s="146"/>
      <c r="E781" s="146"/>
      <c r="F781" s="146"/>
      <c r="G781" s="146"/>
      <c r="H781" s="146"/>
      <c r="I781" s="146"/>
      <c r="J781" s="146"/>
      <c r="K781" s="146"/>
      <c r="L781" s="146"/>
      <c r="M781" s="146"/>
      <c r="N781" s="146"/>
      <c r="O781" s="146"/>
      <c r="P781" s="146"/>
      <c r="Q781" s="146"/>
      <c r="R781" s="146"/>
      <c r="S781" s="146"/>
      <c r="T781" s="146"/>
      <c r="U781" s="146"/>
      <c r="V781" s="146"/>
      <c r="W781" s="146"/>
      <c r="X781" s="146"/>
      <c r="Y781" s="146"/>
      <c r="Z781" s="146"/>
    </row>
    <row r="782" spans="1:26" ht="15.75" customHeight="1">
      <c r="A782" s="146"/>
      <c r="B782" s="146"/>
      <c r="C782" s="146"/>
      <c r="D782" s="146"/>
      <c r="E782" s="146"/>
      <c r="F782" s="146"/>
      <c r="G782" s="146"/>
      <c r="H782" s="146"/>
      <c r="I782" s="146"/>
      <c r="J782" s="146"/>
      <c r="K782" s="146"/>
      <c r="L782" s="146"/>
      <c r="M782" s="146"/>
      <c r="N782" s="146"/>
      <c r="O782" s="146"/>
      <c r="P782" s="146"/>
      <c r="Q782" s="146"/>
      <c r="R782" s="146"/>
      <c r="S782" s="146"/>
      <c r="T782" s="146"/>
      <c r="U782" s="146"/>
      <c r="V782" s="146"/>
      <c r="W782" s="146"/>
      <c r="X782" s="146"/>
      <c r="Y782" s="146"/>
      <c r="Z782" s="146"/>
    </row>
    <row r="783" spans="1:26" ht="15.75" customHeight="1">
      <c r="A783" s="146"/>
      <c r="B783" s="146"/>
      <c r="C783" s="146"/>
      <c r="D783" s="146"/>
      <c r="E783" s="146"/>
      <c r="F783" s="146"/>
      <c r="G783" s="146"/>
      <c r="H783" s="146"/>
      <c r="I783" s="146"/>
      <c r="J783" s="146"/>
      <c r="K783" s="146"/>
      <c r="L783" s="146"/>
      <c r="M783" s="146"/>
      <c r="N783" s="146"/>
      <c r="O783" s="146"/>
      <c r="P783" s="146"/>
      <c r="Q783" s="146"/>
      <c r="R783" s="146"/>
      <c r="S783" s="146"/>
      <c r="T783" s="146"/>
      <c r="U783" s="146"/>
      <c r="V783" s="146"/>
      <c r="W783" s="146"/>
      <c r="X783" s="146"/>
      <c r="Y783" s="146"/>
      <c r="Z783" s="146"/>
    </row>
    <row r="784" spans="1:26" ht="15.75" customHeight="1">
      <c r="A784" s="146"/>
      <c r="B784" s="146"/>
      <c r="C784" s="146"/>
      <c r="D784" s="146"/>
      <c r="E784" s="146"/>
      <c r="F784" s="146"/>
      <c r="G784" s="146"/>
      <c r="H784" s="146"/>
      <c r="I784" s="146"/>
      <c r="J784" s="146"/>
      <c r="K784" s="146"/>
      <c r="L784" s="146"/>
      <c r="M784" s="146"/>
      <c r="N784" s="146"/>
      <c r="O784" s="146"/>
      <c r="P784" s="146"/>
      <c r="Q784" s="146"/>
      <c r="R784" s="146"/>
      <c r="S784" s="146"/>
      <c r="T784" s="146"/>
      <c r="U784" s="146"/>
      <c r="V784" s="146"/>
      <c r="W784" s="146"/>
      <c r="X784" s="146"/>
      <c r="Y784" s="146"/>
      <c r="Z784" s="146"/>
    </row>
    <row r="785" spans="1:26" ht="15.75" customHeight="1">
      <c r="A785" s="146"/>
      <c r="B785" s="146"/>
      <c r="C785" s="146"/>
      <c r="D785" s="146"/>
      <c r="E785" s="146"/>
      <c r="F785" s="146"/>
      <c r="G785" s="146"/>
      <c r="H785" s="146"/>
      <c r="I785" s="146"/>
      <c r="J785" s="146"/>
      <c r="K785" s="146"/>
      <c r="L785" s="146"/>
      <c r="M785" s="146"/>
      <c r="N785" s="146"/>
      <c r="O785" s="146"/>
      <c r="P785" s="146"/>
      <c r="Q785" s="146"/>
      <c r="R785" s="146"/>
      <c r="S785" s="146"/>
      <c r="T785" s="146"/>
      <c r="U785" s="146"/>
      <c r="V785" s="146"/>
      <c r="W785" s="146"/>
      <c r="X785" s="146"/>
      <c r="Y785" s="146"/>
      <c r="Z785" s="146"/>
    </row>
    <row r="786" spans="1:26" ht="15.75" customHeight="1">
      <c r="A786" s="146"/>
      <c r="B786" s="146"/>
      <c r="C786" s="146"/>
      <c r="D786" s="146"/>
      <c r="E786" s="146"/>
      <c r="F786" s="146"/>
      <c r="G786" s="146"/>
      <c r="H786" s="146"/>
      <c r="I786" s="146"/>
      <c r="J786" s="146"/>
      <c r="K786" s="146"/>
      <c r="L786" s="146"/>
      <c r="M786" s="146"/>
      <c r="N786" s="146"/>
      <c r="O786" s="146"/>
      <c r="P786" s="146"/>
      <c r="Q786" s="146"/>
      <c r="R786" s="146"/>
      <c r="S786" s="146"/>
      <c r="T786" s="146"/>
      <c r="U786" s="146"/>
      <c r="V786" s="146"/>
      <c r="W786" s="146"/>
      <c r="X786" s="146"/>
      <c r="Y786" s="146"/>
      <c r="Z786" s="146"/>
    </row>
    <row r="787" spans="1:26" ht="15.75" customHeight="1">
      <c r="A787" s="146"/>
      <c r="B787" s="146"/>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row>
    <row r="788" spans="1:26" ht="15.75" customHeight="1">
      <c r="A788" s="146"/>
      <c r="B788" s="146"/>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row>
    <row r="789" spans="1:26" ht="15.75" customHeight="1">
      <c r="A789" s="146"/>
      <c r="B789" s="146"/>
      <c r="C789" s="146"/>
      <c r="D789" s="146"/>
      <c r="E789" s="146"/>
      <c r="F789" s="146"/>
      <c r="G789" s="146"/>
      <c r="H789" s="146"/>
      <c r="I789" s="146"/>
      <c r="J789" s="146"/>
      <c r="K789" s="146"/>
      <c r="L789" s="146"/>
      <c r="M789" s="146"/>
      <c r="N789" s="146"/>
      <c r="O789" s="146"/>
      <c r="P789" s="146"/>
      <c r="Q789" s="146"/>
      <c r="R789" s="146"/>
      <c r="S789" s="146"/>
      <c r="T789" s="146"/>
      <c r="U789" s="146"/>
      <c r="V789" s="146"/>
      <c r="W789" s="146"/>
      <c r="X789" s="146"/>
      <c r="Y789" s="146"/>
      <c r="Z789" s="146"/>
    </row>
    <row r="790" spans="1:26" ht="15.75" customHeight="1">
      <c r="A790" s="146"/>
      <c r="B790" s="146"/>
      <c r="C790" s="146"/>
      <c r="D790" s="146"/>
      <c r="E790" s="146"/>
      <c r="F790" s="146"/>
      <c r="G790" s="146"/>
      <c r="H790" s="146"/>
      <c r="I790" s="146"/>
      <c r="J790" s="146"/>
      <c r="K790" s="146"/>
      <c r="L790" s="146"/>
      <c r="M790" s="146"/>
      <c r="N790" s="146"/>
      <c r="O790" s="146"/>
      <c r="P790" s="146"/>
      <c r="Q790" s="146"/>
      <c r="R790" s="146"/>
      <c r="S790" s="146"/>
      <c r="T790" s="146"/>
      <c r="U790" s="146"/>
      <c r="V790" s="146"/>
      <c r="W790" s="146"/>
      <c r="X790" s="146"/>
      <c r="Y790" s="146"/>
      <c r="Z790" s="146"/>
    </row>
    <row r="791" spans="1:26" ht="15.75" customHeight="1">
      <c r="A791" s="146"/>
      <c r="B791" s="146"/>
      <c r="C791" s="146"/>
      <c r="D791" s="146"/>
      <c r="E791" s="146"/>
      <c r="F791" s="146"/>
      <c r="G791" s="146"/>
      <c r="H791" s="146"/>
      <c r="I791" s="146"/>
      <c r="J791" s="146"/>
      <c r="K791" s="146"/>
      <c r="L791" s="146"/>
      <c r="M791" s="146"/>
      <c r="N791" s="146"/>
      <c r="O791" s="146"/>
      <c r="P791" s="146"/>
      <c r="Q791" s="146"/>
      <c r="R791" s="146"/>
      <c r="S791" s="146"/>
      <c r="T791" s="146"/>
      <c r="U791" s="146"/>
      <c r="V791" s="146"/>
      <c r="W791" s="146"/>
      <c r="X791" s="146"/>
      <c r="Y791" s="146"/>
      <c r="Z791" s="146"/>
    </row>
    <row r="792" spans="1:26" ht="15.75" customHeight="1">
      <c r="A792" s="146"/>
      <c r="B792" s="146"/>
      <c r="C792" s="146"/>
      <c r="D792" s="146"/>
      <c r="E792" s="146"/>
      <c r="F792" s="146"/>
      <c r="G792" s="146"/>
      <c r="H792" s="146"/>
      <c r="I792" s="146"/>
      <c r="J792" s="146"/>
      <c r="K792" s="146"/>
      <c r="L792" s="146"/>
      <c r="M792" s="146"/>
      <c r="N792" s="146"/>
      <c r="O792" s="146"/>
      <c r="P792" s="146"/>
      <c r="Q792" s="146"/>
      <c r="R792" s="146"/>
      <c r="S792" s="146"/>
      <c r="T792" s="146"/>
      <c r="U792" s="146"/>
      <c r="V792" s="146"/>
      <c r="W792" s="146"/>
      <c r="X792" s="146"/>
      <c r="Y792" s="146"/>
      <c r="Z792" s="146"/>
    </row>
    <row r="793" spans="1:26" ht="15.75" customHeight="1">
      <c r="A793" s="146"/>
      <c r="B793" s="146"/>
      <c r="C793" s="146"/>
      <c r="D793" s="146"/>
      <c r="E793" s="146"/>
      <c r="F793" s="146"/>
      <c r="G793" s="146"/>
      <c r="H793" s="146"/>
      <c r="I793" s="146"/>
      <c r="J793" s="146"/>
      <c r="K793" s="146"/>
      <c r="L793" s="146"/>
      <c r="M793" s="146"/>
      <c r="N793" s="146"/>
      <c r="O793" s="146"/>
      <c r="P793" s="146"/>
      <c r="Q793" s="146"/>
      <c r="R793" s="146"/>
      <c r="S793" s="146"/>
      <c r="T793" s="146"/>
      <c r="U793" s="146"/>
      <c r="V793" s="146"/>
      <c r="W793" s="146"/>
      <c r="X793" s="146"/>
      <c r="Y793" s="146"/>
      <c r="Z793" s="146"/>
    </row>
    <row r="794" spans="1:26" ht="15.75" customHeight="1">
      <c r="A794" s="146"/>
      <c r="B794" s="146"/>
      <c r="C794" s="146"/>
      <c r="D794" s="146"/>
      <c r="E794" s="146"/>
      <c r="F794" s="146"/>
      <c r="G794" s="146"/>
      <c r="H794" s="146"/>
      <c r="I794" s="146"/>
      <c r="J794" s="146"/>
      <c r="K794" s="146"/>
      <c r="L794" s="146"/>
      <c r="M794" s="146"/>
      <c r="N794" s="146"/>
      <c r="O794" s="146"/>
      <c r="P794" s="146"/>
      <c r="Q794" s="146"/>
      <c r="R794" s="146"/>
      <c r="S794" s="146"/>
      <c r="T794" s="146"/>
      <c r="U794" s="146"/>
      <c r="V794" s="146"/>
      <c r="W794" s="146"/>
      <c r="X794" s="146"/>
      <c r="Y794" s="146"/>
      <c r="Z794" s="146"/>
    </row>
    <row r="795" spans="1:26" ht="15.75" customHeight="1">
      <c r="A795" s="146"/>
      <c r="B795" s="146"/>
      <c r="C795" s="146"/>
      <c r="D795" s="146"/>
      <c r="E795" s="146"/>
      <c r="F795" s="146"/>
      <c r="G795" s="146"/>
      <c r="H795" s="146"/>
      <c r="I795" s="146"/>
      <c r="J795" s="146"/>
      <c r="K795" s="146"/>
      <c r="L795" s="146"/>
      <c r="M795" s="146"/>
      <c r="N795" s="146"/>
      <c r="O795" s="146"/>
      <c r="P795" s="146"/>
      <c r="Q795" s="146"/>
      <c r="R795" s="146"/>
      <c r="S795" s="146"/>
      <c r="T795" s="146"/>
      <c r="U795" s="146"/>
      <c r="V795" s="146"/>
      <c r="W795" s="146"/>
      <c r="X795" s="146"/>
      <c r="Y795" s="146"/>
      <c r="Z795" s="146"/>
    </row>
    <row r="796" spans="1:26" ht="15.75" customHeight="1">
      <c r="A796" s="146"/>
      <c r="B796" s="146"/>
      <c r="C796" s="146"/>
      <c r="D796" s="146"/>
      <c r="E796" s="146"/>
      <c r="F796" s="146"/>
      <c r="G796" s="146"/>
      <c r="H796" s="146"/>
      <c r="I796" s="146"/>
      <c r="J796" s="146"/>
      <c r="K796" s="146"/>
      <c r="L796" s="146"/>
      <c r="M796" s="146"/>
      <c r="N796" s="146"/>
      <c r="O796" s="146"/>
      <c r="P796" s="146"/>
      <c r="Q796" s="146"/>
      <c r="R796" s="146"/>
      <c r="S796" s="146"/>
      <c r="T796" s="146"/>
      <c r="U796" s="146"/>
      <c r="V796" s="146"/>
      <c r="W796" s="146"/>
      <c r="X796" s="146"/>
      <c r="Y796" s="146"/>
      <c r="Z796" s="146"/>
    </row>
    <row r="797" spans="1:26" ht="15.75" customHeight="1">
      <c r="A797" s="146"/>
      <c r="B797" s="146"/>
      <c r="C797" s="146"/>
      <c r="D797" s="146"/>
      <c r="E797" s="146"/>
      <c r="F797" s="146"/>
      <c r="G797" s="146"/>
      <c r="H797" s="146"/>
      <c r="I797" s="146"/>
      <c r="J797" s="146"/>
      <c r="K797" s="146"/>
      <c r="L797" s="146"/>
      <c r="M797" s="146"/>
      <c r="N797" s="146"/>
      <c r="O797" s="146"/>
      <c r="P797" s="146"/>
      <c r="Q797" s="146"/>
      <c r="R797" s="146"/>
      <c r="S797" s="146"/>
      <c r="T797" s="146"/>
      <c r="U797" s="146"/>
      <c r="V797" s="146"/>
      <c r="W797" s="146"/>
      <c r="X797" s="146"/>
      <c r="Y797" s="146"/>
      <c r="Z797" s="146"/>
    </row>
    <row r="798" spans="1:26" ht="15.75" customHeight="1">
      <c r="A798" s="146"/>
      <c r="B798" s="146"/>
      <c r="C798" s="146"/>
      <c r="D798" s="146"/>
      <c r="E798" s="146"/>
      <c r="F798" s="146"/>
      <c r="G798" s="146"/>
      <c r="H798" s="146"/>
      <c r="I798" s="146"/>
      <c r="J798" s="146"/>
      <c r="K798" s="146"/>
      <c r="L798" s="146"/>
      <c r="M798" s="146"/>
      <c r="N798" s="146"/>
      <c r="O798" s="146"/>
      <c r="P798" s="146"/>
      <c r="Q798" s="146"/>
      <c r="R798" s="146"/>
      <c r="S798" s="146"/>
      <c r="T798" s="146"/>
      <c r="U798" s="146"/>
      <c r="V798" s="146"/>
      <c r="W798" s="146"/>
      <c r="X798" s="146"/>
      <c r="Y798" s="146"/>
      <c r="Z798" s="146"/>
    </row>
    <row r="799" spans="1:26" ht="15.75" customHeight="1">
      <c r="A799" s="146"/>
      <c r="B799" s="146"/>
      <c r="C799" s="146"/>
      <c r="D799" s="146"/>
      <c r="E799" s="146"/>
      <c r="F799" s="146"/>
      <c r="G799" s="146"/>
      <c r="H799" s="146"/>
      <c r="I799" s="146"/>
      <c r="J799" s="146"/>
      <c r="K799" s="146"/>
      <c r="L799" s="146"/>
      <c r="M799" s="146"/>
      <c r="N799" s="146"/>
      <c r="O799" s="146"/>
      <c r="P799" s="146"/>
      <c r="Q799" s="146"/>
      <c r="R799" s="146"/>
      <c r="S799" s="146"/>
      <c r="T799" s="146"/>
      <c r="U799" s="146"/>
      <c r="V799" s="146"/>
      <c r="W799" s="146"/>
      <c r="X799" s="146"/>
      <c r="Y799" s="146"/>
      <c r="Z799" s="146"/>
    </row>
    <row r="800" spans="1:26" ht="15.75" customHeight="1">
      <c r="A800" s="146"/>
      <c r="B800" s="146"/>
      <c r="C800" s="146"/>
      <c r="D800" s="146"/>
      <c r="E800" s="146"/>
      <c r="F800" s="146"/>
      <c r="G800" s="146"/>
      <c r="H800" s="146"/>
      <c r="I800" s="146"/>
      <c r="J800" s="146"/>
      <c r="K800" s="146"/>
      <c r="L800" s="146"/>
      <c r="M800" s="146"/>
      <c r="N800" s="146"/>
      <c r="O800" s="146"/>
      <c r="P800" s="146"/>
      <c r="Q800" s="146"/>
      <c r="R800" s="146"/>
      <c r="S800" s="146"/>
      <c r="T800" s="146"/>
      <c r="U800" s="146"/>
      <c r="V800" s="146"/>
      <c r="W800" s="146"/>
      <c r="X800" s="146"/>
      <c r="Y800" s="146"/>
      <c r="Z800" s="146"/>
    </row>
    <row r="801" spans="1:26" ht="15.75" customHeight="1">
      <c r="A801" s="146"/>
      <c r="B801" s="146"/>
      <c r="C801" s="146"/>
      <c r="D801" s="146"/>
      <c r="E801" s="146"/>
      <c r="F801" s="146"/>
      <c r="G801" s="146"/>
      <c r="H801" s="146"/>
      <c r="I801" s="146"/>
      <c r="J801" s="146"/>
      <c r="K801" s="146"/>
      <c r="L801" s="146"/>
      <c r="M801" s="146"/>
      <c r="N801" s="146"/>
      <c r="O801" s="146"/>
      <c r="P801" s="146"/>
      <c r="Q801" s="146"/>
      <c r="R801" s="146"/>
      <c r="S801" s="146"/>
      <c r="T801" s="146"/>
      <c r="U801" s="146"/>
      <c r="V801" s="146"/>
      <c r="W801" s="146"/>
      <c r="X801" s="146"/>
      <c r="Y801" s="146"/>
      <c r="Z801" s="146"/>
    </row>
    <row r="802" spans="1:26" ht="15.75" customHeight="1">
      <c r="A802" s="146"/>
      <c r="B802" s="146"/>
      <c r="C802" s="146"/>
      <c r="D802" s="146"/>
      <c r="E802" s="146"/>
      <c r="F802" s="146"/>
      <c r="G802" s="146"/>
      <c r="H802" s="146"/>
      <c r="I802" s="146"/>
      <c r="J802" s="146"/>
      <c r="K802" s="146"/>
      <c r="L802" s="146"/>
      <c r="M802" s="146"/>
      <c r="N802" s="146"/>
      <c r="O802" s="146"/>
      <c r="P802" s="146"/>
      <c r="Q802" s="146"/>
      <c r="R802" s="146"/>
      <c r="S802" s="146"/>
      <c r="T802" s="146"/>
      <c r="U802" s="146"/>
      <c r="V802" s="146"/>
      <c r="W802" s="146"/>
      <c r="X802" s="146"/>
      <c r="Y802" s="146"/>
      <c r="Z802" s="146"/>
    </row>
    <row r="803" spans="1:26" ht="15.75" customHeight="1">
      <c r="A803" s="146"/>
      <c r="B803" s="146"/>
      <c r="C803" s="146"/>
      <c r="D803" s="146"/>
      <c r="E803" s="146"/>
      <c r="F803" s="146"/>
      <c r="G803" s="146"/>
      <c r="H803" s="146"/>
      <c r="I803" s="146"/>
      <c r="J803" s="146"/>
      <c r="K803" s="146"/>
      <c r="L803" s="146"/>
      <c r="M803" s="146"/>
      <c r="N803" s="146"/>
      <c r="O803" s="146"/>
      <c r="P803" s="146"/>
      <c r="Q803" s="146"/>
      <c r="R803" s="146"/>
      <c r="S803" s="146"/>
      <c r="T803" s="146"/>
      <c r="U803" s="146"/>
      <c r="V803" s="146"/>
      <c r="W803" s="146"/>
      <c r="X803" s="146"/>
      <c r="Y803" s="146"/>
      <c r="Z803" s="146"/>
    </row>
    <row r="804" spans="1:26" ht="15.75" customHeight="1">
      <c r="A804" s="146"/>
      <c r="B804" s="146"/>
      <c r="C804" s="146"/>
      <c r="D804" s="146"/>
      <c r="E804" s="146"/>
      <c r="F804" s="146"/>
      <c r="G804" s="146"/>
      <c r="H804" s="146"/>
      <c r="I804" s="146"/>
      <c r="J804" s="146"/>
      <c r="K804" s="146"/>
      <c r="L804" s="146"/>
      <c r="M804" s="146"/>
      <c r="N804" s="146"/>
      <c r="O804" s="146"/>
      <c r="P804" s="146"/>
      <c r="Q804" s="146"/>
      <c r="R804" s="146"/>
      <c r="S804" s="146"/>
      <c r="T804" s="146"/>
      <c r="U804" s="146"/>
      <c r="V804" s="146"/>
      <c r="W804" s="146"/>
      <c r="X804" s="146"/>
      <c r="Y804" s="146"/>
      <c r="Z804" s="146"/>
    </row>
    <row r="805" spans="1:26" ht="15.75" customHeight="1">
      <c r="A805" s="146"/>
      <c r="B805" s="146"/>
      <c r="C805" s="146"/>
      <c r="D805" s="146"/>
      <c r="E805" s="146"/>
      <c r="F805" s="146"/>
      <c r="G805" s="146"/>
      <c r="H805" s="146"/>
      <c r="I805" s="146"/>
      <c r="J805" s="146"/>
      <c r="K805" s="146"/>
      <c r="L805" s="146"/>
      <c r="M805" s="146"/>
      <c r="N805" s="146"/>
      <c r="O805" s="146"/>
      <c r="P805" s="146"/>
      <c r="Q805" s="146"/>
      <c r="R805" s="146"/>
      <c r="S805" s="146"/>
      <c r="T805" s="146"/>
      <c r="U805" s="146"/>
      <c r="V805" s="146"/>
      <c r="W805" s="146"/>
      <c r="X805" s="146"/>
      <c r="Y805" s="146"/>
      <c r="Z805" s="146"/>
    </row>
    <row r="806" spans="1:26" ht="15.75" customHeight="1">
      <c r="A806" s="146"/>
      <c r="B806" s="146"/>
      <c r="C806" s="146"/>
      <c r="D806" s="146"/>
      <c r="E806" s="146"/>
      <c r="F806" s="146"/>
      <c r="G806" s="146"/>
      <c r="H806" s="146"/>
      <c r="I806" s="146"/>
      <c r="J806" s="146"/>
      <c r="K806" s="146"/>
      <c r="L806" s="146"/>
      <c r="M806" s="146"/>
      <c r="N806" s="146"/>
      <c r="O806" s="146"/>
      <c r="P806" s="146"/>
      <c r="Q806" s="146"/>
      <c r="R806" s="146"/>
      <c r="S806" s="146"/>
      <c r="T806" s="146"/>
      <c r="U806" s="146"/>
      <c r="V806" s="146"/>
      <c r="W806" s="146"/>
      <c r="X806" s="146"/>
      <c r="Y806" s="146"/>
      <c r="Z806" s="146"/>
    </row>
    <row r="807" spans="1:26" ht="15.75" customHeight="1">
      <c r="A807" s="146"/>
      <c r="B807" s="146"/>
      <c r="C807" s="146"/>
      <c r="D807" s="146"/>
      <c r="E807" s="146"/>
      <c r="F807" s="146"/>
      <c r="G807" s="146"/>
      <c r="H807" s="146"/>
      <c r="I807" s="146"/>
      <c r="J807" s="146"/>
      <c r="K807" s="146"/>
      <c r="L807" s="146"/>
      <c r="M807" s="146"/>
      <c r="N807" s="146"/>
      <c r="O807" s="146"/>
      <c r="P807" s="146"/>
      <c r="Q807" s="146"/>
      <c r="R807" s="146"/>
      <c r="S807" s="146"/>
      <c r="T807" s="146"/>
      <c r="U807" s="146"/>
      <c r="V807" s="146"/>
      <c r="W807" s="146"/>
      <c r="X807" s="146"/>
      <c r="Y807" s="146"/>
      <c r="Z807" s="146"/>
    </row>
    <row r="808" spans="1:26" ht="15.75" customHeight="1">
      <c r="A808" s="146"/>
      <c r="B808" s="146"/>
      <c r="C808" s="146"/>
      <c r="D808" s="146"/>
      <c r="E808" s="146"/>
      <c r="F808" s="146"/>
      <c r="G808" s="146"/>
      <c r="H808" s="146"/>
      <c r="I808" s="146"/>
      <c r="J808" s="146"/>
      <c r="K808" s="146"/>
      <c r="L808" s="146"/>
      <c r="M808" s="146"/>
      <c r="N808" s="146"/>
      <c r="O808" s="146"/>
      <c r="P808" s="146"/>
      <c r="Q808" s="146"/>
      <c r="R808" s="146"/>
      <c r="S808" s="146"/>
      <c r="T808" s="146"/>
      <c r="U808" s="146"/>
      <c r="V808" s="146"/>
      <c r="W808" s="146"/>
      <c r="X808" s="146"/>
      <c r="Y808" s="146"/>
      <c r="Z808" s="146"/>
    </row>
    <row r="809" spans="1:26" ht="15.75" customHeight="1">
      <c r="A809" s="146"/>
      <c r="B809" s="146"/>
      <c r="C809" s="146"/>
      <c r="D809" s="146"/>
      <c r="E809" s="146"/>
      <c r="F809" s="146"/>
      <c r="G809" s="146"/>
      <c r="H809" s="146"/>
      <c r="I809" s="146"/>
      <c r="J809" s="146"/>
      <c r="K809" s="146"/>
      <c r="L809" s="146"/>
      <c r="M809" s="146"/>
      <c r="N809" s="146"/>
      <c r="O809" s="146"/>
      <c r="P809" s="146"/>
      <c r="Q809" s="146"/>
      <c r="R809" s="146"/>
      <c r="S809" s="146"/>
      <c r="T809" s="146"/>
      <c r="U809" s="146"/>
      <c r="V809" s="146"/>
      <c r="W809" s="146"/>
      <c r="X809" s="146"/>
      <c r="Y809" s="146"/>
      <c r="Z809" s="146"/>
    </row>
    <row r="810" spans="1:26" ht="15.75" customHeight="1">
      <c r="A810" s="146"/>
      <c r="B810" s="146"/>
      <c r="C810" s="146"/>
      <c r="D810" s="146"/>
      <c r="E810" s="146"/>
      <c r="F810" s="146"/>
      <c r="G810" s="146"/>
      <c r="H810" s="146"/>
      <c r="I810" s="146"/>
      <c r="J810" s="146"/>
      <c r="K810" s="146"/>
      <c r="L810" s="146"/>
      <c r="M810" s="146"/>
      <c r="N810" s="146"/>
      <c r="O810" s="146"/>
      <c r="P810" s="146"/>
      <c r="Q810" s="146"/>
      <c r="R810" s="146"/>
      <c r="S810" s="146"/>
      <c r="T810" s="146"/>
      <c r="U810" s="146"/>
      <c r="V810" s="146"/>
      <c r="W810" s="146"/>
      <c r="X810" s="146"/>
      <c r="Y810" s="146"/>
      <c r="Z810" s="146"/>
    </row>
    <row r="811" spans="1:26" ht="15.75" customHeight="1">
      <c r="A811" s="146"/>
      <c r="B811" s="146"/>
      <c r="C811" s="146"/>
      <c r="D811" s="146"/>
      <c r="E811" s="146"/>
      <c r="F811" s="146"/>
      <c r="G811" s="146"/>
      <c r="H811" s="146"/>
      <c r="I811" s="146"/>
      <c r="J811" s="146"/>
      <c r="K811" s="146"/>
      <c r="L811" s="146"/>
      <c r="M811" s="146"/>
      <c r="N811" s="146"/>
      <c r="O811" s="146"/>
      <c r="P811" s="146"/>
      <c r="Q811" s="146"/>
      <c r="R811" s="146"/>
      <c r="S811" s="146"/>
      <c r="T811" s="146"/>
      <c r="U811" s="146"/>
      <c r="V811" s="146"/>
      <c r="W811" s="146"/>
      <c r="X811" s="146"/>
      <c r="Y811" s="146"/>
      <c r="Z811" s="146"/>
    </row>
    <row r="812" spans="1:26" ht="15.75" customHeight="1">
      <c r="A812" s="146"/>
      <c r="B812" s="146"/>
      <c r="C812" s="146"/>
      <c r="D812" s="146"/>
      <c r="E812" s="146"/>
      <c r="F812" s="146"/>
      <c r="G812" s="146"/>
      <c r="H812" s="146"/>
      <c r="I812" s="146"/>
      <c r="J812" s="146"/>
      <c r="K812" s="146"/>
      <c r="L812" s="146"/>
      <c r="M812" s="146"/>
      <c r="N812" s="146"/>
      <c r="O812" s="146"/>
      <c r="P812" s="146"/>
      <c r="Q812" s="146"/>
      <c r="R812" s="146"/>
      <c r="S812" s="146"/>
      <c r="T812" s="146"/>
      <c r="U812" s="146"/>
      <c r="V812" s="146"/>
      <c r="W812" s="146"/>
      <c r="X812" s="146"/>
      <c r="Y812" s="146"/>
      <c r="Z812" s="146"/>
    </row>
    <row r="813" spans="1:26" ht="15.75" customHeight="1">
      <c r="A813" s="146"/>
      <c r="B813" s="146"/>
      <c r="C813" s="146"/>
      <c r="D813" s="146"/>
      <c r="E813" s="146"/>
      <c r="F813" s="146"/>
      <c r="G813" s="146"/>
      <c r="H813" s="146"/>
      <c r="I813" s="146"/>
      <c r="J813" s="146"/>
      <c r="K813" s="146"/>
      <c r="L813" s="146"/>
      <c r="M813" s="146"/>
      <c r="N813" s="146"/>
      <c r="O813" s="146"/>
      <c r="P813" s="146"/>
      <c r="Q813" s="146"/>
      <c r="R813" s="146"/>
      <c r="S813" s="146"/>
      <c r="T813" s="146"/>
      <c r="U813" s="146"/>
      <c r="V813" s="146"/>
      <c r="W813" s="146"/>
      <c r="X813" s="146"/>
      <c r="Y813" s="146"/>
      <c r="Z813" s="146"/>
    </row>
    <row r="814" spans="1:26" ht="15.75" customHeight="1">
      <c r="A814" s="146"/>
      <c r="B814" s="146"/>
      <c r="C814" s="146"/>
      <c r="D814" s="146"/>
      <c r="E814" s="146"/>
      <c r="F814" s="146"/>
      <c r="G814" s="146"/>
      <c r="H814" s="146"/>
      <c r="I814" s="146"/>
      <c r="J814" s="146"/>
      <c r="K814" s="146"/>
      <c r="L814" s="146"/>
      <c r="M814" s="146"/>
      <c r="N814" s="146"/>
      <c r="O814" s="146"/>
      <c r="P814" s="146"/>
      <c r="Q814" s="146"/>
      <c r="R814" s="146"/>
      <c r="S814" s="146"/>
      <c r="T814" s="146"/>
      <c r="U814" s="146"/>
      <c r="V814" s="146"/>
      <c r="W814" s="146"/>
      <c r="X814" s="146"/>
      <c r="Y814" s="146"/>
      <c r="Z814" s="146"/>
    </row>
    <row r="815" spans="1:26" ht="15.75" customHeight="1">
      <c r="A815" s="146"/>
      <c r="B815" s="146"/>
      <c r="C815" s="146"/>
      <c r="D815" s="146"/>
      <c r="E815" s="146"/>
      <c r="F815" s="146"/>
      <c r="G815" s="146"/>
      <c r="H815" s="146"/>
      <c r="I815" s="146"/>
      <c r="J815" s="146"/>
      <c r="K815" s="146"/>
      <c r="L815" s="146"/>
      <c r="M815" s="146"/>
      <c r="N815" s="146"/>
      <c r="O815" s="146"/>
      <c r="P815" s="146"/>
      <c r="Q815" s="146"/>
      <c r="R815" s="146"/>
      <c r="S815" s="146"/>
      <c r="T815" s="146"/>
      <c r="U815" s="146"/>
      <c r="V815" s="146"/>
      <c r="W815" s="146"/>
      <c r="X815" s="146"/>
      <c r="Y815" s="146"/>
      <c r="Z815" s="146"/>
    </row>
    <row r="816" spans="1:26" ht="15.75" customHeight="1">
      <c r="A816" s="146"/>
      <c r="B816" s="146"/>
      <c r="C816" s="146"/>
      <c r="D816" s="146"/>
      <c r="E816" s="146"/>
      <c r="F816" s="146"/>
      <c r="G816" s="146"/>
      <c r="H816" s="146"/>
      <c r="I816" s="146"/>
      <c r="J816" s="146"/>
      <c r="K816" s="146"/>
      <c r="L816" s="146"/>
      <c r="M816" s="146"/>
      <c r="N816" s="146"/>
      <c r="O816" s="146"/>
      <c r="P816" s="146"/>
      <c r="Q816" s="146"/>
      <c r="R816" s="146"/>
      <c r="S816" s="146"/>
      <c r="T816" s="146"/>
      <c r="U816" s="146"/>
      <c r="V816" s="146"/>
      <c r="W816" s="146"/>
      <c r="X816" s="146"/>
      <c r="Y816" s="146"/>
      <c r="Z816" s="146"/>
    </row>
    <row r="817" spans="1:26" ht="15.75" customHeight="1">
      <c r="A817" s="146"/>
      <c r="B817" s="146"/>
      <c r="C817" s="146"/>
      <c r="D817" s="146"/>
      <c r="E817" s="146"/>
      <c r="F817" s="146"/>
      <c r="G817" s="146"/>
      <c r="H817" s="146"/>
      <c r="I817" s="146"/>
      <c r="J817" s="146"/>
      <c r="K817" s="146"/>
      <c r="L817" s="146"/>
      <c r="M817" s="146"/>
      <c r="N817" s="146"/>
      <c r="O817" s="146"/>
      <c r="P817" s="146"/>
      <c r="Q817" s="146"/>
      <c r="R817" s="146"/>
      <c r="S817" s="146"/>
      <c r="T817" s="146"/>
      <c r="U817" s="146"/>
      <c r="V817" s="146"/>
      <c r="W817" s="146"/>
      <c r="X817" s="146"/>
      <c r="Y817" s="146"/>
      <c r="Z817" s="146"/>
    </row>
    <row r="818" spans="1:26" ht="15.75" customHeight="1">
      <c r="A818" s="146"/>
      <c r="B818" s="146"/>
      <c r="C818" s="146"/>
      <c r="D818" s="146"/>
      <c r="E818" s="146"/>
      <c r="F818" s="146"/>
      <c r="G818" s="146"/>
      <c r="H818" s="146"/>
      <c r="I818" s="146"/>
      <c r="J818" s="146"/>
      <c r="K818" s="146"/>
      <c r="L818" s="146"/>
      <c r="M818" s="146"/>
      <c r="N818" s="146"/>
      <c r="O818" s="146"/>
      <c r="P818" s="146"/>
      <c r="Q818" s="146"/>
      <c r="R818" s="146"/>
      <c r="S818" s="146"/>
      <c r="T818" s="146"/>
      <c r="U818" s="146"/>
      <c r="V818" s="146"/>
      <c r="W818" s="146"/>
      <c r="X818" s="146"/>
      <c r="Y818" s="146"/>
      <c r="Z818" s="146"/>
    </row>
    <row r="819" spans="1:26" ht="15.75" customHeight="1">
      <c r="A819" s="146"/>
      <c r="B819" s="146"/>
      <c r="C819" s="146"/>
      <c r="D819" s="146"/>
      <c r="E819" s="146"/>
      <c r="F819" s="146"/>
      <c r="G819" s="146"/>
      <c r="H819" s="146"/>
      <c r="I819" s="146"/>
      <c r="J819" s="146"/>
      <c r="K819" s="146"/>
      <c r="L819" s="146"/>
      <c r="M819" s="146"/>
      <c r="N819" s="146"/>
      <c r="O819" s="146"/>
      <c r="P819" s="146"/>
      <c r="Q819" s="146"/>
      <c r="R819" s="146"/>
      <c r="S819" s="146"/>
      <c r="T819" s="146"/>
      <c r="U819" s="146"/>
      <c r="V819" s="146"/>
      <c r="W819" s="146"/>
      <c r="X819" s="146"/>
      <c r="Y819" s="146"/>
      <c r="Z819" s="146"/>
    </row>
    <row r="820" spans="1:26" ht="15.75" customHeight="1">
      <c r="A820" s="146"/>
      <c r="B820" s="146"/>
      <c r="C820" s="146"/>
      <c r="D820" s="146"/>
      <c r="E820" s="146"/>
      <c r="F820" s="146"/>
      <c r="G820" s="146"/>
      <c r="H820" s="146"/>
      <c r="I820" s="146"/>
      <c r="J820" s="146"/>
      <c r="K820" s="146"/>
      <c r="L820" s="146"/>
      <c r="M820" s="146"/>
      <c r="N820" s="146"/>
      <c r="O820" s="146"/>
      <c r="P820" s="146"/>
      <c r="Q820" s="146"/>
      <c r="R820" s="146"/>
      <c r="S820" s="146"/>
      <c r="T820" s="146"/>
      <c r="U820" s="146"/>
      <c r="V820" s="146"/>
      <c r="W820" s="146"/>
      <c r="X820" s="146"/>
      <c r="Y820" s="146"/>
      <c r="Z820" s="146"/>
    </row>
    <row r="821" spans="1:26" ht="15.75" customHeight="1">
      <c r="A821" s="146"/>
      <c r="B821" s="146"/>
      <c r="C821" s="146"/>
      <c r="D821" s="146"/>
      <c r="E821" s="146"/>
      <c r="F821" s="146"/>
      <c r="G821" s="146"/>
      <c r="H821" s="146"/>
      <c r="I821" s="146"/>
      <c r="J821" s="146"/>
      <c r="K821" s="146"/>
      <c r="L821" s="146"/>
      <c r="M821" s="146"/>
      <c r="N821" s="146"/>
      <c r="O821" s="146"/>
      <c r="P821" s="146"/>
      <c r="Q821" s="146"/>
      <c r="R821" s="146"/>
      <c r="S821" s="146"/>
      <c r="T821" s="146"/>
      <c r="U821" s="146"/>
      <c r="V821" s="146"/>
      <c r="W821" s="146"/>
      <c r="X821" s="146"/>
      <c r="Y821" s="146"/>
      <c r="Z821" s="146"/>
    </row>
    <row r="822" spans="1:26" ht="15.75" customHeight="1">
      <c r="A822" s="146"/>
      <c r="B822" s="146"/>
      <c r="C822" s="146"/>
      <c r="D822" s="146"/>
      <c r="E822" s="146"/>
      <c r="F822" s="146"/>
      <c r="G822" s="146"/>
      <c r="H822" s="146"/>
      <c r="I822" s="146"/>
      <c r="J822" s="146"/>
      <c r="K822" s="146"/>
      <c r="L822" s="146"/>
      <c r="M822" s="146"/>
      <c r="N822" s="146"/>
      <c r="O822" s="146"/>
      <c r="P822" s="146"/>
      <c r="Q822" s="146"/>
      <c r="R822" s="146"/>
      <c r="S822" s="146"/>
      <c r="T822" s="146"/>
      <c r="U822" s="146"/>
      <c r="V822" s="146"/>
      <c r="W822" s="146"/>
      <c r="X822" s="146"/>
      <c r="Y822" s="146"/>
      <c r="Z822" s="146"/>
    </row>
    <row r="823" spans="1:26" ht="15.75" customHeight="1">
      <c r="A823" s="146"/>
      <c r="B823" s="146"/>
      <c r="C823" s="146"/>
      <c r="D823" s="146"/>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row>
    <row r="824" spans="1:26" ht="15.75" customHeight="1">
      <c r="A824" s="146"/>
      <c r="B824" s="146"/>
      <c r="C824" s="146"/>
      <c r="D824" s="146"/>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row>
    <row r="825" spans="1:26" ht="15.75" customHeight="1">
      <c r="A825" s="146"/>
      <c r="B825" s="146"/>
      <c r="C825" s="146"/>
      <c r="D825" s="146"/>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row>
    <row r="826" spans="1:26" ht="15.75" customHeight="1">
      <c r="A826" s="146"/>
      <c r="B826" s="146"/>
      <c r="C826" s="146"/>
      <c r="D826" s="146"/>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row>
    <row r="827" spans="1:26" ht="15.75" customHeight="1">
      <c r="A827" s="146"/>
      <c r="B827" s="146"/>
      <c r="C827" s="146"/>
      <c r="D827" s="146"/>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row>
    <row r="828" spans="1:26" ht="15.75" customHeight="1">
      <c r="A828" s="146"/>
      <c r="B828" s="146"/>
      <c r="C828" s="146"/>
      <c r="D828" s="146"/>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row>
    <row r="829" spans="1:26" ht="15.75" customHeight="1">
      <c r="A829" s="146"/>
      <c r="B829" s="146"/>
      <c r="C829" s="146"/>
      <c r="D829" s="146"/>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row>
    <row r="830" spans="1:26" ht="15.75" customHeight="1">
      <c r="A830" s="146"/>
      <c r="B830" s="146"/>
      <c r="C830" s="146"/>
      <c r="D830" s="146"/>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row>
    <row r="831" spans="1:26" ht="15.75" customHeight="1">
      <c r="A831" s="146"/>
      <c r="B831" s="146"/>
      <c r="C831" s="146"/>
      <c r="D831" s="146"/>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row>
    <row r="832" spans="1:26" ht="15.75" customHeight="1">
      <c r="A832" s="146"/>
      <c r="B832" s="146"/>
      <c r="C832" s="146"/>
      <c r="D832" s="146"/>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row>
    <row r="833" spans="1:26" ht="15.75" customHeight="1">
      <c r="A833" s="146"/>
      <c r="B833" s="146"/>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row>
    <row r="834" spans="1:26" ht="15.75" customHeight="1">
      <c r="A834" s="146"/>
      <c r="B834" s="146"/>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row>
    <row r="835" spans="1:26" ht="15.75" customHeight="1">
      <c r="A835" s="146"/>
      <c r="B835" s="146"/>
      <c r="C835" s="146"/>
      <c r="D835" s="146"/>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row>
    <row r="836" spans="1:26" ht="15.75" customHeight="1">
      <c r="A836" s="146"/>
      <c r="B836" s="146"/>
      <c r="C836" s="146"/>
      <c r="D836" s="146"/>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row>
    <row r="837" spans="1:26" ht="15.75" customHeight="1">
      <c r="A837" s="146"/>
      <c r="B837" s="146"/>
      <c r="C837" s="146"/>
      <c r="D837" s="146"/>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row>
    <row r="838" spans="1:26" ht="15.75" customHeight="1">
      <c r="A838" s="146"/>
      <c r="B838" s="146"/>
      <c r="C838" s="146"/>
      <c r="D838" s="146"/>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row>
    <row r="839" spans="1:26" ht="15.75" customHeight="1">
      <c r="A839" s="146"/>
      <c r="B839" s="146"/>
      <c r="C839" s="146"/>
      <c r="D839" s="146"/>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row>
    <row r="840" spans="1:26" ht="15.75" customHeight="1">
      <c r="A840" s="146"/>
      <c r="B840" s="146"/>
      <c r="C840" s="146"/>
      <c r="D840" s="146"/>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row>
    <row r="841" spans="1:26" ht="15.75" customHeight="1">
      <c r="A841" s="146"/>
      <c r="B841" s="146"/>
      <c r="C841" s="146"/>
      <c r="D841" s="146"/>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row>
    <row r="842" spans="1:26" ht="15.75" customHeight="1">
      <c r="A842" s="146"/>
      <c r="B842" s="146"/>
      <c r="C842" s="146"/>
      <c r="D842" s="146"/>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row>
    <row r="843" spans="1:26" ht="15.75" customHeight="1">
      <c r="A843" s="146"/>
      <c r="B843" s="146"/>
      <c r="C843" s="146"/>
      <c r="D843" s="146"/>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row>
    <row r="844" spans="1:26" ht="15.75" customHeight="1">
      <c r="A844" s="146"/>
      <c r="B844" s="146"/>
      <c r="C844" s="146"/>
      <c r="D844" s="146"/>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row>
    <row r="845" spans="1:26" ht="15.75" customHeight="1">
      <c r="A845" s="146"/>
      <c r="B845" s="146"/>
      <c r="C845" s="146"/>
      <c r="D845" s="146"/>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row>
    <row r="846" spans="1:26" ht="15.75" customHeight="1">
      <c r="A846" s="146"/>
      <c r="B846" s="146"/>
      <c r="C846" s="146"/>
      <c r="D846" s="146"/>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row>
    <row r="847" spans="1:26" ht="15.75" customHeight="1">
      <c r="A847" s="146"/>
      <c r="B847" s="146"/>
      <c r="C847" s="146"/>
      <c r="D847" s="146"/>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row>
    <row r="848" spans="1:26" ht="15.75" customHeight="1">
      <c r="A848" s="146"/>
      <c r="B848" s="146"/>
      <c r="C848" s="146"/>
      <c r="D848" s="146"/>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row>
    <row r="849" spans="1:26" ht="15.75" customHeight="1">
      <c r="A849" s="146"/>
      <c r="B849" s="146"/>
      <c r="C849" s="146"/>
      <c r="D849" s="146"/>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row>
    <row r="850" spans="1:26" ht="15.75" customHeight="1">
      <c r="A850" s="146"/>
      <c r="B850" s="146"/>
      <c r="C850" s="146"/>
      <c r="D850" s="146"/>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row>
    <row r="851" spans="1:26" ht="15.75" customHeight="1">
      <c r="A851" s="146"/>
      <c r="B851" s="146"/>
      <c r="C851" s="146"/>
      <c r="D851" s="146"/>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row>
    <row r="852" spans="1:26" ht="15.75" customHeight="1">
      <c r="A852" s="146"/>
      <c r="B852" s="146"/>
      <c r="C852" s="146"/>
      <c r="D852" s="146"/>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row>
    <row r="853" spans="1:26" ht="15.75" customHeight="1">
      <c r="A853" s="146"/>
      <c r="B853" s="146"/>
      <c r="C853" s="146"/>
      <c r="D853" s="146"/>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row>
    <row r="854" spans="1:26" ht="15.75" customHeight="1">
      <c r="A854" s="146"/>
      <c r="B854" s="146"/>
      <c r="C854" s="146"/>
      <c r="D854" s="146"/>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row>
    <row r="855" spans="1:26" ht="15.75" customHeight="1">
      <c r="A855" s="146"/>
      <c r="B855" s="146"/>
      <c r="C855" s="146"/>
      <c r="D855" s="146"/>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row>
    <row r="856" spans="1:26" ht="15.75" customHeight="1">
      <c r="A856" s="146"/>
      <c r="B856" s="146"/>
      <c r="C856" s="146"/>
      <c r="D856" s="146"/>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row>
    <row r="857" spans="1:26" ht="15.75" customHeight="1">
      <c r="A857" s="146"/>
      <c r="B857" s="146"/>
      <c r="C857" s="146"/>
      <c r="D857" s="146"/>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row>
    <row r="858" spans="1:26" ht="15.75" customHeight="1">
      <c r="A858" s="146"/>
      <c r="B858" s="146"/>
      <c r="C858" s="146"/>
      <c r="D858" s="146"/>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row>
    <row r="859" spans="1:26" ht="15.75" customHeight="1">
      <c r="A859" s="146"/>
      <c r="B859" s="146"/>
      <c r="C859" s="146"/>
      <c r="D859" s="146"/>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row>
    <row r="860" spans="1:26" ht="15.75" customHeight="1">
      <c r="A860" s="146"/>
      <c r="B860" s="146"/>
      <c r="C860" s="146"/>
      <c r="D860" s="146"/>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row>
    <row r="861" spans="1:26" ht="15.75" customHeight="1">
      <c r="A861" s="146"/>
      <c r="B861" s="146"/>
      <c r="C861" s="146"/>
      <c r="D861" s="146"/>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row>
    <row r="862" spans="1:26" ht="15.75" customHeight="1">
      <c r="A862" s="146"/>
      <c r="B862" s="146"/>
      <c r="C862" s="146"/>
      <c r="D862" s="146"/>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row>
    <row r="863" spans="1:26" ht="15.75" customHeight="1">
      <c r="A863" s="146"/>
      <c r="B863" s="146"/>
      <c r="C863" s="146"/>
      <c r="D863" s="146"/>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row>
    <row r="864" spans="1:26" ht="15.75" customHeight="1">
      <c r="A864" s="146"/>
      <c r="B864" s="146"/>
      <c r="C864" s="146"/>
      <c r="D864" s="146"/>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row>
    <row r="865" spans="1:26" ht="15.75" customHeight="1">
      <c r="A865" s="146"/>
      <c r="B865" s="146"/>
      <c r="C865" s="146"/>
      <c r="D865" s="146"/>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row>
    <row r="866" spans="1:26" ht="15.75" customHeight="1">
      <c r="A866" s="146"/>
      <c r="B866" s="146"/>
      <c r="C866" s="146"/>
      <c r="D866" s="146"/>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row>
    <row r="867" spans="1:26" ht="15.75" customHeight="1">
      <c r="A867" s="146"/>
      <c r="B867" s="146"/>
      <c r="C867" s="146"/>
      <c r="D867" s="146"/>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row>
    <row r="868" spans="1:26" ht="15.75" customHeight="1">
      <c r="A868" s="146"/>
      <c r="B868" s="146"/>
      <c r="C868" s="146"/>
      <c r="D868" s="146"/>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row>
    <row r="869" spans="1:26" ht="15.75" customHeight="1">
      <c r="A869" s="146"/>
      <c r="B869" s="146"/>
      <c r="C869" s="146"/>
      <c r="D869" s="146"/>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row>
    <row r="870" spans="1:26" ht="15.75" customHeight="1">
      <c r="A870" s="146"/>
      <c r="B870" s="146"/>
      <c r="C870" s="146"/>
      <c r="D870" s="146"/>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row>
    <row r="871" spans="1:26" ht="15.75" customHeight="1">
      <c r="A871" s="146"/>
      <c r="B871" s="146"/>
      <c r="C871" s="146"/>
      <c r="D871" s="146"/>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row>
    <row r="872" spans="1:26" ht="15.75" customHeight="1">
      <c r="A872" s="146"/>
      <c r="B872" s="146"/>
      <c r="C872" s="146"/>
      <c r="D872" s="146"/>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row>
    <row r="873" spans="1:26" ht="15.75" customHeight="1">
      <c r="A873" s="146"/>
      <c r="B873" s="146"/>
      <c r="C873" s="146"/>
      <c r="D873" s="146"/>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row>
    <row r="874" spans="1:26" ht="15.75" customHeight="1">
      <c r="A874" s="146"/>
      <c r="B874" s="146"/>
      <c r="C874" s="146"/>
      <c r="D874" s="146"/>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row>
    <row r="875" spans="1:26" ht="15.75" customHeight="1">
      <c r="A875" s="146"/>
      <c r="B875" s="146"/>
      <c r="C875" s="146"/>
      <c r="D875" s="146"/>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row>
    <row r="876" spans="1:26" ht="15.75" customHeight="1">
      <c r="A876" s="146"/>
      <c r="B876" s="146"/>
      <c r="C876" s="146"/>
      <c r="D876" s="146"/>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row>
    <row r="877" spans="1:26" ht="15.75" customHeight="1">
      <c r="A877" s="146"/>
      <c r="B877" s="146"/>
      <c r="C877" s="146"/>
      <c r="D877" s="146"/>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row>
    <row r="878" spans="1:26" ht="15.75" customHeight="1">
      <c r="A878" s="146"/>
      <c r="B878" s="146"/>
      <c r="C878" s="146"/>
      <c r="D878" s="146"/>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row>
    <row r="879" spans="1:26" ht="15.75" customHeight="1">
      <c r="A879" s="146"/>
      <c r="B879" s="146"/>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row>
    <row r="880" spans="1:26" ht="15.75" customHeight="1">
      <c r="A880" s="146"/>
      <c r="B880" s="146"/>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row>
    <row r="881" spans="1:26" ht="15.75" customHeight="1">
      <c r="A881" s="146"/>
      <c r="B881" s="146"/>
      <c r="C881" s="146"/>
      <c r="D881" s="146"/>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row>
    <row r="882" spans="1:26" ht="15.75" customHeight="1">
      <c r="A882" s="146"/>
      <c r="B882" s="146"/>
      <c r="C882" s="146"/>
      <c r="D882" s="146"/>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row>
    <row r="883" spans="1:26" ht="15.75" customHeight="1">
      <c r="A883" s="146"/>
      <c r="B883" s="146"/>
      <c r="C883" s="146"/>
      <c r="D883" s="146"/>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row>
    <row r="884" spans="1:26" ht="15.75" customHeight="1">
      <c r="A884" s="146"/>
      <c r="B884" s="146"/>
      <c r="C884" s="146"/>
      <c r="D884" s="146"/>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row>
    <row r="885" spans="1:26" ht="15.75" customHeight="1">
      <c r="A885" s="146"/>
      <c r="B885" s="146"/>
      <c r="C885" s="146"/>
      <c r="D885" s="146"/>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row>
    <row r="886" spans="1:26" ht="15.75" customHeight="1">
      <c r="A886" s="146"/>
      <c r="B886" s="146"/>
      <c r="C886" s="146"/>
      <c r="D886" s="146"/>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row>
    <row r="887" spans="1:26" ht="15.75" customHeight="1">
      <c r="A887" s="146"/>
      <c r="B887" s="146"/>
      <c r="C887" s="146"/>
      <c r="D887" s="146"/>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row>
    <row r="888" spans="1:26" ht="15.75" customHeight="1">
      <c r="A888" s="146"/>
      <c r="B888" s="146"/>
      <c r="C888" s="146"/>
      <c r="D888" s="146"/>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row>
    <row r="889" spans="1:26" ht="15.75" customHeight="1">
      <c r="A889" s="146"/>
      <c r="B889" s="146"/>
      <c r="C889" s="146"/>
      <c r="D889" s="146"/>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row>
    <row r="890" spans="1:26" ht="15.75" customHeight="1">
      <c r="A890" s="146"/>
      <c r="B890" s="146"/>
      <c r="C890" s="146"/>
      <c r="D890" s="146"/>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row>
    <row r="891" spans="1:26" ht="15.75" customHeight="1">
      <c r="A891" s="146"/>
      <c r="B891" s="146"/>
      <c r="C891" s="146"/>
      <c r="D891" s="146"/>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row>
    <row r="892" spans="1:26" ht="15.75" customHeight="1">
      <c r="A892" s="146"/>
      <c r="B892" s="146"/>
      <c r="C892" s="146"/>
      <c r="D892" s="146"/>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row>
    <row r="893" spans="1:26" ht="15.75" customHeight="1">
      <c r="A893" s="146"/>
      <c r="B893" s="146"/>
      <c r="C893" s="146"/>
      <c r="D893" s="146"/>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row>
    <row r="894" spans="1:26" ht="15.75" customHeight="1">
      <c r="A894" s="146"/>
      <c r="B894" s="146"/>
      <c r="C894" s="146"/>
      <c r="D894" s="146"/>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row>
    <row r="895" spans="1:26" ht="15.75" customHeight="1">
      <c r="A895" s="146"/>
      <c r="B895" s="146"/>
      <c r="C895" s="146"/>
      <c r="D895" s="146"/>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row>
    <row r="896" spans="1:26" ht="15.75" customHeight="1">
      <c r="A896" s="146"/>
      <c r="B896" s="146"/>
      <c r="C896" s="146"/>
      <c r="D896" s="146"/>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row>
    <row r="897" spans="1:26" ht="15.75" customHeight="1">
      <c r="A897" s="146"/>
      <c r="B897" s="146"/>
      <c r="C897" s="146"/>
      <c r="D897" s="146"/>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row>
    <row r="898" spans="1:26" ht="15.75" customHeight="1">
      <c r="A898" s="146"/>
      <c r="B898" s="146"/>
      <c r="C898" s="146"/>
      <c r="D898" s="146"/>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row>
    <row r="899" spans="1:26" ht="15.75" customHeight="1">
      <c r="A899" s="146"/>
      <c r="B899" s="146"/>
      <c r="C899" s="146"/>
      <c r="D899" s="146"/>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row>
    <row r="900" spans="1:26" ht="15.75" customHeight="1">
      <c r="A900" s="146"/>
      <c r="B900" s="146"/>
      <c r="C900" s="146"/>
      <c r="D900" s="146"/>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row>
    <row r="901" spans="1:26" ht="15.75" customHeight="1">
      <c r="A901" s="146"/>
      <c r="B901" s="146"/>
      <c r="C901" s="146"/>
      <c r="D901" s="146"/>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row>
    <row r="902" spans="1:26" ht="15.75" customHeight="1">
      <c r="A902" s="146"/>
      <c r="B902" s="146"/>
      <c r="C902" s="146"/>
      <c r="D902" s="146"/>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row>
    <row r="903" spans="1:26" ht="15.75" customHeight="1">
      <c r="A903" s="146"/>
      <c r="B903" s="146"/>
      <c r="C903" s="146"/>
      <c r="D903" s="146"/>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row>
    <row r="904" spans="1:26" ht="15.75" customHeight="1">
      <c r="A904" s="146"/>
      <c r="B904" s="146"/>
      <c r="C904" s="146"/>
      <c r="D904" s="146"/>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row>
    <row r="905" spans="1:26" ht="15.75" customHeight="1">
      <c r="A905" s="146"/>
      <c r="B905" s="146"/>
      <c r="C905" s="146"/>
      <c r="D905" s="146"/>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row>
    <row r="906" spans="1:26" ht="15.75" customHeight="1">
      <c r="A906" s="146"/>
      <c r="B906" s="146"/>
      <c r="C906" s="146"/>
      <c r="D906" s="146"/>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row>
    <row r="907" spans="1:26" ht="15.75" customHeight="1">
      <c r="A907" s="146"/>
      <c r="B907" s="146"/>
      <c r="C907" s="146"/>
      <c r="D907" s="146"/>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row>
    <row r="908" spans="1:26" ht="15.75" customHeight="1">
      <c r="A908" s="146"/>
      <c r="B908" s="146"/>
      <c r="C908" s="146"/>
      <c r="D908" s="146"/>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row>
    <row r="909" spans="1:26" ht="15.75" customHeight="1">
      <c r="A909" s="146"/>
      <c r="B909" s="146"/>
      <c r="C909" s="146"/>
      <c r="D909" s="146"/>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row>
    <row r="910" spans="1:26" ht="15.75" customHeight="1">
      <c r="A910" s="146"/>
      <c r="B910" s="146"/>
      <c r="C910" s="146"/>
      <c r="D910" s="146"/>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row>
    <row r="911" spans="1:26" ht="15.75" customHeight="1">
      <c r="A911" s="146"/>
      <c r="B911" s="146"/>
      <c r="C911" s="146"/>
      <c r="D911" s="146"/>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row>
    <row r="912" spans="1:26" ht="15.75" customHeight="1">
      <c r="A912" s="146"/>
      <c r="B912" s="146"/>
      <c r="C912" s="146"/>
      <c r="D912" s="146"/>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row>
    <row r="913" spans="1:26" ht="15.75" customHeight="1">
      <c r="A913" s="146"/>
      <c r="B913" s="146"/>
      <c r="C913" s="146"/>
      <c r="D913" s="146"/>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row>
    <row r="914" spans="1:26" ht="15.75" customHeight="1">
      <c r="A914" s="146"/>
      <c r="B914" s="146"/>
      <c r="C914" s="146"/>
      <c r="D914" s="146"/>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row>
    <row r="915" spans="1:26" ht="15.75" customHeight="1">
      <c r="A915" s="146"/>
      <c r="B915" s="146"/>
      <c r="C915" s="146"/>
      <c r="D915" s="146"/>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row>
    <row r="916" spans="1:26" ht="15.75" customHeight="1">
      <c r="A916" s="146"/>
      <c r="B916" s="146"/>
      <c r="C916" s="146"/>
      <c r="D916" s="146"/>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row>
    <row r="917" spans="1:26" ht="15.75" customHeight="1">
      <c r="A917" s="146"/>
      <c r="B917" s="146"/>
      <c r="C917" s="146"/>
      <c r="D917" s="146"/>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row>
    <row r="918" spans="1:26" ht="15.75" customHeight="1">
      <c r="A918" s="146"/>
      <c r="B918" s="146"/>
      <c r="C918" s="146"/>
      <c r="D918" s="146"/>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row>
    <row r="919" spans="1:26" ht="15.75" customHeight="1">
      <c r="A919" s="146"/>
      <c r="B919" s="146"/>
      <c r="C919" s="146"/>
      <c r="D919" s="146"/>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row>
    <row r="920" spans="1:26" ht="15.75" customHeight="1">
      <c r="A920" s="146"/>
      <c r="B920" s="146"/>
      <c r="C920" s="146"/>
      <c r="D920" s="146"/>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row>
    <row r="921" spans="1:26" ht="15.75" customHeight="1">
      <c r="A921" s="146"/>
      <c r="B921" s="146"/>
      <c r="C921" s="146"/>
      <c r="D921" s="146"/>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row>
    <row r="922" spans="1:26" ht="15.75" customHeight="1">
      <c r="A922" s="146"/>
      <c r="B922" s="146"/>
      <c r="C922" s="146"/>
      <c r="D922" s="146"/>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row>
    <row r="923" spans="1:26" ht="15.75" customHeight="1">
      <c r="A923" s="146"/>
      <c r="B923" s="146"/>
      <c r="C923" s="146"/>
      <c r="D923" s="146"/>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row>
    <row r="924" spans="1:26" ht="15.75" customHeight="1">
      <c r="A924" s="146"/>
      <c r="B924" s="146"/>
      <c r="C924" s="146"/>
      <c r="D924" s="146"/>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row>
    <row r="925" spans="1:26" ht="15.75" customHeight="1">
      <c r="A925" s="146"/>
      <c r="B925" s="146"/>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row>
    <row r="926" spans="1:26" ht="15.75" customHeight="1">
      <c r="A926" s="146"/>
      <c r="B926" s="146"/>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row>
    <row r="927" spans="1:26" ht="15.75" customHeight="1">
      <c r="A927" s="146"/>
      <c r="B927" s="146"/>
      <c r="C927" s="146"/>
      <c r="D927" s="146"/>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row>
    <row r="928" spans="1:26" ht="15.75" customHeight="1">
      <c r="A928" s="146"/>
      <c r="B928" s="146"/>
      <c r="C928" s="146"/>
      <c r="D928" s="146"/>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row>
    <row r="929" spans="1:26" ht="15.75" customHeight="1">
      <c r="A929" s="146"/>
      <c r="B929" s="146"/>
      <c r="C929" s="146"/>
      <c r="D929" s="146"/>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row>
    <row r="930" spans="1:26" ht="15.75" customHeight="1">
      <c r="A930" s="146"/>
      <c r="B930" s="146"/>
      <c r="C930" s="146"/>
      <c r="D930" s="146"/>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row>
    <row r="931" spans="1:26" ht="15.75" customHeight="1">
      <c r="A931" s="146"/>
      <c r="B931" s="146"/>
      <c r="C931" s="146"/>
      <c r="D931" s="146"/>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row>
    <row r="932" spans="1:26" ht="15.75" customHeight="1">
      <c r="A932" s="146"/>
      <c r="B932" s="146"/>
      <c r="C932" s="146"/>
      <c r="D932" s="146"/>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row>
    <row r="933" spans="1:26" ht="15.75" customHeight="1">
      <c r="A933" s="146"/>
      <c r="B933" s="146"/>
      <c r="C933" s="146"/>
      <c r="D933" s="146"/>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row>
    <row r="934" spans="1:26" ht="15.75" customHeight="1">
      <c r="A934" s="146"/>
      <c r="B934" s="146"/>
      <c r="C934" s="146"/>
      <c r="D934" s="146"/>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row>
    <row r="935" spans="1:26" ht="15.75" customHeight="1">
      <c r="A935" s="146"/>
      <c r="B935" s="146"/>
      <c r="C935" s="146"/>
      <c r="D935" s="146"/>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row>
    <row r="936" spans="1:26" ht="15.75" customHeight="1">
      <c r="A936" s="146"/>
      <c r="B936" s="146"/>
      <c r="C936" s="146"/>
      <c r="D936" s="146"/>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row>
    <row r="937" spans="1:26" ht="15.75" customHeight="1">
      <c r="A937" s="146"/>
      <c r="B937" s="146"/>
      <c r="C937" s="146"/>
      <c r="D937" s="146"/>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row>
    <row r="938" spans="1:26" ht="15.75" customHeight="1">
      <c r="A938" s="146"/>
      <c r="B938" s="146"/>
      <c r="C938" s="146"/>
      <c r="D938" s="146"/>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row>
    <row r="939" spans="1:26" ht="15.75" customHeight="1">
      <c r="A939" s="146"/>
      <c r="B939" s="146"/>
      <c r="C939" s="146"/>
      <c r="D939" s="146"/>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row>
    <row r="940" spans="1:26" ht="15.75" customHeight="1">
      <c r="A940" s="146"/>
      <c r="B940" s="146"/>
      <c r="C940" s="146"/>
      <c r="D940" s="146"/>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row>
    <row r="941" spans="1:26" ht="15.75" customHeight="1">
      <c r="A941" s="146"/>
      <c r="B941" s="146"/>
      <c r="C941" s="146"/>
      <c r="D941" s="146"/>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row>
    <row r="942" spans="1:26" ht="15.75" customHeight="1">
      <c r="A942" s="146"/>
      <c r="B942" s="146"/>
      <c r="C942" s="146"/>
      <c r="D942" s="146"/>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row>
    <row r="943" spans="1:26" ht="15.75" customHeight="1">
      <c r="A943" s="146"/>
      <c r="B943" s="146"/>
      <c r="C943" s="146"/>
      <c r="D943" s="146"/>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row>
    <row r="944" spans="1:26" ht="15.75" customHeight="1">
      <c r="A944" s="146"/>
      <c r="B944" s="146"/>
      <c r="C944" s="146"/>
      <c r="D944" s="146"/>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row>
    <row r="945" spans="1:26" ht="15.75" customHeight="1">
      <c r="A945" s="146"/>
      <c r="B945" s="146"/>
      <c r="C945" s="146"/>
      <c r="D945" s="146"/>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row>
    <row r="946" spans="1:26" ht="15.75" customHeight="1">
      <c r="A946" s="146"/>
      <c r="B946" s="146"/>
      <c r="C946" s="146"/>
      <c r="D946" s="146"/>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row>
    <row r="947" spans="1:26" ht="15.75" customHeight="1">
      <c r="A947" s="146"/>
      <c r="B947" s="146"/>
      <c r="C947" s="146"/>
      <c r="D947" s="146"/>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row>
    <row r="948" spans="1:26" ht="15.75" customHeight="1">
      <c r="A948" s="146"/>
      <c r="B948" s="146"/>
      <c r="C948" s="146"/>
      <c r="D948" s="146"/>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row>
    <row r="949" spans="1:26" ht="15.75" customHeight="1">
      <c r="A949" s="146"/>
      <c r="B949" s="146"/>
      <c r="C949" s="146"/>
      <c r="D949" s="146"/>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row>
    <row r="950" spans="1:26" ht="15.75" customHeight="1">
      <c r="A950" s="146"/>
      <c r="B950" s="146"/>
      <c r="C950" s="146"/>
      <c r="D950" s="146"/>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row>
    <row r="951" spans="1:26" ht="15.75" customHeight="1">
      <c r="A951" s="146"/>
      <c r="B951" s="146"/>
      <c r="C951" s="146"/>
      <c r="D951" s="146"/>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row>
    <row r="952" spans="1:26" ht="15.75" customHeight="1">
      <c r="A952" s="146"/>
      <c r="B952" s="146"/>
      <c r="C952" s="146"/>
      <c r="D952" s="146"/>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row>
    <row r="953" spans="1:26" ht="15.75" customHeight="1">
      <c r="A953" s="146"/>
      <c r="B953" s="146"/>
      <c r="C953" s="146"/>
      <c r="D953" s="146"/>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row>
    <row r="954" spans="1:26" ht="15.75" customHeight="1">
      <c r="A954" s="146"/>
      <c r="B954" s="146"/>
      <c r="C954" s="146"/>
      <c r="D954" s="146"/>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row>
    <row r="955" spans="1:26" ht="15.75" customHeight="1">
      <c r="A955" s="146"/>
      <c r="B955" s="146"/>
      <c r="C955" s="146"/>
      <c r="D955" s="146"/>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row>
    <row r="956" spans="1:26" ht="15.75" customHeight="1">
      <c r="A956" s="146"/>
      <c r="B956" s="146"/>
      <c r="C956" s="146"/>
      <c r="D956" s="146"/>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row>
    <row r="957" spans="1:26" ht="15.75" customHeight="1">
      <c r="A957" s="146"/>
      <c r="B957" s="146"/>
      <c r="C957" s="146"/>
      <c r="D957" s="146"/>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row>
    <row r="958" spans="1:26" ht="15.75" customHeight="1">
      <c r="A958" s="146"/>
      <c r="B958" s="146"/>
      <c r="C958" s="146"/>
      <c r="D958" s="146"/>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row>
    <row r="959" spans="1:26" ht="15.75" customHeight="1">
      <c r="A959" s="146"/>
      <c r="B959" s="146"/>
      <c r="C959" s="146"/>
      <c r="D959" s="146"/>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row>
    <row r="960" spans="1:26" ht="15.75" customHeight="1">
      <c r="A960" s="146"/>
      <c r="B960" s="146"/>
      <c r="C960" s="146"/>
      <c r="D960" s="146"/>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row>
    <row r="961" spans="1:26" ht="15.75" customHeight="1">
      <c r="A961" s="146"/>
      <c r="B961" s="146"/>
      <c r="C961" s="146"/>
      <c r="D961" s="146"/>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row>
    <row r="962" spans="1:26" ht="15.75" customHeight="1">
      <c r="A962" s="146"/>
      <c r="B962" s="146"/>
      <c r="C962" s="146"/>
      <c r="D962" s="146"/>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row>
    <row r="963" spans="1:26" ht="15.75" customHeight="1">
      <c r="A963" s="146"/>
      <c r="B963" s="146"/>
      <c r="C963" s="146"/>
      <c r="D963" s="146"/>
      <c r="E963" s="146"/>
      <c r="F963" s="146"/>
      <c r="G963" s="146"/>
      <c r="H963" s="146"/>
      <c r="I963" s="146"/>
      <c r="J963" s="146"/>
      <c r="K963" s="146"/>
      <c r="L963" s="146"/>
      <c r="M963" s="146"/>
      <c r="N963" s="146"/>
      <c r="O963" s="146"/>
      <c r="P963" s="146"/>
      <c r="Q963" s="146"/>
      <c r="R963" s="146"/>
      <c r="S963" s="146"/>
      <c r="T963" s="146"/>
      <c r="U963" s="146"/>
      <c r="V963" s="146"/>
      <c r="W963" s="146"/>
      <c r="X963" s="146"/>
      <c r="Y963" s="146"/>
      <c r="Z963" s="146"/>
    </row>
    <row r="964" spans="1:26" ht="15.75" customHeight="1">
      <c r="A964" s="146"/>
      <c r="B964" s="146"/>
      <c r="C964" s="146"/>
      <c r="D964" s="146"/>
      <c r="E964" s="146"/>
      <c r="F964" s="146"/>
      <c r="G964" s="146"/>
      <c r="H964" s="146"/>
      <c r="I964" s="146"/>
      <c r="J964" s="146"/>
      <c r="K964" s="146"/>
      <c r="L964" s="146"/>
      <c r="M964" s="146"/>
      <c r="N964" s="146"/>
      <c r="O964" s="146"/>
      <c r="P964" s="146"/>
      <c r="Q964" s="146"/>
      <c r="R964" s="146"/>
      <c r="S964" s="146"/>
      <c r="T964" s="146"/>
      <c r="U964" s="146"/>
      <c r="V964" s="146"/>
      <c r="W964" s="146"/>
      <c r="X964" s="146"/>
      <c r="Y964" s="146"/>
      <c r="Z964" s="146"/>
    </row>
    <row r="965" spans="1:26" ht="15.75" customHeight="1">
      <c r="A965" s="146"/>
      <c r="B965" s="146"/>
      <c r="C965" s="146"/>
      <c r="D965" s="146"/>
      <c r="E965" s="146"/>
      <c r="F965" s="146"/>
      <c r="G965" s="146"/>
      <c r="H965" s="146"/>
      <c r="I965" s="146"/>
      <c r="J965" s="146"/>
      <c r="K965" s="146"/>
      <c r="L965" s="146"/>
      <c r="M965" s="146"/>
      <c r="N965" s="146"/>
      <c r="O965" s="146"/>
      <c r="P965" s="146"/>
      <c r="Q965" s="146"/>
      <c r="R965" s="146"/>
      <c r="S965" s="146"/>
      <c r="T965" s="146"/>
      <c r="U965" s="146"/>
      <c r="V965" s="146"/>
      <c r="W965" s="146"/>
      <c r="X965" s="146"/>
      <c r="Y965" s="146"/>
      <c r="Z965" s="146"/>
    </row>
    <row r="966" spans="1:26" ht="15.75" customHeight="1">
      <c r="A966" s="146"/>
      <c r="B966" s="146"/>
      <c r="C966" s="146"/>
      <c r="D966" s="146"/>
      <c r="E966" s="146"/>
      <c r="F966" s="146"/>
      <c r="G966" s="146"/>
      <c r="H966" s="146"/>
      <c r="I966" s="146"/>
      <c r="J966" s="146"/>
      <c r="K966" s="146"/>
      <c r="L966" s="146"/>
      <c r="M966" s="146"/>
      <c r="N966" s="146"/>
      <c r="O966" s="146"/>
      <c r="P966" s="146"/>
      <c r="Q966" s="146"/>
      <c r="R966" s="146"/>
      <c r="S966" s="146"/>
      <c r="T966" s="146"/>
      <c r="U966" s="146"/>
      <c r="V966" s="146"/>
      <c r="W966" s="146"/>
      <c r="X966" s="146"/>
      <c r="Y966" s="146"/>
      <c r="Z966" s="146"/>
    </row>
    <row r="967" spans="1:26" ht="15.75" customHeight="1">
      <c r="A967" s="146"/>
      <c r="B967" s="146"/>
      <c r="C967" s="146"/>
      <c r="D967" s="146"/>
      <c r="E967" s="146"/>
      <c r="F967" s="146"/>
      <c r="G967" s="146"/>
      <c r="H967" s="146"/>
      <c r="I967" s="146"/>
      <c r="J967" s="146"/>
      <c r="K967" s="146"/>
      <c r="L967" s="146"/>
      <c r="M967" s="146"/>
      <c r="N967" s="146"/>
      <c r="O967" s="146"/>
      <c r="P967" s="146"/>
      <c r="Q967" s="146"/>
      <c r="R967" s="146"/>
      <c r="S967" s="146"/>
      <c r="T967" s="146"/>
      <c r="U967" s="146"/>
      <c r="V967" s="146"/>
      <c r="W967" s="146"/>
      <c r="X967" s="146"/>
      <c r="Y967" s="146"/>
      <c r="Z967" s="146"/>
    </row>
    <row r="968" spans="1:26" ht="15.75" customHeight="1">
      <c r="A968" s="146"/>
      <c r="B968" s="146"/>
      <c r="C968" s="146"/>
      <c r="D968" s="146"/>
      <c r="E968" s="146"/>
      <c r="F968" s="146"/>
      <c r="G968" s="146"/>
      <c r="H968" s="146"/>
      <c r="I968" s="146"/>
      <c r="J968" s="146"/>
      <c r="K968" s="146"/>
      <c r="L968" s="146"/>
      <c r="M968" s="146"/>
      <c r="N968" s="146"/>
      <c r="O968" s="146"/>
      <c r="P968" s="146"/>
      <c r="Q968" s="146"/>
      <c r="R968" s="146"/>
      <c r="S968" s="146"/>
      <c r="T968" s="146"/>
      <c r="U968" s="146"/>
      <c r="V968" s="146"/>
      <c r="W968" s="146"/>
      <c r="X968" s="146"/>
      <c r="Y968" s="146"/>
      <c r="Z968" s="146"/>
    </row>
    <row r="969" spans="1:26" ht="15.75" customHeight="1">
      <c r="A969" s="146"/>
      <c r="B969" s="146"/>
      <c r="C969" s="146"/>
      <c r="D969" s="146"/>
      <c r="E969" s="146"/>
      <c r="F969" s="146"/>
      <c r="G969" s="146"/>
      <c r="H969" s="146"/>
      <c r="I969" s="146"/>
      <c r="J969" s="146"/>
      <c r="K969" s="146"/>
      <c r="L969" s="146"/>
      <c r="M969" s="146"/>
      <c r="N969" s="146"/>
      <c r="O969" s="146"/>
      <c r="P969" s="146"/>
      <c r="Q969" s="146"/>
      <c r="R969" s="146"/>
      <c r="S969" s="146"/>
      <c r="T969" s="146"/>
      <c r="U969" s="146"/>
      <c r="V969" s="146"/>
      <c r="W969" s="146"/>
      <c r="X969" s="146"/>
      <c r="Y969" s="146"/>
      <c r="Z969" s="146"/>
    </row>
    <row r="970" spans="1:26" ht="15.75" customHeight="1">
      <c r="A970" s="146"/>
      <c r="B970" s="146"/>
      <c r="C970" s="146"/>
      <c r="D970" s="146"/>
      <c r="E970" s="146"/>
      <c r="F970" s="146"/>
      <c r="G970" s="146"/>
      <c r="H970" s="146"/>
      <c r="I970" s="146"/>
      <c r="J970" s="146"/>
      <c r="K970" s="146"/>
      <c r="L970" s="146"/>
      <c r="M970" s="146"/>
      <c r="N970" s="146"/>
      <c r="O970" s="146"/>
      <c r="P970" s="146"/>
      <c r="Q970" s="146"/>
      <c r="R970" s="146"/>
      <c r="S970" s="146"/>
      <c r="T970" s="146"/>
      <c r="U970" s="146"/>
      <c r="V970" s="146"/>
      <c r="W970" s="146"/>
      <c r="X970" s="146"/>
      <c r="Y970" s="146"/>
      <c r="Z970" s="146"/>
    </row>
    <row r="971" spans="1:26" ht="15.75" customHeight="1">
      <c r="A971" s="146"/>
      <c r="B971" s="146"/>
      <c r="C971" s="146"/>
      <c r="D971" s="146"/>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row>
    <row r="972" spans="1:26" ht="15.75" customHeight="1">
      <c r="A972" s="146"/>
      <c r="B972" s="146"/>
      <c r="C972" s="146"/>
      <c r="D972" s="146"/>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row>
    <row r="973" spans="1:26" ht="15.75" customHeight="1">
      <c r="A973" s="146"/>
      <c r="B973" s="146"/>
      <c r="C973" s="146"/>
      <c r="D973" s="146"/>
      <c r="E973" s="146"/>
      <c r="F973" s="146"/>
      <c r="G973" s="146"/>
      <c r="H973" s="146"/>
      <c r="I973" s="146"/>
      <c r="J973" s="146"/>
      <c r="K973" s="146"/>
      <c r="L973" s="146"/>
      <c r="M973" s="146"/>
      <c r="N973" s="146"/>
      <c r="O973" s="146"/>
      <c r="P973" s="146"/>
      <c r="Q973" s="146"/>
      <c r="R973" s="146"/>
      <c r="S973" s="146"/>
      <c r="T973" s="146"/>
      <c r="U973" s="146"/>
      <c r="V973" s="146"/>
      <c r="W973" s="146"/>
      <c r="X973" s="146"/>
      <c r="Y973" s="146"/>
      <c r="Z973" s="146"/>
    </row>
    <row r="974" spans="1:26" ht="15.75" customHeight="1">
      <c r="A974" s="146"/>
      <c r="B974" s="146"/>
      <c r="C974" s="146"/>
      <c r="D974" s="146"/>
      <c r="E974" s="146"/>
      <c r="F974" s="146"/>
      <c r="G974" s="146"/>
      <c r="H974" s="146"/>
      <c r="I974" s="146"/>
      <c r="J974" s="146"/>
      <c r="K974" s="146"/>
      <c r="L974" s="146"/>
      <c r="M974" s="146"/>
      <c r="N974" s="146"/>
      <c r="O974" s="146"/>
      <c r="P974" s="146"/>
      <c r="Q974" s="146"/>
      <c r="R974" s="146"/>
      <c r="S974" s="146"/>
      <c r="T974" s="146"/>
      <c r="U974" s="146"/>
      <c r="V974" s="146"/>
      <c r="W974" s="146"/>
      <c r="X974" s="146"/>
      <c r="Y974" s="146"/>
      <c r="Z974" s="146"/>
    </row>
    <row r="975" spans="1:26" ht="15.75" customHeight="1">
      <c r="A975" s="146"/>
      <c r="B975" s="146"/>
      <c r="C975" s="146"/>
      <c r="D975" s="146"/>
      <c r="E975" s="146"/>
      <c r="F975" s="146"/>
      <c r="G975" s="146"/>
      <c r="H975" s="146"/>
      <c r="I975" s="146"/>
      <c r="J975" s="146"/>
      <c r="K975" s="146"/>
      <c r="L975" s="146"/>
      <c r="M975" s="146"/>
      <c r="N975" s="146"/>
      <c r="O975" s="146"/>
      <c r="P975" s="146"/>
      <c r="Q975" s="146"/>
      <c r="R975" s="146"/>
      <c r="S975" s="146"/>
      <c r="T975" s="146"/>
      <c r="U975" s="146"/>
      <c r="V975" s="146"/>
      <c r="W975" s="146"/>
      <c r="X975" s="146"/>
      <c r="Y975" s="146"/>
      <c r="Z975" s="146"/>
    </row>
    <row r="976" spans="1:26" ht="15.75" customHeight="1">
      <c r="A976" s="146"/>
      <c r="B976" s="146"/>
      <c r="C976" s="146"/>
      <c r="D976" s="146"/>
      <c r="E976" s="146"/>
      <c r="F976" s="146"/>
      <c r="G976" s="146"/>
      <c r="H976" s="146"/>
      <c r="I976" s="146"/>
      <c r="J976" s="146"/>
      <c r="K976" s="146"/>
      <c r="L976" s="146"/>
      <c r="M976" s="146"/>
      <c r="N976" s="146"/>
      <c r="O976" s="146"/>
      <c r="P976" s="146"/>
      <c r="Q976" s="146"/>
      <c r="R976" s="146"/>
      <c r="S976" s="146"/>
      <c r="T976" s="146"/>
      <c r="U976" s="146"/>
      <c r="V976" s="146"/>
      <c r="W976" s="146"/>
      <c r="X976" s="146"/>
      <c r="Y976" s="146"/>
      <c r="Z976" s="146"/>
    </row>
    <row r="977" spans="1:26" ht="15.75" customHeight="1">
      <c r="A977" s="146"/>
      <c r="B977" s="146"/>
      <c r="C977" s="146"/>
      <c r="D977" s="146"/>
      <c r="E977" s="146"/>
      <c r="F977" s="146"/>
      <c r="G977" s="146"/>
      <c r="H977" s="146"/>
      <c r="I977" s="146"/>
      <c r="J977" s="146"/>
      <c r="K977" s="146"/>
      <c r="L977" s="146"/>
      <c r="M977" s="146"/>
      <c r="N977" s="146"/>
      <c r="O977" s="146"/>
      <c r="P977" s="146"/>
      <c r="Q977" s="146"/>
      <c r="R977" s="146"/>
      <c r="S977" s="146"/>
      <c r="T977" s="146"/>
      <c r="U977" s="146"/>
      <c r="V977" s="146"/>
      <c r="W977" s="146"/>
      <c r="X977" s="146"/>
      <c r="Y977" s="146"/>
      <c r="Z977" s="146"/>
    </row>
    <row r="978" spans="1:26" ht="15.75" customHeight="1">
      <c r="A978" s="146"/>
      <c r="B978" s="146"/>
      <c r="C978" s="146"/>
      <c r="D978" s="146"/>
      <c r="E978" s="146"/>
      <c r="F978" s="146"/>
      <c r="G978" s="146"/>
      <c r="H978" s="146"/>
      <c r="I978" s="146"/>
      <c r="J978" s="146"/>
      <c r="K978" s="146"/>
      <c r="L978" s="146"/>
      <c r="M978" s="146"/>
      <c r="N978" s="146"/>
      <c r="O978" s="146"/>
      <c r="P978" s="146"/>
      <c r="Q978" s="146"/>
      <c r="R978" s="146"/>
      <c r="S978" s="146"/>
      <c r="T978" s="146"/>
      <c r="U978" s="146"/>
      <c r="V978" s="146"/>
      <c r="W978" s="146"/>
      <c r="X978" s="146"/>
      <c r="Y978" s="146"/>
      <c r="Z978" s="146"/>
    </row>
    <row r="979" spans="1:26" ht="15.75" customHeight="1">
      <c r="A979" s="146"/>
      <c r="B979" s="146"/>
      <c r="C979" s="146"/>
      <c r="D979" s="146"/>
      <c r="E979" s="146"/>
      <c r="F979" s="146"/>
      <c r="G979" s="146"/>
      <c r="H979" s="146"/>
      <c r="I979" s="146"/>
      <c r="J979" s="146"/>
      <c r="K979" s="146"/>
      <c r="L979" s="146"/>
      <c r="M979" s="146"/>
      <c r="N979" s="146"/>
      <c r="O979" s="146"/>
      <c r="P979" s="146"/>
      <c r="Q979" s="146"/>
      <c r="R979" s="146"/>
      <c r="S979" s="146"/>
      <c r="T979" s="146"/>
      <c r="U979" s="146"/>
      <c r="V979" s="146"/>
      <c r="W979" s="146"/>
      <c r="X979" s="146"/>
      <c r="Y979" s="146"/>
      <c r="Z979" s="146"/>
    </row>
    <row r="980" spans="1:26" ht="15.75" customHeight="1">
      <c r="A980" s="146"/>
      <c r="B980" s="146"/>
      <c r="C980" s="146"/>
      <c r="D980" s="146"/>
      <c r="E980" s="146"/>
      <c r="F980" s="146"/>
      <c r="G980" s="146"/>
      <c r="H980" s="146"/>
      <c r="I980" s="146"/>
      <c r="J980" s="146"/>
      <c r="K980" s="146"/>
      <c r="L980" s="146"/>
      <c r="M980" s="146"/>
      <c r="N980" s="146"/>
      <c r="O980" s="146"/>
      <c r="P980" s="146"/>
      <c r="Q980" s="146"/>
      <c r="R980" s="146"/>
      <c r="S980" s="146"/>
      <c r="T980" s="146"/>
      <c r="U980" s="146"/>
      <c r="V980" s="146"/>
      <c r="W980" s="146"/>
      <c r="X980" s="146"/>
      <c r="Y980" s="146"/>
      <c r="Z980" s="146"/>
    </row>
    <row r="981" spans="1:26" ht="15.75" customHeight="1">
      <c r="A981" s="146"/>
      <c r="B981" s="146"/>
      <c r="C981" s="146"/>
      <c r="D981" s="146"/>
      <c r="E981" s="146"/>
      <c r="F981" s="146"/>
      <c r="G981" s="146"/>
      <c r="H981" s="146"/>
      <c r="I981" s="146"/>
      <c r="J981" s="146"/>
      <c r="K981" s="146"/>
      <c r="L981" s="146"/>
      <c r="M981" s="146"/>
      <c r="N981" s="146"/>
      <c r="O981" s="146"/>
      <c r="P981" s="146"/>
      <c r="Q981" s="146"/>
      <c r="R981" s="146"/>
      <c r="S981" s="146"/>
      <c r="T981" s="146"/>
      <c r="U981" s="146"/>
      <c r="V981" s="146"/>
      <c r="W981" s="146"/>
      <c r="X981" s="146"/>
      <c r="Y981" s="146"/>
      <c r="Z981" s="146"/>
    </row>
    <row r="982" spans="1:26" ht="15.75" customHeight="1">
      <c r="A982" s="146"/>
      <c r="B982" s="146"/>
      <c r="C982" s="146"/>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row>
    <row r="983" spans="1:26" ht="15.75" customHeight="1">
      <c r="A983" s="146"/>
      <c r="B983" s="146"/>
      <c r="C983" s="146"/>
      <c r="D983" s="146"/>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row>
    <row r="984" spans="1:26" ht="15.75" customHeight="1">
      <c r="A984" s="146"/>
      <c r="B984" s="146"/>
      <c r="C984" s="146"/>
      <c r="D984" s="146"/>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row>
    <row r="985" spans="1:26" ht="15.75" customHeight="1">
      <c r="A985" s="146"/>
      <c r="B985" s="146"/>
      <c r="C985" s="146"/>
      <c r="D985" s="146"/>
      <c r="E985" s="146"/>
      <c r="F985" s="146"/>
      <c r="G985" s="146"/>
      <c r="H985" s="146"/>
      <c r="I985" s="146"/>
      <c r="J985" s="146"/>
      <c r="K985" s="146"/>
      <c r="L985" s="146"/>
      <c r="M985" s="146"/>
      <c r="N985" s="146"/>
      <c r="O985" s="146"/>
      <c r="P985" s="146"/>
      <c r="Q985" s="146"/>
      <c r="R985" s="146"/>
      <c r="S985" s="146"/>
      <c r="T985" s="146"/>
      <c r="U985" s="146"/>
      <c r="V985" s="146"/>
      <c r="W985" s="146"/>
      <c r="X985" s="146"/>
      <c r="Y985" s="146"/>
      <c r="Z985" s="146"/>
    </row>
    <row r="986" spans="1:26" ht="15.75" customHeight="1">
      <c r="A986" s="146"/>
      <c r="B986" s="146"/>
      <c r="C986" s="146"/>
      <c r="D986" s="146"/>
      <c r="E986" s="146"/>
      <c r="F986" s="146"/>
      <c r="G986" s="146"/>
      <c r="H986" s="146"/>
      <c r="I986" s="146"/>
      <c r="J986" s="146"/>
      <c r="K986" s="146"/>
      <c r="L986" s="146"/>
      <c r="M986" s="146"/>
      <c r="N986" s="146"/>
      <c r="O986" s="146"/>
      <c r="P986" s="146"/>
      <c r="Q986" s="146"/>
      <c r="R986" s="146"/>
      <c r="S986" s="146"/>
      <c r="T986" s="146"/>
      <c r="U986" s="146"/>
      <c r="V986" s="146"/>
      <c r="W986" s="146"/>
      <c r="X986" s="146"/>
      <c r="Y986" s="146"/>
      <c r="Z986" s="146"/>
    </row>
    <row r="987" spans="1:26" ht="15.75" customHeight="1">
      <c r="A987" s="146"/>
      <c r="B987" s="146"/>
      <c r="C987" s="146"/>
      <c r="D987" s="146"/>
      <c r="E987" s="146"/>
      <c r="F987" s="146"/>
      <c r="G987" s="146"/>
      <c r="H987" s="146"/>
      <c r="I987" s="146"/>
      <c r="J987" s="146"/>
      <c r="K987" s="146"/>
      <c r="L987" s="146"/>
      <c r="M987" s="146"/>
      <c r="N987" s="146"/>
      <c r="O987" s="146"/>
      <c r="P987" s="146"/>
      <c r="Q987" s="146"/>
      <c r="R987" s="146"/>
      <c r="S987" s="146"/>
      <c r="T987" s="146"/>
      <c r="U987" s="146"/>
      <c r="V987" s="146"/>
      <c r="W987" s="146"/>
      <c r="X987" s="146"/>
      <c r="Y987" s="146"/>
      <c r="Z987" s="146"/>
    </row>
    <row r="988" spans="1:26" ht="15.75" customHeight="1">
      <c r="A988" s="146"/>
      <c r="B988" s="146"/>
      <c r="C988" s="146"/>
      <c r="D988" s="146"/>
      <c r="E988" s="146"/>
      <c r="F988" s="146"/>
      <c r="G988" s="146"/>
      <c r="H988" s="146"/>
      <c r="I988" s="146"/>
      <c r="J988" s="146"/>
      <c r="K988" s="146"/>
      <c r="L988" s="146"/>
      <c r="M988" s="146"/>
      <c r="N988" s="146"/>
      <c r="O988" s="146"/>
      <c r="P988" s="146"/>
      <c r="Q988" s="146"/>
      <c r="R988" s="146"/>
      <c r="S988" s="146"/>
      <c r="T988" s="146"/>
      <c r="U988" s="146"/>
      <c r="V988" s="146"/>
      <c r="W988" s="146"/>
      <c r="X988" s="146"/>
      <c r="Y988" s="146"/>
      <c r="Z988" s="146"/>
    </row>
    <row r="989" spans="1:26" ht="15.75" customHeight="1">
      <c r="A989" s="146"/>
      <c r="B989" s="146"/>
      <c r="C989" s="146"/>
      <c r="D989" s="146"/>
      <c r="E989" s="146"/>
      <c r="F989" s="146"/>
      <c r="G989" s="146"/>
      <c r="H989" s="146"/>
      <c r="I989" s="146"/>
      <c r="J989" s="146"/>
      <c r="K989" s="146"/>
      <c r="L989" s="146"/>
      <c r="M989" s="146"/>
      <c r="N989" s="146"/>
      <c r="O989" s="146"/>
      <c r="P989" s="146"/>
      <c r="Q989" s="146"/>
      <c r="R989" s="146"/>
      <c r="S989" s="146"/>
      <c r="T989" s="146"/>
      <c r="U989" s="146"/>
      <c r="V989" s="146"/>
      <c r="W989" s="146"/>
      <c r="X989" s="146"/>
      <c r="Y989" s="146"/>
      <c r="Z989" s="146"/>
    </row>
    <row r="990" spans="1:26" ht="15.75" customHeight="1">
      <c r="A990" s="146"/>
      <c r="B990" s="146"/>
      <c r="C990" s="146"/>
      <c r="D990" s="146"/>
      <c r="E990" s="146"/>
      <c r="F990" s="146"/>
      <c r="G990" s="146"/>
      <c r="H990" s="146"/>
      <c r="I990" s="146"/>
      <c r="J990" s="146"/>
      <c r="K990" s="146"/>
      <c r="L990" s="146"/>
      <c r="M990" s="146"/>
      <c r="N990" s="146"/>
      <c r="O990" s="146"/>
      <c r="P990" s="146"/>
      <c r="Q990" s="146"/>
      <c r="R990" s="146"/>
      <c r="S990" s="146"/>
      <c r="T990" s="146"/>
      <c r="U990" s="146"/>
      <c r="V990" s="146"/>
      <c r="W990" s="146"/>
      <c r="X990" s="146"/>
      <c r="Y990" s="146"/>
      <c r="Z990" s="146"/>
    </row>
    <row r="991" spans="1:26" ht="15.75" customHeight="1">
      <c r="A991" s="146"/>
      <c r="B991" s="146"/>
      <c r="C991" s="146"/>
      <c r="D991" s="146"/>
      <c r="E991" s="146"/>
      <c r="F991" s="146"/>
      <c r="G991" s="146"/>
      <c r="H991" s="146"/>
      <c r="I991" s="146"/>
      <c r="J991" s="146"/>
      <c r="K991" s="146"/>
      <c r="L991" s="146"/>
      <c r="M991" s="146"/>
      <c r="N991" s="146"/>
      <c r="O991" s="146"/>
      <c r="P991" s="146"/>
      <c r="Q991" s="146"/>
      <c r="R991" s="146"/>
      <c r="S991" s="146"/>
      <c r="T991" s="146"/>
      <c r="U991" s="146"/>
      <c r="V991" s="146"/>
      <c r="W991" s="146"/>
      <c r="X991" s="146"/>
      <c r="Y991" s="146"/>
      <c r="Z991" s="146"/>
    </row>
    <row r="992" spans="1:26" ht="15.75" customHeight="1">
      <c r="A992" s="146"/>
      <c r="B992" s="146"/>
      <c r="C992" s="146"/>
      <c r="D992" s="146"/>
      <c r="E992" s="146"/>
      <c r="F992" s="146"/>
      <c r="G992" s="146"/>
      <c r="H992" s="146"/>
      <c r="I992" s="146"/>
      <c r="J992" s="146"/>
      <c r="K992" s="146"/>
      <c r="L992" s="146"/>
      <c r="M992" s="146"/>
      <c r="N992" s="146"/>
      <c r="O992" s="146"/>
      <c r="P992" s="146"/>
      <c r="Q992" s="146"/>
      <c r="R992" s="146"/>
      <c r="S992" s="146"/>
      <c r="T992" s="146"/>
      <c r="U992" s="146"/>
      <c r="V992" s="146"/>
      <c r="W992" s="146"/>
      <c r="X992" s="146"/>
      <c r="Y992" s="146"/>
      <c r="Z992" s="146"/>
    </row>
    <row r="993" spans="1:26" ht="15.75" customHeight="1">
      <c r="A993" s="146"/>
      <c r="B993" s="146"/>
      <c r="C993" s="146"/>
      <c r="D993" s="146"/>
      <c r="E993" s="146"/>
      <c r="F993" s="146"/>
      <c r="G993" s="146"/>
      <c r="H993" s="146"/>
      <c r="I993" s="146"/>
      <c r="J993" s="146"/>
      <c r="K993" s="146"/>
      <c r="L993" s="146"/>
      <c r="M993" s="146"/>
      <c r="N993" s="146"/>
      <c r="O993" s="146"/>
      <c r="P993" s="146"/>
      <c r="Q993" s="146"/>
      <c r="R993" s="146"/>
      <c r="S993" s="146"/>
      <c r="T993" s="146"/>
      <c r="U993" s="146"/>
      <c r="V993" s="146"/>
      <c r="W993" s="146"/>
      <c r="X993" s="146"/>
      <c r="Y993" s="146"/>
      <c r="Z993" s="146"/>
    </row>
    <row r="994" spans="1:26" ht="15.75" customHeight="1">
      <c r="A994" s="146"/>
      <c r="B994" s="146"/>
      <c r="C994" s="146"/>
      <c r="D994" s="146"/>
      <c r="E994" s="146"/>
      <c r="F994" s="146"/>
      <c r="G994" s="146"/>
      <c r="H994" s="146"/>
      <c r="I994" s="146"/>
      <c r="J994" s="146"/>
      <c r="K994" s="146"/>
      <c r="L994" s="146"/>
      <c r="M994" s="146"/>
      <c r="N994" s="146"/>
      <c r="O994" s="146"/>
      <c r="P994" s="146"/>
      <c r="Q994" s="146"/>
      <c r="R994" s="146"/>
      <c r="S994" s="146"/>
      <c r="T994" s="146"/>
      <c r="U994" s="146"/>
      <c r="V994" s="146"/>
      <c r="W994" s="146"/>
      <c r="X994" s="146"/>
      <c r="Y994" s="146"/>
      <c r="Z994" s="146"/>
    </row>
    <row r="995" spans="1:26" ht="15.75" customHeight="1">
      <c r="A995" s="146"/>
      <c r="B995" s="146"/>
      <c r="C995" s="146"/>
      <c r="D995" s="146"/>
      <c r="E995" s="146"/>
      <c r="F995" s="146"/>
      <c r="G995" s="146"/>
      <c r="H995" s="146"/>
      <c r="I995" s="146"/>
      <c r="J995" s="146"/>
      <c r="K995" s="146"/>
      <c r="L995" s="146"/>
      <c r="M995" s="146"/>
      <c r="N995" s="146"/>
      <c r="O995" s="146"/>
      <c r="P995" s="146"/>
      <c r="Q995" s="146"/>
      <c r="R995" s="146"/>
      <c r="S995" s="146"/>
      <c r="T995" s="146"/>
      <c r="U995" s="146"/>
      <c r="V995" s="146"/>
      <c r="W995" s="146"/>
      <c r="X995" s="146"/>
      <c r="Y995" s="146"/>
      <c r="Z995" s="146"/>
    </row>
    <row r="996" spans="1:26" ht="15" customHeight="1">
      <c r="A996" s="146"/>
      <c r="B996" s="146"/>
      <c r="C996" s="146"/>
      <c r="D996" s="146"/>
      <c r="E996" s="146"/>
      <c r="F996" s="146"/>
      <c r="G996" s="146"/>
      <c r="H996" s="146"/>
      <c r="I996" s="146"/>
      <c r="J996" s="146"/>
      <c r="K996" s="146"/>
      <c r="L996" s="146"/>
      <c r="M996" s="146"/>
      <c r="N996" s="146"/>
      <c r="O996" s="146"/>
      <c r="P996" s="146"/>
      <c r="Q996" s="146"/>
      <c r="R996" s="146"/>
      <c r="S996" s="146"/>
      <c r="T996" s="146"/>
      <c r="U996" s="146"/>
    </row>
    <row r="997" spans="1:26" ht="15" customHeight="1">
      <c r="A997" s="146"/>
      <c r="B997" s="146"/>
      <c r="C997" s="146"/>
      <c r="D997" s="146"/>
      <c r="E997" s="146"/>
      <c r="F997" s="146"/>
      <c r="G997" s="146"/>
      <c r="H997" s="146"/>
      <c r="I997" s="146"/>
      <c r="J997" s="146"/>
      <c r="K997" s="146"/>
      <c r="L997" s="146"/>
      <c r="M997" s="146"/>
      <c r="N997" s="146"/>
      <c r="O997" s="146"/>
      <c r="P997" s="146"/>
      <c r="Q997" s="146"/>
      <c r="R997" s="146"/>
      <c r="S997" s="146"/>
      <c r="T997" s="146"/>
      <c r="U997" s="146"/>
    </row>
    <row r="998" spans="1:26" ht="15" customHeight="1">
      <c r="A998" s="146"/>
      <c r="B998" s="146"/>
      <c r="C998" s="146"/>
      <c r="D998" s="146"/>
      <c r="E998" s="146"/>
      <c r="F998" s="146"/>
      <c r="G998" s="146"/>
      <c r="H998" s="146"/>
      <c r="I998" s="146"/>
      <c r="J998" s="146"/>
      <c r="K998" s="146"/>
      <c r="L998" s="146"/>
      <c r="M998" s="146"/>
      <c r="N998" s="146"/>
      <c r="O998" s="146"/>
      <c r="P998" s="146"/>
      <c r="Q998" s="146"/>
      <c r="R998" s="146"/>
      <c r="S998" s="146"/>
      <c r="T998" s="146"/>
      <c r="U998" s="146"/>
    </row>
    <row r="999" spans="1:26" ht="15" customHeight="1">
      <c r="A999" s="146"/>
      <c r="B999" s="146"/>
      <c r="C999" s="146"/>
      <c r="D999" s="146"/>
      <c r="E999" s="146"/>
      <c r="F999" s="146"/>
      <c r="G999" s="146"/>
      <c r="H999" s="146"/>
      <c r="I999" s="146"/>
      <c r="J999" s="146"/>
      <c r="K999" s="146"/>
      <c r="L999" s="146"/>
      <c r="M999" s="146"/>
      <c r="N999" s="146"/>
      <c r="O999" s="146"/>
      <c r="P999" s="146"/>
      <c r="Q999" s="146"/>
      <c r="R999" s="146"/>
      <c r="S999" s="146"/>
      <c r="T999" s="146"/>
      <c r="U999" s="146"/>
    </row>
    <row r="1000" spans="1:26" ht="15" customHeight="1">
      <c r="A1000" s="146"/>
      <c r="B1000" s="146"/>
      <c r="C1000" s="146"/>
      <c r="D1000" s="146"/>
      <c r="E1000" s="146"/>
      <c r="F1000" s="146"/>
      <c r="G1000" s="146"/>
      <c r="H1000" s="146"/>
      <c r="I1000" s="146"/>
      <c r="J1000" s="146"/>
      <c r="K1000" s="146"/>
      <c r="L1000" s="146"/>
      <c r="M1000" s="146"/>
      <c r="N1000" s="146"/>
      <c r="O1000" s="146"/>
      <c r="P1000" s="146"/>
      <c r="Q1000" s="146"/>
      <c r="R1000" s="146"/>
      <c r="S1000" s="146"/>
      <c r="T1000" s="146"/>
      <c r="U1000" s="146"/>
    </row>
    <row r="1001" spans="1:26" ht="15" customHeight="1">
      <c r="A1001" s="146"/>
      <c r="B1001" s="146"/>
      <c r="C1001" s="146"/>
      <c r="D1001" s="146"/>
      <c r="E1001" s="146"/>
      <c r="F1001" s="146"/>
      <c r="G1001" s="146"/>
      <c r="H1001" s="146"/>
      <c r="I1001" s="146"/>
      <c r="J1001" s="146"/>
      <c r="K1001" s="146"/>
      <c r="L1001" s="146"/>
      <c r="M1001" s="146"/>
      <c r="N1001" s="146"/>
      <c r="O1001" s="146"/>
      <c r="P1001" s="146"/>
      <c r="Q1001" s="146"/>
      <c r="R1001" s="146"/>
      <c r="S1001" s="146"/>
      <c r="T1001" s="146"/>
      <c r="U1001" s="146"/>
    </row>
    <row r="1002" spans="1:26" ht="15" customHeight="1">
      <c r="A1002" s="146"/>
      <c r="B1002" s="146"/>
      <c r="C1002" s="146"/>
      <c r="D1002" s="146"/>
      <c r="E1002" s="146"/>
      <c r="F1002" s="146"/>
      <c r="G1002" s="146"/>
      <c r="H1002" s="146"/>
      <c r="I1002" s="146"/>
      <c r="J1002" s="146"/>
      <c r="K1002" s="146"/>
      <c r="L1002" s="146"/>
      <c r="M1002" s="146"/>
      <c r="N1002" s="146"/>
      <c r="O1002" s="146"/>
      <c r="P1002" s="146"/>
      <c r="Q1002" s="146"/>
      <c r="R1002" s="146"/>
      <c r="S1002" s="146"/>
      <c r="T1002" s="146"/>
      <c r="U1002" s="146"/>
    </row>
    <row r="1003" spans="1:26" ht="15" customHeight="1">
      <c r="A1003" s="146"/>
      <c r="B1003" s="146"/>
      <c r="C1003" s="146"/>
      <c r="D1003" s="146"/>
      <c r="E1003" s="146"/>
      <c r="F1003" s="146"/>
      <c r="G1003" s="146"/>
      <c r="H1003" s="146"/>
      <c r="I1003" s="146"/>
      <c r="J1003" s="146"/>
      <c r="K1003" s="146"/>
      <c r="L1003" s="146"/>
      <c r="M1003" s="146"/>
      <c r="N1003" s="146"/>
      <c r="O1003" s="146"/>
      <c r="P1003" s="146"/>
      <c r="Q1003" s="146"/>
      <c r="R1003" s="146"/>
      <c r="S1003" s="146"/>
      <c r="T1003" s="146"/>
      <c r="U1003" s="146"/>
    </row>
  </sheetData>
  <pageMargins left="0.7" right="0.7" top="0.75" bottom="0.75" header="0.3" footer="0.3"/>
  <pageSetup scale="68"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34347-3B39-47ED-BF4C-68BFD8BA0C26}">
  <sheetPr codeName="Sheet20"/>
  <dimension ref="A2:H11"/>
  <sheetViews>
    <sheetView showGridLines="0" workbookViewId="0">
      <selection activeCell="C16" sqref="C16"/>
    </sheetView>
  </sheetViews>
  <sheetFormatPr defaultRowHeight="14.5"/>
  <cols>
    <col min="1" max="1" width="1.90625" style="145" customWidth="1"/>
    <col min="2" max="2" width="7.26953125" style="145" bestFit="1" customWidth="1"/>
    <col min="3" max="3" width="15" style="145" bestFit="1" customWidth="1"/>
    <col min="4" max="4" width="8.36328125" style="145" bestFit="1" customWidth="1"/>
    <col min="5" max="5" width="15" style="145" customWidth="1"/>
    <col min="6" max="6" width="10.08984375" style="145" bestFit="1" customWidth="1"/>
    <col min="7" max="7" width="8.453125" style="145" customWidth="1"/>
    <col min="8" max="16384" width="8.7265625" style="145"/>
  </cols>
  <sheetData>
    <row r="2" spans="1:8">
      <c r="B2" s="367" t="s">
        <v>1599</v>
      </c>
    </row>
    <row r="3" spans="1:8">
      <c r="A3" s="171"/>
      <c r="B3" s="171"/>
      <c r="C3" s="171"/>
      <c r="D3" s="171"/>
      <c r="E3" s="171"/>
      <c r="F3" s="171"/>
      <c r="G3" s="171"/>
      <c r="H3" s="171"/>
    </row>
    <row r="4" spans="1:8" ht="17.5" customHeight="1">
      <c r="A4" s="172"/>
      <c r="B4" s="357" t="s">
        <v>352</v>
      </c>
      <c r="C4" s="357" t="s">
        <v>346</v>
      </c>
      <c r="D4" s="358" t="s">
        <v>353</v>
      </c>
      <c r="E4" s="358" t="s">
        <v>354</v>
      </c>
      <c r="F4" s="358" t="s">
        <v>355</v>
      </c>
      <c r="G4" s="358" t="s">
        <v>356</v>
      </c>
      <c r="H4" s="171"/>
    </row>
    <row r="5" spans="1:8">
      <c r="A5" s="171"/>
      <c r="B5" s="173">
        <v>1</v>
      </c>
      <c r="C5" s="359" t="s">
        <v>341</v>
      </c>
      <c r="D5" s="174">
        <v>664.6</v>
      </c>
      <c r="E5" s="174">
        <v>244686.47</v>
      </c>
      <c r="F5" s="174">
        <v>71540</v>
      </c>
      <c r="G5" s="174">
        <v>0.62</v>
      </c>
      <c r="H5" s="175"/>
    </row>
    <row r="6" spans="1:8">
      <c r="A6" s="171"/>
      <c r="B6" s="173">
        <v>2</v>
      </c>
      <c r="C6" s="359" t="s">
        <v>357</v>
      </c>
      <c r="D6" s="174">
        <v>2240.6999999999998</v>
      </c>
      <c r="E6" s="174">
        <v>182066.08</v>
      </c>
      <c r="F6" s="174">
        <v>847.29</v>
      </c>
      <c r="G6" s="174">
        <v>0.05</v>
      </c>
      <c r="H6" s="175"/>
    </row>
    <row r="7" spans="1:8">
      <c r="A7" s="171"/>
      <c r="B7" s="173">
        <v>3</v>
      </c>
      <c r="C7" s="359" t="s">
        <v>339</v>
      </c>
      <c r="D7" s="174">
        <v>19673</v>
      </c>
      <c r="E7" s="174">
        <v>25921.66</v>
      </c>
      <c r="F7" s="174">
        <v>17.43</v>
      </c>
      <c r="G7" s="174">
        <v>0.01</v>
      </c>
      <c r="H7" s="175"/>
    </row>
    <row r="8" spans="1:8">
      <c r="A8" s="171"/>
      <c r="B8" s="173">
        <v>4</v>
      </c>
      <c r="C8" s="359" t="s">
        <v>338</v>
      </c>
      <c r="D8" s="174">
        <v>12936</v>
      </c>
      <c r="E8" s="174">
        <v>406711.17</v>
      </c>
      <c r="F8" s="174">
        <v>87</v>
      </c>
      <c r="G8" s="174">
        <v>0</v>
      </c>
      <c r="H8" s="175"/>
    </row>
    <row r="9" spans="1:8">
      <c r="A9" s="171"/>
      <c r="B9" s="173">
        <v>5</v>
      </c>
      <c r="C9" s="359" t="s">
        <v>337</v>
      </c>
      <c r="D9" s="174">
        <v>3265.4</v>
      </c>
      <c r="E9" s="174">
        <v>406061.9</v>
      </c>
      <c r="F9" s="174">
        <v>129024.58</v>
      </c>
      <c r="G9" s="174">
        <v>1.67</v>
      </c>
      <c r="H9" s="175"/>
    </row>
    <row r="10" spans="1:8">
      <c r="A10" s="171"/>
      <c r="B10" s="175"/>
      <c r="C10" s="175"/>
      <c r="D10" s="175"/>
      <c r="E10" s="175"/>
      <c r="F10" s="175"/>
      <c r="G10" s="175"/>
      <c r="H10" s="175"/>
    </row>
    <row r="11" spans="1:8">
      <c r="B11" s="366"/>
      <c r="C11" s="365"/>
    </row>
  </sheetData>
  <hyperlinks>
    <hyperlink ref="C8" r:id="rId1" display="https://www.screener.in/company/MARUTI/consolidated/" xr:uid="{32CB4FDA-DF3F-42EF-B5CE-32C771EDFC1C}"/>
    <hyperlink ref="C9" r:id="rId2" display="https://www.screener.in/company/M&amp;M/consolidated/" xr:uid="{EA8AF524-6F7F-4212-96BF-0780A0BF59CF}"/>
    <hyperlink ref="C5" r:id="rId3" display="https://www.screener.in/company/TATAMOTORS/consolidated/" xr:uid="{CA6216F2-2205-42BC-8D14-A2BB34C07E78}"/>
    <hyperlink ref="C6" r:id="rId4" display="https://www.screener.in/company/HYUNDAI/" xr:uid="{564D69F4-C86B-454F-B73F-70B0C79F0671}"/>
    <hyperlink ref="C7" r:id="rId5" display="https://www.screener.in/company/FORCEMOT/consolidated/" xr:uid="{1B8B102A-0F5C-4D7C-BF2E-D5BF71AEDCD2}"/>
  </hyperlinks>
  <pageMargins left="0.7" right="0.7" top="0.75" bottom="0.75" header="0.3" footer="0.3"/>
  <pageSetup orientation="portrait"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970D5-6CA9-4F67-B4F1-C91F84F7F981}">
  <sheetPr codeName="Sheet16">
    <pageSetUpPr fitToPage="1"/>
  </sheetPr>
  <dimension ref="A1:L75"/>
  <sheetViews>
    <sheetView showGridLines="0" zoomScale="107" workbookViewId="0">
      <selection sqref="A1:L71"/>
    </sheetView>
  </sheetViews>
  <sheetFormatPr defaultRowHeight="14.5"/>
  <cols>
    <col min="1" max="1" width="1.90625" customWidth="1"/>
    <col min="7" max="9" width="12" customWidth="1"/>
    <col min="10" max="10" width="13.1796875" bestFit="1" customWidth="1"/>
    <col min="11" max="11" width="12" customWidth="1"/>
    <col min="12" max="12" width="4.26953125" customWidth="1"/>
  </cols>
  <sheetData>
    <row r="1" spans="1:12">
      <c r="A1" s="273"/>
      <c r="B1" s="361"/>
      <c r="C1" s="361"/>
      <c r="D1" s="361"/>
      <c r="E1" s="361"/>
      <c r="F1" s="361"/>
      <c r="G1" s="361"/>
      <c r="H1" s="361"/>
      <c r="I1" s="361"/>
      <c r="J1" s="93"/>
      <c r="K1" s="93"/>
      <c r="L1" s="48"/>
    </row>
    <row r="2" spans="1:12" ht="4.5" customHeight="1">
      <c r="A2" s="273"/>
      <c r="B2" s="273"/>
      <c r="C2" s="273"/>
      <c r="D2" s="273"/>
      <c r="E2" s="273"/>
      <c r="F2" s="273"/>
      <c r="G2" s="273"/>
      <c r="H2" s="273"/>
      <c r="I2" s="273"/>
    </row>
    <row r="3" spans="1:12" ht="23" customHeight="1">
      <c r="A3" s="273"/>
      <c r="B3" s="362" t="str">
        <f>'Data Sheet'!B1</f>
        <v>TATA MOTORS LTD</v>
      </c>
      <c r="C3" s="273"/>
      <c r="D3" s="273"/>
      <c r="E3" s="273"/>
      <c r="F3" s="273"/>
      <c r="G3" s="273"/>
      <c r="H3" s="273"/>
      <c r="I3" s="273"/>
    </row>
    <row r="4" spans="1:12">
      <c r="A4" s="273"/>
      <c r="B4" s="274" t="s">
        <v>460</v>
      </c>
      <c r="C4" s="273"/>
      <c r="D4" s="273"/>
      <c r="E4" s="273"/>
      <c r="F4" s="273"/>
      <c r="G4" s="273"/>
      <c r="H4" s="273"/>
      <c r="I4" s="273"/>
    </row>
    <row r="5" spans="1:12" ht="18.5">
      <c r="A5" s="273"/>
      <c r="B5" s="363" t="s">
        <v>461</v>
      </c>
      <c r="C5" s="273"/>
      <c r="D5" s="273"/>
      <c r="E5" s="273"/>
      <c r="F5" s="273"/>
      <c r="G5" s="273"/>
      <c r="H5" s="273"/>
      <c r="I5" s="273"/>
    </row>
    <row r="6" spans="1:12">
      <c r="A6" s="273"/>
      <c r="B6" s="279" t="s">
        <v>463</v>
      </c>
      <c r="C6" s="273"/>
      <c r="D6" s="273"/>
      <c r="E6" s="273"/>
      <c r="F6" s="273"/>
      <c r="G6" s="273"/>
      <c r="H6" s="273"/>
      <c r="I6" s="273"/>
    </row>
    <row r="7" spans="1:12" ht="4.5" customHeight="1" thickBot="1">
      <c r="A7" s="273"/>
      <c r="B7" s="393"/>
      <c r="C7" s="393"/>
      <c r="D7" s="393"/>
      <c r="E7" s="393"/>
      <c r="F7" s="393"/>
      <c r="G7" s="393"/>
      <c r="H7" s="393"/>
      <c r="I7" s="393"/>
      <c r="J7" s="397"/>
      <c r="K7" s="397"/>
    </row>
    <row r="8" spans="1:12" ht="9" customHeight="1"/>
    <row r="9" spans="1:12">
      <c r="A9" s="2" t="s">
        <v>94</v>
      </c>
      <c r="B9" s="83" t="s">
        <v>261</v>
      </c>
      <c r="C9" s="83"/>
      <c r="D9" s="83"/>
      <c r="E9" s="83"/>
      <c r="F9" s="93"/>
      <c r="G9" s="84">
        <v>44256</v>
      </c>
      <c r="H9" s="84">
        <v>44621</v>
      </c>
      <c r="I9" s="84">
        <v>44986</v>
      </c>
      <c r="J9" s="84">
        <v>45352</v>
      </c>
      <c r="K9" s="84">
        <v>45717</v>
      </c>
    </row>
    <row r="10" spans="1:12" ht="4.5" customHeight="1"/>
    <row r="11" spans="1:12">
      <c r="B11" s="2" t="s">
        <v>262</v>
      </c>
    </row>
    <row r="12" spans="1:12">
      <c r="B12" s="94" t="s">
        <v>249</v>
      </c>
      <c r="C12" s="95"/>
      <c r="D12" s="95"/>
      <c r="E12" s="95"/>
      <c r="F12" s="95"/>
      <c r="G12" s="114">
        <f>'Raw FS'!H38</f>
        <v>36089</v>
      </c>
      <c r="H12" s="114">
        <f>'Raw FS'!I38</f>
        <v>35240</v>
      </c>
      <c r="I12" s="114">
        <f>'Raw FS'!J38</f>
        <v>40755</v>
      </c>
      <c r="J12" s="114">
        <f>'Raw FS'!K38</f>
        <v>47788</v>
      </c>
      <c r="K12" s="114">
        <f>'Raw FS'!L38</f>
        <v>47269</v>
      </c>
    </row>
    <row r="13" spans="1:12">
      <c r="B13" s="94" t="s">
        <v>263</v>
      </c>
      <c r="C13" s="95"/>
      <c r="D13" s="95"/>
      <c r="E13" s="95"/>
      <c r="F13" s="95"/>
      <c r="G13" s="114">
        <f>SUM('Raw FS'!H40:H41)</f>
        <v>13668</v>
      </c>
      <c r="H13" s="114">
        <f>SUM('Raw FS'!I40:I41)</f>
        <v>13294</v>
      </c>
      <c r="I13" s="114">
        <f>SUM('Raw FS'!J40:J41)</f>
        <v>16663</v>
      </c>
      <c r="J13" s="114">
        <f>SUM('Raw FS'!K40:K41)</f>
        <v>17703</v>
      </c>
      <c r="K13" s="114">
        <f>SUM('Raw FS'!L40:L41)</f>
        <v>13998</v>
      </c>
    </row>
    <row r="14" spans="1:12">
      <c r="B14" s="94" t="s">
        <v>255</v>
      </c>
      <c r="C14" s="95"/>
      <c r="D14" s="95"/>
      <c r="E14" s="95"/>
      <c r="F14" s="95"/>
      <c r="G14" s="114">
        <f>'Raw FS'!H44</f>
        <v>4520</v>
      </c>
      <c r="H14" s="114">
        <f>'Raw FS'!I44</f>
        <v>4583</v>
      </c>
      <c r="I14" s="114">
        <f>'Raw FS'!J44</f>
        <v>-4029</v>
      </c>
      <c r="J14" s="114">
        <f>'Raw FS'!K44</f>
        <v>-1743</v>
      </c>
      <c r="K14" s="114">
        <f>'Raw FS'!L44</f>
        <v>7552</v>
      </c>
    </row>
    <row r="15" spans="1:12">
      <c r="B15" s="96" t="s">
        <v>264</v>
      </c>
      <c r="C15" s="97"/>
      <c r="D15" s="97"/>
      <c r="E15" s="97"/>
      <c r="F15" s="97"/>
      <c r="G15" s="115">
        <f>'Raw FS'!H45</f>
        <v>57198</v>
      </c>
      <c r="H15" s="115">
        <f>'Raw FS'!I45</f>
        <v>57641</v>
      </c>
      <c r="I15" s="115">
        <f>'Raw FS'!J45</f>
        <v>72461</v>
      </c>
      <c r="J15" s="115">
        <f>'Raw FS'!K45</f>
        <v>80763</v>
      </c>
      <c r="K15" s="115">
        <f>'Raw FS'!L45</f>
        <v>50911</v>
      </c>
    </row>
    <row r="16" spans="1:12">
      <c r="B16" s="91" t="s">
        <v>120</v>
      </c>
      <c r="C16" s="98"/>
      <c r="D16" s="98"/>
      <c r="E16" s="98"/>
      <c r="F16" s="98"/>
      <c r="G16" s="116">
        <f>SUM(G12:G15)</f>
        <v>111475</v>
      </c>
      <c r="H16" s="116">
        <f t="shared" ref="H16:K16" si="0">SUM(H12:H15)</f>
        <v>110758</v>
      </c>
      <c r="I16" s="116">
        <f t="shared" si="0"/>
        <v>125850</v>
      </c>
      <c r="J16" s="116">
        <f t="shared" si="0"/>
        <v>144511</v>
      </c>
      <c r="K16" s="116">
        <f t="shared" si="0"/>
        <v>119730</v>
      </c>
    </row>
    <row r="17" spans="2:11" ht="11" customHeight="1">
      <c r="G17" s="117"/>
      <c r="H17" s="117"/>
      <c r="I17" s="117"/>
      <c r="J17" s="117"/>
      <c r="K17" s="117"/>
    </row>
    <row r="18" spans="2:11">
      <c r="B18" s="87" t="s">
        <v>265</v>
      </c>
      <c r="G18" s="117"/>
      <c r="H18" s="117"/>
      <c r="I18" s="117"/>
      <c r="J18" s="117"/>
      <c r="K18" s="117"/>
    </row>
    <row r="19" spans="2:11">
      <c r="B19" s="95" t="str">
        <f>'Raw FS'!B15</f>
        <v>Trade Payables</v>
      </c>
      <c r="C19" s="95"/>
      <c r="D19" s="95"/>
      <c r="E19" s="95"/>
      <c r="F19" s="95"/>
      <c r="G19" s="114">
        <f>'Raw FS'!H15</f>
        <v>76040</v>
      </c>
      <c r="H19" s="114">
        <f>'Raw FS'!I15</f>
        <v>69750</v>
      </c>
      <c r="I19" s="114">
        <f>'Raw FS'!J15</f>
        <v>79252</v>
      </c>
      <c r="J19" s="114">
        <f>'Raw FS'!K15</f>
        <v>93978</v>
      </c>
      <c r="K19" s="114">
        <f>'Raw FS'!L15</f>
        <v>97368</v>
      </c>
    </row>
    <row r="20" spans="2:11">
      <c r="B20" s="100" t="str">
        <f>'Raw FS'!B17</f>
        <v>Other liability items</v>
      </c>
      <c r="C20" s="100"/>
      <c r="D20" s="100"/>
      <c r="E20" s="100"/>
      <c r="F20" s="100"/>
      <c r="G20" s="118">
        <f>'Raw FS'!H17</f>
        <v>66579</v>
      </c>
      <c r="H20" s="118">
        <f>'Raw FS'!I17</f>
        <v>64030</v>
      </c>
      <c r="I20" s="118">
        <f>'Raw FS'!J17</f>
        <v>68710</v>
      </c>
      <c r="J20" s="118">
        <f>'Raw FS'!K17</f>
        <v>75185</v>
      </c>
      <c r="K20" s="118">
        <f>'Raw FS'!L17</f>
        <v>85311</v>
      </c>
    </row>
    <row r="21" spans="2:11">
      <c r="B21" s="99" t="s">
        <v>266</v>
      </c>
      <c r="C21" s="98"/>
      <c r="D21" s="98"/>
      <c r="E21" s="98"/>
      <c r="F21" s="98"/>
      <c r="G21" s="116">
        <f>SUM(G19:G20)</f>
        <v>142619</v>
      </c>
      <c r="H21" s="116">
        <f t="shared" ref="H21:K21" si="1">SUM(H19:H20)</f>
        <v>133780</v>
      </c>
      <c r="I21" s="116">
        <f t="shared" si="1"/>
        <v>147962</v>
      </c>
      <c r="J21" s="116">
        <f t="shared" si="1"/>
        <v>169163</v>
      </c>
      <c r="K21" s="116">
        <f t="shared" si="1"/>
        <v>182679</v>
      </c>
    </row>
    <row r="22" spans="2:11" ht="3.5" customHeight="1">
      <c r="G22" s="117"/>
      <c r="H22" s="117"/>
      <c r="I22" s="117"/>
      <c r="J22" s="117"/>
      <c r="K22" s="117"/>
    </row>
    <row r="23" spans="2:11" ht="15" thickBot="1">
      <c r="B23" s="101" t="s">
        <v>267</v>
      </c>
      <c r="C23" s="101"/>
      <c r="D23" s="101"/>
      <c r="E23" s="101"/>
      <c r="F23" s="101"/>
      <c r="G23" s="119">
        <f>G16-G21</f>
        <v>-31144</v>
      </c>
      <c r="H23" s="119">
        <f t="shared" ref="H23:K23" si="2">H16-H21</f>
        <v>-23022</v>
      </c>
      <c r="I23" s="119">
        <f t="shared" si="2"/>
        <v>-22112</v>
      </c>
      <c r="J23" s="119">
        <f t="shared" si="2"/>
        <v>-24652</v>
      </c>
      <c r="K23" s="119">
        <f t="shared" si="2"/>
        <v>-62949</v>
      </c>
    </row>
    <row r="24" spans="2:11">
      <c r="G24" s="117"/>
      <c r="H24" s="117"/>
      <c r="I24" s="117"/>
      <c r="J24" s="117"/>
      <c r="K24" s="117"/>
    </row>
    <row r="25" spans="2:11">
      <c r="B25" s="2" t="s">
        <v>268</v>
      </c>
      <c r="G25" s="117"/>
      <c r="H25" s="117"/>
      <c r="I25" s="117"/>
      <c r="J25" s="117"/>
      <c r="K25" s="117"/>
    </row>
    <row r="26" spans="2:11">
      <c r="B26" s="95" t="str">
        <f>'Raw FS'!B21</f>
        <v>Land</v>
      </c>
      <c r="C26" s="95"/>
      <c r="D26" s="95"/>
      <c r="E26" s="95"/>
      <c r="F26" s="95"/>
      <c r="G26" s="114">
        <f>'Raw FS'!H21</f>
        <v>7819</v>
      </c>
      <c r="H26" s="114">
        <f>'Raw FS'!I21</f>
        <v>7760</v>
      </c>
      <c r="I26" s="114">
        <f>'Raw FS'!J21</f>
        <v>8045</v>
      </c>
      <c r="J26" s="114">
        <f>'Raw FS'!K21</f>
        <v>7996</v>
      </c>
      <c r="K26" s="114">
        <f>'Raw FS'!L21</f>
        <v>7900</v>
      </c>
    </row>
    <row r="27" spans="2:11">
      <c r="B27" s="95" t="str">
        <f>'Raw FS'!B22</f>
        <v>Building</v>
      </c>
      <c r="C27" s="95"/>
      <c r="D27" s="95"/>
      <c r="E27" s="95"/>
      <c r="F27" s="95"/>
      <c r="G27" s="114">
        <f>'Raw FS'!H22</f>
        <v>35537</v>
      </c>
      <c r="H27" s="114">
        <f>'Raw FS'!I22</f>
        <v>36466</v>
      </c>
      <c r="I27" s="114">
        <f>'Raw FS'!J22</f>
        <v>38674</v>
      </c>
      <c r="J27" s="114">
        <f>'Raw FS'!K22</f>
        <v>40583</v>
      </c>
      <c r="K27" s="114">
        <f>'Raw FS'!L22</f>
        <v>44662</v>
      </c>
    </row>
    <row r="28" spans="2:11">
      <c r="B28" s="95" t="str">
        <f>'Raw FS'!B23</f>
        <v>Plant Machinery</v>
      </c>
      <c r="C28" s="95"/>
      <c r="D28" s="95"/>
      <c r="E28" s="95"/>
      <c r="F28" s="95"/>
      <c r="G28" s="114">
        <f>'Raw FS'!H23</f>
        <v>138868</v>
      </c>
      <c r="H28" s="114">
        <f>'Raw FS'!I23</f>
        <v>148585</v>
      </c>
      <c r="I28" s="114">
        <f>'Raw FS'!J23</f>
        <v>153672</v>
      </c>
      <c r="J28" s="114">
        <f>'Raw FS'!K23</f>
        <v>151877</v>
      </c>
      <c r="K28" s="114">
        <f>'Raw FS'!L23</f>
        <v>155939</v>
      </c>
    </row>
    <row r="29" spans="2:11">
      <c r="B29" s="95" t="str">
        <f>'Raw FS'!B24</f>
        <v>Equipments</v>
      </c>
      <c r="C29" s="95"/>
      <c r="D29" s="95"/>
      <c r="E29" s="95"/>
      <c r="F29" s="95"/>
      <c r="G29" s="114">
        <f>'Raw FS'!H24</f>
        <v>0</v>
      </c>
      <c r="H29" s="114">
        <f>'Raw FS'!I24</f>
        <v>0</v>
      </c>
      <c r="I29" s="114">
        <f>'Raw FS'!J24</f>
        <v>0</v>
      </c>
      <c r="J29" s="114">
        <f>'Raw FS'!K24</f>
        <v>0</v>
      </c>
      <c r="K29" s="114">
        <f>'Raw FS'!L24</f>
        <v>0</v>
      </c>
    </row>
    <row r="30" spans="2:11">
      <c r="B30" s="95" t="str">
        <f>'Raw FS'!B25</f>
        <v>Computers</v>
      </c>
      <c r="C30" s="95"/>
      <c r="D30" s="95"/>
      <c r="E30" s="95"/>
      <c r="F30" s="95"/>
      <c r="G30" s="114">
        <f>'Raw FS'!H25</f>
        <v>3172</v>
      </c>
      <c r="H30" s="114">
        <f>'Raw FS'!I25</f>
        <v>3383</v>
      </c>
      <c r="I30" s="114">
        <f>'Raw FS'!J25</f>
        <v>3499</v>
      </c>
      <c r="J30" s="114">
        <f>'Raw FS'!K25</f>
        <v>3667</v>
      </c>
      <c r="K30" s="114">
        <f>'Raw FS'!L25</f>
        <v>3879</v>
      </c>
    </row>
    <row r="31" spans="2:11">
      <c r="B31" s="95" t="str">
        <f>'Raw FS'!B26</f>
        <v>Furniture n fittings</v>
      </c>
      <c r="C31" s="95"/>
      <c r="D31" s="95"/>
      <c r="E31" s="95"/>
      <c r="F31" s="95"/>
      <c r="G31" s="114">
        <f>'Raw FS'!H26</f>
        <v>1956</v>
      </c>
      <c r="H31" s="114">
        <f>'Raw FS'!I26</f>
        <v>1984</v>
      </c>
      <c r="I31" s="114">
        <f>'Raw FS'!J26</f>
        <v>2084</v>
      </c>
      <c r="J31" s="114">
        <f>'Raw FS'!K26</f>
        <v>2029</v>
      </c>
      <c r="K31" s="114">
        <f>'Raw FS'!L26</f>
        <v>1970</v>
      </c>
    </row>
    <row r="32" spans="2:11">
      <c r="B32" s="95" t="str">
        <f>'Raw FS'!B27</f>
        <v>Vehicles</v>
      </c>
      <c r="C32" s="95"/>
      <c r="D32" s="95"/>
      <c r="E32" s="95"/>
      <c r="F32" s="95"/>
      <c r="G32" s="114">
        <f>'Raw FS'!H27</f>
        <v>845</v>
      </c>
      <c r="H32" s="114">
        <f>'Raw FS'!I27</f>
        <v>725</v>
      </c>
      <c r="I32" s="114">
        <f>'Raw FS'!J27</f>
        <v>788</v>
      </c>
      <c r="J32" s="114">
        <f>'Raw FS'!K27</f>
        <v>956</v>
      </c>
      <c r="K32" s="114">
        <f>'Raw FS'!L27</f>
        <v>1151</v>
      </c>
    </row>
    <row r="33" spans="1:11">
      <c r="B33" s="95" t="str">
        <f>'Raw FS'!B28</f>
        <v>Intangible Assets</v>
      </c>
      <c r="C33" s="95"/>
      <c r="D33" s="95"/>
      <c r="E33" s="95"/>
      <c r="F33" s="95"/>
      <c r="G33" s="114">
        <f>'Raw FS'!H28</f>
        <v>114809</v>
      </c>
      <c r="H33" s="114">
        <f>'Raw FS'!I28</f>
        <v>114323</v>
      </c>
      <c r="I33" s="114">
        <f>'Raw FS'!J28</f>
        <v>112538</v>
      </c>
      <c r="J33" s="114">
        <f>'Raw FS'!K28</f>
        <v>116714</v>
      </c>
      <c r="K33" s="114">
        <f>'Raw FS'!L28</f>
        <v>93455</v>
      </c>
    </row>
    <row r="34" spans="1:11">
      <c r="B34" s="95" t="str">
        <f>'Raw FS'!B29</f>
        <v>Other fixed assets</v>
      </c>
      <c r="C34" s="95"/>
      <c r="D34" s="95"/>
      <c r="E34" s="95"/>
      <c r="F34" s="95"/>
      <c r="G34" s="114">
        <f>'Raw FS'!H29</f>
        <v>10686</v>
      </c>
      <c r="H34" s="114">
        <f>'Raw FS'!I29</f>
        <v>10870</v>
      </c>
      <c r="I34" s="114">
        <f>'Raw FS'!J29</f>
        <v>11841</v>
      </c>
      <c r="J34" s="114">
        <f>'Raw FS'!K29</f>
        <v>10657</v>
      </c>
      <c r="K34" s="114">
        <f>'Raw FS'!L29</f>
        <v>11044</v>
      </c>
    </row>
    <row r="35" spans="1:11" ht="3" customHeight="1">
      <c r="G35" s="117"/>
      <c r="H35" s="117"/>
      <c r="I35" s="117"/>
      <c r="J35" s="117"/>
      <c r="K35" s="117"/>
    </row>
    <row r="36" spans="1:11">
      <c r="B36" s="99" t="str">
        <f>'Raw FS'!B30</f>
        <v>Gross Block</v>
      </c>
      <c r="C36" s="99"/>
      <c r="D36" s="99"/>
      <c r="E36" s="99"/>
      <c r="F36" s="99"/>
      <c r="G36" s="116">
        <f>SUM(G26:G34)</f>
        <v>313692</v>
      </c>
      <c r="H36" s="116">
        <f t="shared" ref="H36:K36" si="3">SUM(H26:H34)</f>
        <v>324096</v>
      </c>
      <c r="I36" s="116">
        <f t="shared" si="3"/>
        <v>331141</v>
      </c>
      <c r="J36" s="116">
        <f t="shared" si="3"/>
        <v>334479</v>
      </c>
      <c r="K36" s="116">
        <f t="shared" si="3"/>
        <v>320000</v>
      </c>
    </row>
    <row r="37" spans="1:11">
      <c r="B37" t="str">
        <f>'Raw FS'!B31</f>
        <v>Accumulated Depreciation</v>
      </c>
      <c r="G37" s="117">
        <f>'Raw FS'!H31</f>
        <v>174985</v>
      </c>
      <c r="H37" s="117">
        <f>'Raw FS'!I31</f>
        <v>185241</v>
      </c>
      <c r="I37" s="117">
        <f>'Raw FS'!J31</f>
        <v>199062</v>
      </c>
      <c r="J37" s="117">
        <f>'Raw FS'!K31</f>
        <v>213194</v>
      </c>
      <c r="K37" s="117">
        <f>'Raw FS'!L31</f>
        <v>204303</v>
      </c>
    </row>
    <row r="38" spans="1:11" ht="15" thickBot="1">
      <c r="A38" s="2" t="s">
        <v>94</v>
      </c>
      <c r="B38" s="101" t="s">
        <v>269</v>
      </c>
      <c r="C38" s="101"/>
      <c r="D38" s="101"/>
      <c r="E38" s="101"/>
      <c r="F38" s="101"/>
      <c r="G38" s="119">
        <f>G36-G37</f>
        <v>138707</v>
      </c>
      <c r="H38" s="119">
        <f t="shared" ref="H38:K38" si="4">H36-H37</f>
        <v>138855</v>
      </c>
      <c r="I38" s="119">
        <f t="shared" si="4"/>
        <v>132079</v>
      </c>
      <c r="J38" s="119">
        <f t="shared" si="4"/>
        <v>121285</v>
      </c>
      <c r="K38" s="119">
        <f t="shared" si="4"/>
        <v>115697</v>
      </c>
    </row>
    <row r="39" spans="1:11">
      <c r="G39" s="117"/>
      <c r="H39" s="117"/>
      <c r="I39" s="117"/>
      <c r="J39" s="117"/>
      <c r="K39" s="117"/>
    </row>
    <row r="40" spans="1:11">
      <c r="A40" s="2" t="s">
        <v>94</v>
      </c>
      <c r="B40" s="2" t="s">
        <v>270</v>
      </c>
      <c r="C40" s="2"/>
      <c r="D40" s="2"/>
      <c r="E40" s="2"/>
      <c r="F40" s="2"/>
      <c r="G40" s="120">
        <f>G38+G23</f>
        <v>107563</v>
      </c>
      <c r="H40" s="120">
        <f t="shared" ref="H40:K40" si="5">H38+H23</f>
        <v>115833</v>
      </c>
      <c r="I40" s="120">
        <f t="shared" si="5"/>
        <v>109967</v>
      </c>
      <c r="J40" s="120">
        <f t="shared" si="5"/>
        <v>96633</v>
      </c>
      <c r="K40" s="120">
        <f t="shared" si="5"/>
        <v>52748</v>
      </c>
    </row>
    <row r="41" spans="1:11">
      <c r="B41" s="2" t="s">
        <v>271</v>
      </c>
      <c r="C41" s="2"/>
      <c r="D41" s="2"/>
      <c r="E41" s="2"/>
      <c r="F41" s="2"/>
      <c r="G41" s="120">
        <f>'Historical FS'!H33+'Historical FS'!H27</f>
        <v>8740.7200000000212</v>
      </c>
      <c r="H41" s="120">
        <f>'Historical FS'!I33+'Historical FS'!I27</f>
        <v>-115.60000000001673</v>
      </c>
      <c r="I41" s="120">
        <f>'Historical FS'!J33+'Historical FS'!J27</f>
        <v>6955.4399999999623</v>
      </c>
      <c r="J41" s="120">
        <f>'Historical FS'!K33+'Historical FS'!K27</f>
        <v>30585</v>
      </c>
      <c r="K41" s="120">
        <f>'Historical FS'!L33+'Historical FS'!L27</f>
        <v>31960</v>
      </c>
    </row>
    <row r="42" spans="1:11" ht="4" customHeight="1">
      <c r="B42" s="2"/>
      <c r="C42" s="2"/>
      <c r="D42" s="2"/>
      <c r="E42" s="2"/>
      <c r="F42" s="2"/>
      <c r="G42" s="120"/>
      <c r="H42" s="120"/>
      <c r="I42" s="120"/>
      <c r="J42" s="120"/>
      <c r="K42" s="120"/>
    </row>
    <row r="43" spans="1:11" ht="15" thickBot="1">
      <c r="A43" t="s">
        <v>94</v>
      </c>
      <c r="B43" s="101" t="s">
        <v>272</v>
      </c>
      <c r="C43" s="101"/>
      <c r="D43" s="101"/>
      <c r="E43" s="101"/>
      <c r="F43" s="101"/>
      <c r="G43" s="102">
        <f>G41/G40</f>
        <v>8.1261400295640884E-2</v>
      </c>
      <c r="H43" s="102">
        <f t="shared" ref="H43:K43" si="6">H41/H40</f>
        <v>-9.9798848342024069E-4</v>
      </c>
      <c r="I43" s="102">
        <f t="shared" si="6"/>
        <v>6.3250247801612869E-2</v>
      </c>
      <c r="J43" s="102">
        <f t="shared" si="6"/>
        <v>0.31650678339697619</v>
      </c>
      <c r="K43" s="102">
        <f t="shared" si="6"/>
        <v>0.6058997497535451</v>
      </c>
    </row>
    <row r="44" spans="1:11" ht="7" customHeight="1">
      <c r="B44" s="2"/>
      <c r="C44" s="2"/>
      <c r="D44" s="2"/>
      <c r="E44" s="2"/>
      <c r="F44" s="2"/>
      <c r="G44" s="120"/>
      <c r="H44" s="120"/>
      <c r="I44" s="120"/>
      <c r="J44" s="120"/>
      <c r="K44" s="120"/>
    </row>
    <row r="45" spans="1:11">
      <c r="G45" s="117"/>
      <c r="H45" s="117"/>
      <c r="I45" s="117"/>
      <c r="J45" s="117"/>
      <c r="K45" s="117"/>
    </row>
    <row r="46" spans="1:11">
      <c r="A46" s="2" t="s">
        <v>94</v>
      </c>
      <c r="B46" s="83" t="s">
        <v>273</v>
      </c>
      <c r="C46" s="83"/>
      <c r="D46" s="83"/>
      <c r="E46" s="83"/>
      <c r="F46" s="93"/>
      <c r="G46" s="84">
        <v>44256</v>
      </c>
      <c r="H46" s="84">
        <v>44621</v>
      </c>
      <c r="I46" s="84">
        <v>44986</v>
      </c>
      <c r="J46" s="84">
        <v>45352</v>
      </c>
      <c r="K46" s="84">
        <v>45717</v>
      </c>
    </row>
    <row r="47" spans="1:11" ht="3.5" customHeight="1">
      <c r="G47" s="117"/>
      <c r="H47" s="117"/>
      <c r="I47" s="117"/>
      <c r="J47" s="117"/>
      <c r="K47" s="117"/>
    </row>
    <row r="48" spans="1:11">
      <c r="B48" s="95" t="s">
        <v>274</v>
      </c>
      <c r="C48" s="95"/>
      <c r="D48" s="95"/>
      <c r="E48" s="95"/>
      <c r="F48" s="95"/>
      <c r="G48" s="114">
        <f>-SUM('Cash Flow Statement'!H22:H23)</f>
        <v>19854</v>
      </c>
      <c r="H48" s="114">
        <f>-SUM('Cash Flow Statement'!I22:I23)</f>
        <v>14938</v>
      </c>
      <c r="I48" s="114">
        <f>-SUM('Cash Flow Statement'!J22:J23)</f>
        <v>18945</v>
      </c>
      <c r="J48" s="114">
        <f>-SUM('Cash Flow Statement'!K22:K23)</f>
        <v>31183</v>
      </c>
      <c r="K48" s="114">
        <f>-SUM('Cash Flow Statement'!L22:L23)</f>
        <v>37068</v>
      </c>
    </row>
    <row r="49" spans="1:11">
      <c r="B49" s="95" t="s">
        <v>275</v>
      </c>
      <c r="C49" s="95"/>
      <c r="D49" s="95"/>
      <c r="E49" s="95"/>
      <c r="F49" s="95"/>
      <c r="G49" s="114"/>
      <c r="H49" s="114">
        <f>H23-G23</f>
        <v>8122</v>
      </c>
      <c r="I49" s="114">
        <f t="shared" ref="I49:K49" si="7">I23-H23</f>
        <v>910</v>
      </c>
      <c r="J49" s="114">
        <f t="shared" si="7"/>
        <v>-2540</v>
      </c>
      <c r="K49" s="114">
        <f t="shared" si="7"/>
        <v>-38297</v>
      </c>
    </row>
    <row r="50" spans="1:11">
      <c r="B50" s="95"/>
      <c r="C50" s="95"/>
      <c r="D50" s="95"/>
      <c r="E50" s="95"/>
      <c r="F50" s="95"/>
      <c r="G50" s="114"/>
      <c r="H50" s="114"/>
      <c r="I50" s="114"/>
      <c r="J50" s="114"/>
      <c r="K50" s="114"/>
    </row>
    <row r="51" spans="1:11">
      <c r="B51" s="95" t="s">
        <v>271</v>
      </c>
      <c r="C51" s="95"/>
      <c r="D51" s="95"/>
      <c r="E51" s="95"/>
      <c r="F51" s="95"/>
      <c r="G51" s="114">
        <f>G41</f>
        <v>8740.7200000000212</v>
      </c>
      <c r="H51" s="114">
        <f t="shared" ref="H51:K51" si="8">H41</f>
        <v>-115.60000000001673</v>
      </c>
      <c r="I51" s="114">
        <f t="shared" si="8"/>
        <v>6955.4399999999623</v>
      </c>
      <c r="J51" s="114">
        <f t="shared" si="8"/>
        <v>30585</v>
      </c>
      <c r="K51" s="114">
        <f t="shared" si="8"/>
        <v>31960</v>
      </c>
    </row>
    <row r="52" spans="1:11">
      <c r="B52" s="95" t="s">
        <v>276</v>
      </c>
      <c r="C52" s="95"/>
      <c r="D52" s="95"/>
      <c r="E52" s="95"/>
      <c r="F52" s="95"/>
      <c r="G52" s="121">
        <v>0.25</v>
      </c>
      <c r="H52" s="121">
        <v>0.25</v>
      </c>
      <c r="I52" s="121">
        <v>0.25</v>
      </c>
      <c r="J52" s="121">
        <v>0.25</v>
      </c>
      <c r="K52" s="121">
        <v>0.25</v>
      </c>
    </row>
    <row r="53" spans="1:11">
      <c r="B53" s="95" t="s">
        <v>278</v>
      </c>
      <c r="C53" s="95"/>
      <c r="D53" s="95"/>
      <c r="E53" s="95"/>
      <c r="F53" s="95"/>
      <c r="G53" s="122">
        <f>G51*(1-G52)</f>
        <v>6555.5400000000154</v>
      </c>
      <c r="H53" s="122">
        <f t="shared" ref="H53:K53" si="9">H51*(1-H52)</f>
        <v>-86.700000000012551</v>
      </c>
      <c r="I53" s="122">
        <f t="shared" si="9"/>
        <v>5216.5799999999717</v>
      </c>
      <c r="J53" s="122">
        <f t="shared" si="9"/>
        <v>22938.75</v>
      </c>
      <c r="K53" s="122">
        <f t="shared" si="9"/>
        <v>23970</v>
      </c>
    </row>
    <row r="54" spans="1:11">
      <c r="B54" s="95"/>
      <c r="C54" s="95"/>
      <c r="D54" s="95"/>
      <c r="E54" s="95"/>
      <c r="F54" s="95"/>
      <c r="G54" s="114"/>
      <c r="H54" s="114"/>
      <c r="I54" s="114"/>
      <c r="J54" s="114"/>
      <c r="K54" s="114"/>
    </row>
    <row r="55" spans="1:11">
      <c r="B55" s="95" t="s">
        <v>277</v>
      </c>
      <c r="C55" s="95"/>
      <c r="D55" s="95"/>
      <c r="E55" s="95"/>
      <c r="F55" s="95"/>
      <c r="G55" s="114"/>
      <c r="H55" s="114">
        <f>SUM(H48:H49)</f>
        <v>23060</v>
      </c>
      <c r="I55" s="114">
        <f t="shared" ref="I55:K55" si="10">SUM(I48:I49)</f>
        <v>19855</v>
      </c>
      <c r="J55" s="114">
        <f t="shared" si="10"/>
        <v>28643</v>
      </c>
      <c r="K55" s="114">
        <f t="shared" si="10"/>
        <v>-1229</v>
      </c>
    </row>
    <row r="56" spans="1:11" ht="4" customHeight="1">
      <c r="G56" s="117"/>
      <c r="H56" s="66"/>
      <c r="I56" s="66"/>
      <c r="J56" s="66"/>
      <c r="K56" s="66"/>
    </row>
    <row r="57" spans="1:11" ht="15" thickBot="1">
      <c r="B57" s="101" t="s">
        <v>279</v>
      </c>
      <c r="C57" s="101"/>
      <c r="D57" s="101"/>
      <c r="E57" s="101"/>
      <c r="F57" s="101"/>
      <c r="G57" s="102"/>
      <c r="H57" s="102">
        <f>H55/H53</f>
        <v>-265.97462514413684</v>
      </c>
      <c r="I57" s="102">
        <f t="shared" ref="I57:K57" si="11">I55/I53</f>
        <v>3.806133520429114</v>
      </c>
      <c r="J57" s="102">
        <f t="shared" si="11"/>
        <v>1.2486730968339601</v>
      </c>
      <c r="K57" s="102">
        <f t="shared" si="11"/>
        <v>-5.1272423863162289E-2</v>
      </c>
    </row>
    <row r="58" spans="1:11" ht="4.5" customHeight="1">
      <c r="G58" s="117"/>
      <c r="H58" s="117"/>
      <c r="I58" s="117"/>
      <c r="J58" s="117"/>
      <c r="K58" s="117"/>
    </row>
    <row r="59" spans="1:11">
      <c r="G59" s="117"/>
      <c r="H59" s="117"/>
      <c r="I59" s="117"/>
      <c r="J59" s="123" t="s">
        <v>280</v>
      </c>
      <c r="K59" s="124">
        <f>AVERAGE(H57:K57)</f>
        <v>-65.242772737684234</v>
      </c>
    </row>
    <row r="60" spans="1:11">
      <c r="G60" s="117"/>
      <c r="H60" s="117"/>
      <c r="I60" s="117"/>
      <c r="J60" s="123" t="s">
        <v>281</v>
      </c>
      <c r="K60" s="124">
        <f>MEDIAN(H57:K57)</f>
        <v>0.59870033648539889</v>
      </c>
    </row>
    <row r="61" spans="1:11" ht="8" customHeight="1">
      <c r="G61" s="117"/>
      <c r="H61" s="117"/>
      <c r="I61" s="117"/>
      <c r="J61" s="117"/>
      <c r="K61" s="117"/>
    </row>
    <row r="62" spans="1:11">
      <c r="A62" s="2" t="s">
        <v>94</v>
      </c>
      <c r="B62" s="83" t="s">
        <v>282</v>
      </c>
      <c r="C62" s="83"/>
      <c r="D62" s="83"/>
      <c r="E62" s="83"/>
      <c r="F62" s="93"/>
      <c r="G62" s="84">
        <v>44256</v>
      </c>
      <c r="H62" s="84">
        <v>44621</v>
      </c>
      <c r="I62" s="84">
        <v>44986</v>
      </c>
      <c r="J62" s="84">
        <v>45352</v>
      </c>
      <c r="K62" s="84">
        <v>45717</v>
      </c>
    </row>
    <row r="63" spans="1:11" ht="4" customHeight="1">
      <c r="G63" s="117"/>
      <c r="H63" s="117"/>
      <c r="I63" s="117"/>
      <c r="J63" s="117"/>
      <c r="K63" s="117"/>
    </row>
    <row r="64" spans="1:11">
      <c r="B64" s="95" t="s">
        <v>279</v>
      </c>
      <c r="C64" s="95"/>
      <c r="D64" s="95"/>
      <c r="E64" s="95"/>
      <c r="F64" s="95"/>
      <c r="G64" s="125"/>
      <c r="H64" s="125">
        <f>H57</f>
        <v>-265.97462514413684</v>
      </c>
      <c r="I64" s="125">
        <f t="shared" ref="I64:K64" si="12">I57</f>
        <v>3.806133520429114</v>
      </c>
      <c r="J64" s="125">
        <f t="shared" si="12"/>
        <v>1.2486730968339601</v>
      </c>
      <c r="K64" s="125">
        <f t="shared" si="12"/>
        <v>-5.1272423863162289E-2</v>
      </c>
    </row>
    <row r="65" spans="2:11">
      <c r="B65" s="95" t="s">
        <v>272</v>
      </c>
      <c r="C65" s="95"/>
      <c r="D65" s="95"/>
      <c r="E65" s="95"/>
      <c r="F65" s="95"/>
      <c r="G65" s="125"/>
      <c r="H65" s="125">
        <f>H43</f>
        <v>-9.9798848342024069E-4</v>
      </c>
      <c r="I65" s="125">
        <f t="shared" ref="I65:K65" si="13">I43</f>
        <v>6.3250247801612869E-2</v>
      </c>
      <c r="J65" s="125">
        <f t="shared" si="13"/>
        <v>0.31650678339697619</v>
      </c>
      <c r="K65" s="125">
        <f t="shared" si="13"/>
        <v>0.6058997497535451</v>
      </c>
    </row>
    <row r="66" spans="2:11" ht="5" customHeight="1">
      <c r="G66" s="117"/>
      <c r="H66" s="117"/>
      <c r="I66" s="117"/>
      <c r="J66" s="117"/>
      <c r="K66" s="117"/>
    </row>
    <row r="67" spans="2:11" ht="15" thickBot="1">
      <c r="B67" s="101" t="s">
        <v>283</v>
      </c>
      <c r="C67" s="101"/>
      <c r="D67" s="101"/>
      <c r="E67" s="101"/>
      <c r="F67" s="101"/>
      <c r="G67" s="119"/>
      <c r="H67" s="102">
        <f>H64*H65</f>
        <v>0.26543961277586414</v>
      </c>
      <c r="I67" s="102">
        <f t="shared" ref="I67:K67" si="14">I64*I65</f>
        <v>0.24073888833316662</v>
      </c>
      <c r="J67" s="102">
        <f t="shared" si="14"/>
        <v>0.39521350539325767</v>
      </c>
      <c r="K67" s="102">
        <f t="shared" si="14"/>
        <v>-3.1065948787947724E-2</v>
      </c>
    </row>
    <row r="68" spans="2:11" ht="5" customHeight="1">
      <c r="G68" s="117"/>
      <c r="H68" s="117"/>
      <c r="I68" s="117"/>
      <c r="J68" s="117"/>
      <c r="K68" s="117"/>
    </row>
    <row r="69" spans="2:11">
      <c r="G69" s="117"/>
      <c r="H69" s="117"/>
      <c r="I69" s="117"/>
      <c r="J69" s="123" t="s">
        <v>280</v>
      </c>
      <c r="K69" s="124">
        <f>AVERAGE(H67:K67)</f>
        <v>0.21758151442858517</v>
      </c>
    </row>
    <row r="70" spans="2:11">
      <c r="G70" s="117"/>
      <c r="H70" s="117"/>
      <c r="I70" s="117"/>
      <c r="J70" s="123" t="s">
        <v>281</v>
      </c>
      <c r="K70" s="124">
        <f>MEDIAN(H67:K67)</f>
        <v>0.25308925055451537</v>
      </c>
    </row>
    <row r="71" spans="2:11">
      <c r="G71" s="117"/>
      <c r="H71" s="117"/>
      <c r="I71" s="117"/>
      <c r="J71" s="117"/>
      <c r="K71" s="117"/>
    </row>
    <row r="72" spans="2:11">
      <c r="G72" s="117"/>
      <c r="H72" s="117"/>
      <c r="I72" s="117"/>
      <c r="J72" s="117"/>
      <c r="K72" s="117"/>
    </row>
    <row r="73" spans="2:11">
      <c r="G73" s="117"/>
      <c r="H73" s="117"/>
      <c r="I73" s="117"/>
      <c r="J73" s="117"/>
      <c r="K73" s="117"/>
    </row>
    <row r="74" spans="2:11">
      <c r="G74" s="67"/>
      <c r="H74" s="67"/>
      <c r="I74" s="67"/>
      <c r="J74" s="67"/>
      <c r="K74" s="67"/>
    </row>
    <row r="75" spans="2:11">
      <c r="G75" s="67"/>
      <c r="H75" s="67"/>
      <c r="I75" s="67"/>
      <c r="J75" s="67"/>
      <c r="K75" s="67"/>
    </row>
  </sheetData>
  <phoneticPr fontId="50" type="noConversion"/>
  <pageMargins left="0.7" right="0.7" top="0.75" bottom="0.75" header="0.3" footer="0.3"/>
  <pageSetup scale="77" orientation="portrait" r:id="rId1"/>
  <ignoredErrors>
    <ignoredError sqref="G13:K13" formulaRange="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D3D93-58AF-42CF-90D6-E5E62334F811}">
  <sheetPr codeName="Sheet15"/>
  <dimension ref="A2:N51"/>
  <sheetViews>
    <sheetView showGridLines="0" zoomScale="99" workbookViewId="0">
      <selection activeCell="B2" sqref="B2"/>
    </sheetView>
  </sheetViews>
  <sheetFormatPr defaultRowHeight="14.5"/>
  <cols>
    <col min="1" max="1" width="1.90625" customWidth="1"/>
    <col min="2" max="2" width="23.90625" bestFit="1" customWidth="1"/>
    <col min="3" max="12" width="12.81640625" customWidth="1"/>
  </cols>
  <sheetData>
    <row r="2" spans="1:13">
      <c r="B2" s="368" t="s">
        <v>1600</v>
      </c>
    </row>
    <row r="4" spans="1:13">
      <c r="B4" s="83" t="s">
        <v>226</v>
      </c>
      <c r="C4" s="84">
        <v>42430</v>
      </c>
      <c r="D4" s="84">
        <v>42795</v>
      </c>
      <c r="E4" s="84">
        <v>43160</v>
      </c>
      <c r="F4" s="84">
        <v>43525</v>
      </c>
      <c r="G4" s="84">
        <v>43891</v>
      </c>
      <c r="H4" s="84">
        <v>44256</v>
      </c>
      <c r="I4" s="84">
        <v>44621</v>
      </c>
      <c r="J4" s="84">
        <v>44986</v>
      </c>
      <c r="K4" s="84">
        <v>45352</v>
      </c>
      <c r="L4" s="84">
        <v>45717</v>
      </c>
    </row>
    <row r="5" spans="1:13">
      <c r="A5" s="48"/>
      <c r="B5" s="85"/>
      <c r="C5" s="86"/>
      <c r="D5" s="86"/>
      <c r="E5" s="86"/>
      <c r="F5" s="86"/>
      <c r="G5" s="86"/>
      <c r="H5" s="86"/>
      <c r="I5" s="86"/>
      <c r="J5" s="86"/>
      <c r="K5" s="86"/>
      <c r="L5" s="86"/>
      <c r="M5" s="48"/>
    </row>
    <row r="6" spans="1:13">
      <c r="B6" s="87" t="s">
        <v>228</v>
      </c>
      <c r="C6" s="103">
        <v>679</v>
      </c>
      <c r="D6" s="103">
        <v>679</v>
      </c>
      <c r="E6" s="103">
        <v>679</v>
      </c>
      <c r="F6" s="103">
        <v>679</v>
      </c>
      <c r="G6" s="103">
        <v>720</v>
      </c>
      <c r="H6" s="103">
        <v>766</v>
      </c>
      <c r="I6" s="103">
        <v>766</v>
      </c>
      <c r="J6" s="103">
        <v>766</v>
      </c>
      <c r="K6" s="103">
        <v>767</v>
      </c>
      <c r="L6" s="103">
        <v>736</v>
      </c>
    </row>
    <row r="7" spans="1:13">
      <c r="B7" s="87" t="s">
        <v>25</v>
      </c>
      <c r="C7" s="103">
        <v>78273</v>
      </c>
      <c r="D7" s="103">
        <v>57383</v>
      </c>
      <c r="E7" s="103">
        <v>94749</v>
      </c>
      <c r="F7" s="103">
        <v>59500</v>
      </c>
      <c r="G7" s="103">
        <v>62359</v>
      </c>
      <c r="H7" s="103">
        <v>54481</v>
      </c>
      <c r="I7" s="103">
        <v>43795</v>
      </c>
      <c r="J7" s="103">
        <v>44556</v>
      </c>
      <c r="K7" s="103">
        <v>84151</v>
      </c>
      <c r="L7" s="103">
        <v>115408</v>
      </c>
    </row>
    <row r="8" spans="1:13">
      <c r="B8" s="87" t="s">
        <v>256</v>
      </c>
      <c r="C8" s="104"/>
      <c r="D8" s="104"/>
      <c r="E8" s="104"/>
      <c r="F8" s="104"/>
      <c r="G8" s="104"/>
      <c r="H8" s="104"/>
      <c r="I8" s="104"/>
      <c r="J8" s="104"/>
      <c r="K8" s="104"/>
      <c r="L8" s="104"/>
    </row>
    <row r="9" spans="1:13">
      <c r="B9" s="88" t="s">
        <v>229</v>
      </c>
      <c r="C9" s="103">
        <v>50510</v>
      </c>
      <c r="D9" s="103">
        <v>60629</v>
      </c>
      <c r="E9" s="103">
        <v>61200</v>
      </c>
      <c r="F9" s="103">
        <v>70818</v>
      </c>
      <c r="G9" s="103">
        <v>83316</v>
      </c>
      <c r="H9" s="103">
        <v>93113</v>
      </c>
      <c r="I9" s="103">
        <v>97759</v>
      </c>
      <c r="J9" s="103">
        <v>88696</v>
      </c>
      <c r="K9" s="103">
        <v>62149</v>
      </c>
      <c r="L9" s="103">
        <v>40217</v>
      </c>
    </row>
    <row r="10" spans="1:13">
      <c r="B10" s="88" t="s">
        <v>230</v>
      </c>
      <c r="C10" s="103">
        <v>11451</v>
      </c>
      <c r="D10" s="103">
        <v>13860</v>
      </c>
      <c r="E10" s="103">
        <v>16795</v>
      </c>
      <c r="F10" s="103">
        <v>20150</v>
      </c>
      <c r="G10" s="103">
        <v>16363</v>
      </c>
      <c r="H10" s="103">
        <v>42792</v>
      </c>
      <c r="I10" s="103">
        <v>41918</v>
      </c>
      <c r="J10" s="103">
        <v>36965</v>
      </c>
      <c r="K10" s="103">
        <v>36352</v>
      </c>
      <c r="L10" s="103">
        <v>22282</v>
      </c>
    </row>
    <row r="11" spans="1:13">
      <c r="B11" s="88" t="s">
        <v>231</v>
      </c>
      <c r="C11" s="103">
        <v>0</v>
      </c>
      <c r="D11" s="103">
        <v>0</v>
      </c>
      <c r="E11" s="103">
        <v>0</v>
      </c>
      <c r="F11" s="103">
        <v>173</v>
      </c>
      <c r="G11" s="103">
        <v>5977</v>
      </c>
      <c r="H11" s="103">
        <v>6226</v>
      </c>
      <c r="I11" s="103">
        <v>6772</v>
      </c>
      <c r="J11" s="103">
        <v>8453</v>
      </c>
      <c r="K11" s="103">
        <v>8763</v>
      </c>
      <c r="L11" s="103">
        <v>9041</v>
      </c>
    </row>
    <row r="12" spans="1:13">
      <c r="B12" s="88" t="s">
        <v>232</v>
      </c>
      <c r="C12" s="103">
        <v>7399</v>
      </c>
      <c r="D12" s="103">
        <v>4115</v>
      </c>
      <c r="E12" s="103">
        <v>10956</v>
      </c>
      <c r="F12" s="103">
        <v>15034</v>
      </c>
      <c r="G12" s="103">
        <v>19132</v>
      </c>
      <c r="H12" s="103">
        <v>0</v>
      </c>
      <c r="I12" s="103">
        <v>0</v>
      </c>
      <c r="J12" s="103">
        <v>0</v>
      </c>
      <c r="K12" s="103">
        <v>0</v>
      </c>
      <c r="L12" s="103">
        <v>0</v>
      </c>
    </row>
    <row r="13" spans="1:13">
      <c r="B13" s="87" t="s">
        <v>257</v>
      </c>
      <c r="C13" s="104"/>
      <c r="D13" s="104"/>
      <c r="E13" s="104"/>
      <c r="F13" s="104"/>
      <c r="G13" s="104"/>
      <c r="H13" s="104"/>
      <c r="I13" s="104"/>
      <c r="J13" s="104"/>
      <c r="K13" s="104"/>
      <c r="L13" s="104"/>
    </row>
    <row r="14" spans="1:13">
      <c r="B14" s="88" t="s">
        <v>233</v>
      </c>
      <c r="C14" s="103">
        <v>433</v>
      </c>
      <c r="D14" s="103">
        <v>453</v>
      </c>
      <c r="E14" s="103">
        <v>525</v>
      </c>
      <c r="F14" s="103">
        <v>523</v>
      </c>
      <c r="G14" s="103">
        <v>814</v>
      </c>
      <c r="H14" s="103">
        <v>1573</v>
      </c>
      <c r="I14" s="103">
        <v>4271</v>
      </c>
      <c r="J14" s="103">
        <v>7278</v>
      </c>
      <c r="K14" s="103">
        <v>8176</v>
      </c>
      <c r="L14" s="103">
        <v>6610</v>
      </c>
    </row>
    <row r="15" spans="1:13">
      <c r="B15" s="88" t="s">
        <v>234</v>
      </c>
      <c r="C15" s="103">
        <v>61562</v>
      </c>
      <c r="D15" s="103">
        <v>62533</v>
      </c>
      <c r="E15" s="103">
        <v>76940</v>
      </c>
      <c r="F15" s="103">
        <v>71691</v>
      </c>
      <c r="G15" s="103">
        <v>66398</v>
      </c>
      <c r="H15" s="103">
        <v>76040</v>
      </c>
      <c r="I15" s="103">
        <v>69750</v>
      </c>
      <c r="J15" s="103">
        <v>79252</v>
      </c>
      <c r="K15" s="103">
        <v>93978</v>
      </c>
      <c r="L15" s="103">
        <v>97368</v>
      </c>
    </row>
    <row r="16" spans="1:13">
      <c r="B16" s="88" t="s">
        <v>235</v>
      </c>
      <c r="C16" s="103">
        <v>2165</v>
      </c>
      <c r="D16" s="103">
        <v>1711</v>
      </c>
      <c r="E16" s="103">
        <v>0</v>
      </c>
      <c r="F16" s="103">
        <v>0</v>
      </c>
      <c r="G16" s="103">
        <v>0</v>
      </c>
      <c r="H16" s="103">
        <v>0</v>
      </c>
      <c r="I16" s="103">
        <v>0</v>
      </c>
      <c r="J16" s="103">
        <v>0</v>
      </c>
      <c r="K16" s="103">
        <v>0</v>
      </c>
      <c r="L16" s="103">
        <v>0</v>
      </c>
    </row>
    <row r="17" spans="2:13">
      <c r="B17" s="88" t="s">
        <v>236</v>
      </c>
      <c r="C17" s="105">
        <v>50712</v>
      </c>
      <c r="D17" s="105">
        <v>71218</v>
      </c>
      <c r="E17" s="105">
        <v>65349</v>
      </c>
      <c r="F17" s="105">
        <v>67135</v>
      </c>
      <c r="G17" s="105">
        <v>65101</v>
      </c>
      <c r="H17" s="105">
        <v>66579</v>
      </c>
      <c r="I17" s="105">
        <v>64030</v>
      </c>
      <c r="J17" s="105">
        <v>68710</v>
      </c>
      <c r="K17" s="105">
        <v>75185</v>
      </c>
      <c r="L17" s="105">
        <v>85311</v>
      </c>
    </row>
    <row r="18" spans="2:13">
      <c r="B18" s="90" t="s">
        <v>118</v>
      </c>
      <c r="C18" s="106">
        <v>263184</v>
      </c>
      <c r="D18" s="106">
        <v>272580</v>
      </c>
      <c r="E18" s="106">
        <v>327192</v>
      </c>
      <c r="F18" s="106">
        <v>305703</v>
      </c>
      <c r="G18" s="106">
        <v>320179</v>
      </c>
      <c r="H18" s="106">
        <v>341570</v>
      </c>
      <c r="I18" s="106">
        <v>329061</v>
      </c>
      <c r="J18" s="106">
        <v>334674</v>
      </c>
      <c r="K18" s="106">
        <v>369521</v>
      </c>
      <c r="L18" s="106">
        <v>376973</v>
      </c>
    </row>
    <row r="19" spans="2:13">
      <c r="B19" s="89"/>
      <c r="C19" s="107"/>
      <c r="D19" s="107"/>
      <c r="E19" s="107"/>
      <c r="F19" s="107"/>
      <c r="G19" s="107"/>
      <c r="H19" s="107"/>
      <c r="I19" s="107"/>
      <c r="J19" s="107"/>
      <c r="K19" s="107"/>
      <c r="L19" s="107"/>
      <c r="M19" s="48"/>
    </row>
    <row r="20" spans="2:13">
      <c r="B20" s="87" t="s">
        <v>258</v>
      </c>
      <c r="C20" s="107"/>
      <c r="D20" s="107"/>
      <c r="E20" s="107"/>
      <c r="F20" s="107"/>
      <c r="G20" s="107"/>
      <c r="H20" s="107"/>
      <c r="I20" s="107"/>
      <c r="J20" s="107"/>
      <c r="K20" s="107"/>
      <c r="L20" s="107"/>
      <c r="M20" s="48"/>
    </row>
    <row r="21" spans="2:13">
      <c r="B21" s="88" t="s">
        <v>237</v>
      </c>
      <c r="C21" s="108">
        <v>7185</v>
      </c>
      <c r="D21" s="108">
        <v>6762</v>
      </c>
      <c r="E21" s="108">
        <v>7339</v>
      </c>
      <c r="F21" s="108">
        <v>7286</v>
      </c>
      <c r="G21" s="108">
        <v>7675</v>
      </c>
      <c r="H21" s="108">
        <v>7819</v>
      </c>
      <c r="I21" s="108">
        <v>7760</v>
      </c>
      <c r="J21" s="108">
        <v>8045</v>
      </c>
      <c r="K21" s="108">
        <v>7996</v>
      </c>
      <c r="L21" s="108">
        <v>7900</v>
      </c>
      <c r="M21" s="48"/>
    </row>
    <row r="22" spans="2:13">
      <c r="B22" s="88" t="s">
        <v>238</v>
      </c>
      <c r="C22" s="108">
        <v>12343</v>
      </c>
      <c r="D22" s="108">
        <v>12164</v>
      </c>
      <c r="E22" s="108">
        <v>16552</v>
      </c>
      <c r="F22" s="108">
        <v>22938</v>
      </c>
      <c r="G22" s="108">
        <v>32665</v>
      </c>
      <c r="H22" s="108">
        <v>35537</v>
      </c>
      <c r="I22" s="108">
        <v>36466</v>
      </c>
      <c r="J22" s="108">
        <v>38674</v>
      </c>
      <c r="K22" s="108">
        <v>40583</v>
      </c>
      <c r="L22" s="108">
        <v>44662</v>
      </c>
      <c r="M22" s="48"/>
    </row>
    <row r="23" spans="2:13">
      <c r="B23" s="88" t="s">
        <v>239</v>
      </c>
      <c r="C23" s="108">
        <v>80063</v>
      </c>
      <c r="D23" s="108">
        <v>79976</v>
      </c>
      <c r="E23" s="108">
        <v>100226</v>
      </c>
      <c r="F23" s="108">
        <v>109415</v>
      </c>
      <c r="G23" s="108">
        <v>124158</v>
      </c>
      <c r="H23" s="108">
        <v>138868</v>
      </c>
      <c r="I23" s="108">
        <v>148585</v>
      </c>
      <c r="J23" s="108">
        <v>153672</v>
      </c>
      <c r="K23" s="108">
        <v>151877</v>
      </c>
      <c r="L23" s="108">
        <v>155939</v>
      </c>
      <c r="M23" s="48"/>
    </row>
    <row r="24" spans="2:13">
      <c r="B24" s="88" t="s">
        <v>240</v>
      </c>
      <c r="C24" s="108">
        <v>498</v>
      </c>
      <c r="D24" s="108">
        <v>0</v>
      </c>
      <c r="E24" s="108">
        <v>0</v>
      </c>
      <c r="F24" s="108">
        <v>0</v>
      </c>
      <c r="G24" s="108">
        <v>0</v>
      </c>
      <c r="H24" s="108">
        <v>0</v>
      </c>
      <c r="I24" s="108">
        <v>0</v>
      </c>
      <c r="J24" s="108">
        <v>0</v>
      </c>
      <c r="K24" s="108">
        <v>0</v>
      </c>
      <c r="L24" s="108">
        <v>0</v>
      </c>
      <c r="M24" s="48"/>
    </row>
    <row r="25" spans="2:13">
      <c r="B25" s="88" t="s">
        <v>241</v>
      </c>
      <c r="C25" s="108">
        <v>1634</v>
      </c>
      <c r="D25" s="108">
        <v>1767</v>
      </c>
      <c r="E25" s="108">
        <v>1943</v>
      </c>
      <c r="F25" s="108">
        <v>2335</v>
      </c>
      <c r="G25" s="108">
        <v>3054</v>
      </c>
      <c r="H25" s="108">
        <v>3172</v>
      </c>
      <c r="I25" s="108">
        <v>3383</v>
      </c>
      <c r="J25" s="108">
        <v>3499</v>
      </c>
      <c r="K25" s="108">
        <v>3667</v>
      </c>
      <c r="L25" s="108">
        <v>3879</v>
      </c>
      <c r="M25" s="48"/>
    </row>
    <row r="26" spans="2:13">
      <c r="B26" s="88" t="s">
        <v>242</v>
      </c>
      <c r="C26" s="108">
        <v>1241</v>
      </c>
      <c r="D26" s="108">
        <v>1401</v>
      </c>
      <c r="E26" s="108">
        <v>1430</v>
      </c>
      <c r="F26" s="108">
        <v>1626</v>
      </c>
      <c r="G26" s="108">
        <v>1890</v>
      </c>
      <c r="H26" s="108">
        <v>1956</v>
      </c>
      <c r="I26" s="108">
        <v>1984</v>
      </c>
      <c r="J26" s="108">
        <v>2084</v>
      </c>
      <c r="K26" s="108">
        <v>2029</v>
      </c>
      <c r="L26" s="108">
        <v>1970</v>
      </c>
      <c r="M26" s="48"/>
    </row>
    <row r="27" spans="2:13">
      <c r="B27" s="88" t="s">
        <v>243</v>
      </c>
      <c r="C27" s="108">
        <v>280</v>
      </c>
      <c r="D27" s="108">
        <v>291</v>
      </c>
      <c r="E27" s="108">
        <v>353</v>
      </c>
      <c r="F27" s="108">
        <v>387</v>
      </c>
      <c r="G27" s="108">
        <v>601</v>
      </c>
      <c r="H27" s="108">
        <v>845</v>
      </c>
      <c r="I27" s="108">
        <v>725</v>
      </c>
      <c r="J27" s="108">
        <v>788</v>
      </c>
      <c r="K27" s="108">
        <v>956</v>
      </c>
      <c r="L27" s="108">
        <v>1151</v>
      </c>
      <c r="M27" s="48"/>
    </row>
    <row r="28" spans="2:13">
      <c r="B28" s="88" t="s">
        <v>244</v>
      </c>
      <c r="C28" s="108">
        <v>58951</v>
      </c>
      <c r="D28" s="108">
        <v>54932</v>
      </c>
      <c r="E28" s="108">
        <v>77870</v>
      </c>
      <c r="F28" s="108">
        <v>80480</v>
      </c>
      <c r="G28" s="108">
        <v>91157</v>
      </c>
      <c r="H28" s="108">
        <v>114809</v>
      </c>
      <c r="I28" s="108">
        <v>114323</v>
      </c>
      <c r="J28" s="108">
        <v>112538</v>
      </c>
      <c r="K28" s="108">
        <v>116714</v>
      </c>
      <c r="L28" s="108">
        <v>93455</v>
      </c>
      <c r="M28" s="48"/>
    </row>
    <row r="29" spans="2:13">
      <c r="B29" s="88" t="s">
        <v>245</v>
      </c>
      <c r="C29" s="108">
        <v>6746</v>
      </c>
      <c r="D29" s="108">
        <v>6219</v>
      </c>
      <c r="E29" s="108">
        <v>7497</v>
      </c>
      <c r="F29" s="108">
        <v>8049</v>
      </c>
      <c r="G29" s="108">
        <v>9380</v>
      </c>
      <c r="H29" s="108">
        <v>10686</v>
      </c>
      <c r="I29" s="108">
        <v>10870</v>
      </c>
      <c r="J29" s="108">
        <v>11841</v>
      </c>
      <c r="K29" s="108">
        <v>10657</v>
      </c>
      <c r="L29" s="108">
        <v>11044</v>
      </c>
      <c r="M29" s="48"/>
    </row>
    <row r="30" spans="2:13">
      <c r="B30" s="87" t="s">
        <v>246</v>
      </c>
      <c r="C30" s="109">
        <v>168941</v>
      </c>
      <c r="D30" s="109">
        <v>163512</v>
      </c>
      <c r="E30" s="109">
        <v>213209</v>
      </c>
      <c r="F30" s="109">
        <v>232517</v>
      </c>
      <c r="G30" s="109">
        <v>270579</v>
      </c>
      <c r="H30" s="109">
        <v>313692</v>
      </c>
      <c r="I30" s="109">
        <v>324096</v>
      </c>
      <c r="J30" s="109">
        <v>331141</v>
      </c>
      <c r="K30" s="109">
        <v>334479</v>
      </c>
      <c r="L30" s="109">
        <v>320000</v>
      </c>
      <c r="M30" s="48"/>
    </row>
    <row r="31" spans="2:13">
      <c r="B31" s="87" t="s">
        <v>247</v>
      </c>
      <c r="C31" s="110">
        <v>61709</v>
      </c>
      <c r="D31" s="110">
        <v>67568</v>
      </c>
      <c r="E31" s="110">
        <v>91795</v>
      </c>
      <c r="F31" s="110">
        <v>121283</v>
      </c>
      <c r="G31" s="110">
        <v>143471</v>
      </c>
      <c r="H31" s="110">
        <v>174985</v>
      </c>
      <c r="I31" s="110">
        <v>185241</v>
      </c>
      <c r="J31" s="110">
        <v>199062</v>
      </c>
      <c r="K31" s="110">
        <v>213194</v>
      </c>
      <c r="L31" s="110">
        <v>204303</v>
      </c>
      <c r="M31" s="48"/>
    </row>
    <row r="32" spans="2:13">
      <c r="B32" s="91" t="s">
        <v>27</v>
      </c>
      <c r="C32" s="111">
        <f>C30-C31</f>
        <v>107232</v>
      </c>
      <c r="D32" s="111">
        <f t="shared" ref="D32:L32" si="0">D30-D31</f>
        <v>95944</v>
      </c>
      <c r="E32" s="111">
        <f t="shared" si="0"/>
        <v>121414</v>
      </c>
      <c r="F32" s="111">
        <f t="shared" si="0"/>
        <v>111234</v>
      </c>
      <c r="G32" s="111">
        <f t="shared" si="0"/>
        <v>127108</v>
      </c>
      <c r="H32" s="111">
        <f t="shared" si="0"/>
        <v>138707</v>
      </c>
      <c r="I32" s="111">
        <f t="shared" si="0"/>
        <v>138855</v>
      </c>
      <c r="J32" s="111">
        <f t="shared" si="0"/>
        <v>132079</v>
      </c>
      <c r="K32" s="111">
        <f t="shared" si="0"/>
        <v>121285</v>
      </c>
      <c r="L32" s="111">
        <f t="shared" si="0"/>
        <v>115697</v>
      </c>
      <c r="M32" s="48"/>
    </row>
    <row r="33" spans="2:14">
      <c r="B33" s="87"/>
      <c r="C33" s="112"/>
      <c r="D33" s="112"/>
      <c r="E33" s="112"/>
      <c r="F33" s="112"/>
      <c r="G33" s="112"/>
      <c r="H33" s="112"/>
      <c r="I33" s="112"/>
      <c r="J33" s="112"/>
      <c r="K33" s="112"/>
      <c r="L33" s="112"/>
      <c r="M33" s="48"/>
    </row>
    <row r="34" spans="2:14">
      <c r="B34" s="87" t="s">
        <v>248</v>
      </c>
      <c r="C34" s="108">
        <v>25919</v>
      </c>
      <c r="D34" s="108">
        <v>33699</v>
      </c>
      <c r="E34" s="108">
        <v>40034</v>
      </c>
      <c r="F34" s="108">
        <v>31884</v>
      </c>
      <c r="G34" s="108">
        <v>35622</v>
      </c>
      <c r="H34" s="108">
        <v>20964</v>
      </c>
      <c r="I34" s="108">
        <v>10251</v>
      </c>
      <c r="J34" s="108">
        <v>14274</v>
      </c>
      <c r="K34" s="108">
        <v>35698</v>
      </c>
      <c r="L34" s="108">
        <v>65806</v>
      </c>
      <c r="M34" s="48"/>
    </row>
    <row r="35" spans="2:14">
      <c r="B35" s="87" t="s">
        <v>29</v>
      </c>
      <c r="C35" s="108">
        <v>23767</v>
      </c>
      <c r="D35" s="108">
        <v>20338</v>
      </c>
      <c r="E35" s="108">
        <v>20813</v>
      </c>
      <c r="F35" s="108">
        <v>15771</v>
      </c>
      <c r="G35" s="108">
        <v>16308</v>
      </c>
      <c r="H35" s="108">
        <v>24620</v>
      </c>
      <c r="I35" s="108">
        <v>29380</v>
      </c>
      <c r="J35" s="108">
        <v>26379</v>
      </c>
      <c r="K35" s="108">
        <v>22971</v>
      </c>
      <c r="L35" s="108">
        <v>35656</v>
      </c>
      <c r="M35" s="48"/>
    </row>
    <row r="36" spans="2:14">
      <c r="B36" s="87"/>
      <c r="C36" s="113"/>
      <c r="D36" s="113"/>
      <c r="E36" s="113"/>
      <c r="F36" s="113"/>
      <c r="G36" s="113"/>
      <c r="H36" s="113"/>
      <c r="I36" s="113"/>
      <c r="J36" s="113"/>
      <c r="K36" s="113"/>
      <c r="L36" s="113"/>
      <c r="M36" s="48"/>
    </row>
    <row r="37" spans="2:14">
      <c r="B37" s="87" t="s">
        <v>259</v>
      </c>
      <c r="C37" s="107"/>
      <c r="D37" s="107"/>
      <c r="E37" s="107"/>
      <c r="F37" s="107"/>
      <c r="G37" s="107"/>
      <c r="H37" s="107"/>
      <c r="I37" s="107"/>
      <c r="J37" s="107"/>
      <c r="K37" s="107"/>
      <c r="L37" s="107"/>
      <c r="M37" s="48"/>
    </row>
    <row r="38" spans="2:14">
      <c r="B38" s="88" t="s">
        <v>249</v>
      </c>
      <c r="C38" s="108">
        <v>32656</v>
      </c>
      <c r="D38" s="108">
        <v>35085</v>
      </c>
      <c r="E38" s="108">
        <v>42138</v>
      </c>
      <c r="F38" s="108">
        <v>39014</v>
      </c>
      <c r="G38" s="108">
        <v>37457</v>
      </c>
      <c r="H38" s="108">
        <v>36089</v>
      </c>
      <c r="I38" s="108">
        <v>35240</v>
      </c>
      <c r="J38" s="108">
        <v>40755</v>
      </c>
      <c r="K38" s="108">
        <v>47788</v>
      </c>
      <c r="L38" s="108">
        <v>47269</v>
      </c>
      <c r="M38" s="48"/>
      <c r="N38" s="34"/>
    </row>
    <row r="39" spans="2:14">
      <c r="B39" s="88" t="s">
        <v>260</v>
      </c>
      <c r="C39" s="109"/>
      <c r="D39" s="109"/>
      <c r="E39" s="109"/>
      <c r="F39" s="109"/>
      <c r="G39" s="109"/>
      <c r="H39" s="109"/>
      <c r="I39" s="109"/>
      <c r="J39" s="109"/>
      <c r="K39" s="109"/>
      <c r="L39" s="109"/>
      <c r="M39" s="48"/>
    </row>
    <row r="40" spans="2:14">
      <c r="B40" s="88" t="s">
        <v>250</v>
      </c>
      <c r="C40" s="108">
        <v>0</v>
      </c>
      <c r="D40" s="108">
        <v>0</v>
      </c>
      <c r="E40" s="108">
        <v>0</v>
      </c>
      <c r="F40" s="108">
        <v>0</v>
      </c>
      <c r="G40" s="108">
        <v>0</v>
      </c>
      <c r="H40" s="108">
        <v>0</v>
      </c>
      <c r="I40" s="108">
        <v>0</v>
      </c>
      <c r="J40" s="108">
        <v>1534</v>
      </c>
      <c r="K40" s="108">
        <v>1438</v>
      </c>
      <c r="L40" s="108">
        <v>1590</v>
      </c>
      <c r="M40" s="48"/>
    </row>
    <row r="41" spans="2:14">
      <c r="B41" s="88" t="s">
        <v>251</v>
      </c>
      <c r="C41" s="108">
        <v>14845</v>
      </c>
      <c r="D41" s="108">
        <v>14076</v>
      </c>
      <c r="E41" s="108">
        <v>19893</v>
      </c>
      <c r="F41" s="108">
        <v>18996</v>
      </c>
      <c r="G41" s="108">
        <v>12287</v>
      </c>
      <c r="H41" s="108">
        <v>13668</v>
      </c>
      <c r="I41" s="108">
        <v>13294</v>
      </c>
      <c r="J41" s="108">
        <v>15129</v>
      </c>
      <c r="K41" s="108">
        <v>16265</v>
      </c>
      <c r="L41" s="108">
        <v>12408</v>
      </c>
      <c r="M41" s="48"/>
    </row>
    <row r="42" spans="2:14">
      <c r="B42" s="88" t="s">
        <v>254</v>
      </c>
      <c r="C42" s="108">
        <v>-1274</v>
      </c>
      <c r="D42" s="108">
        <v>0</v>
      </c>
      <c r="E42" s="108">
        <v>0</v>
      </c>
      <c r="F42" s="108">
        <v>0</v>
      </c>
      <c r="G42" s="108">
        <v>-1114</v>
      </c>
      <c r="H42" s="108">
        <v>-989</v>
      </c>
      <c r="I42" s="108">
        <v>-852</v>
      </c>
      <c r="J42" s="108">
        <v>-925</v>
      </c>
      <c r="K42" s="108">
        <v>-751</v>
      </c>
      <c r="L42" s="108">
        <v>-750</v>
      </c>
      <c r="M42" s="48"/>
    </row>
    <row r="43" spans="2:14">
      <c r="B43" s="88" t="s">
        <v>252</v>
      </c>
      <c r="C43" s="108">
        <v>30460</v>
      </c>
      <c r="D43" s="108">
        <v>36078</v>
      </c>
      <c r="E43" s="108">
        <v>34614</v>
      </c>
      <c r="F43" s="108">
        <v>32649</v>
      </c>
      <c r="G43" s="108">
        <v>33727</v>
      </c>
      <c r="H43" s="108">
        <v>46792</v>
      </c>
      <c r="I43" s="108">
        <v>40669</v>
      </c>
      <c r="J43" s="108">
        <v>37016</v>
      </c>
      <c r="K43" s="108">
        <v>45807</v>
      </c>
      <c r="L43" s="108">
        <v>40834</v>
      </c>
      <c r="M43" s="48"/>
    </row>
    <row r="44" spans="2:14">
      <c r="B44" s="88" t="s">
        <v>255</v>
      </c>
      <c r="C44" s="108">
        <v>2072</v>
      </c>
      <c r="D44" s="108">
        <v>1816</v>
      </c>
      <c r="E44" s="108">
        <v>4066</v>
      </c>
      <c r="F44" s="108">
        <v>3620</v>
      </c>
      <c r="G44" s="108">
        <v>3353</v>
      </c>
      <c r="H44" s="108">
        <v>4520</v>
      </c>
      <c r="I44" s="108">
        <v>4583</v>
      </c>
      <c r="J44" s="108">
        <v>-4029</v>
      </c>
      <c r="K44" s="108">
        <v>-1743</v>
      </c>
      <c r="L44" s="108">
        <v>7552</v>
      </c>
      <c r="M44" s="48"/>
    </row>
    <row r="45" spans="2:14">
      <c r="B45" s="88" t="s">
        <v>253</v>
      </c>
      <c r="C45" s="110">
        <v>27508</v>
      </c>
      <c r="D45" s="110">
        <v>35544</v>
      </c>
      <c r="E45" s="110">
        <v>44221</v>
      </c>
      <c r="F45" s="110">
        <v>52535</v>
      </c>
      <c r="G45" s="110">
        <v>55432</v>
      </c>
      <c r="H45" s="110">
        <v>57198</v>
      </c>
      <c r="I45" s="110">
        <v>57641</v>
      </c>
      <c r="J45" s="110">
        <v>72461</v>
      </c>
      <c r="K45" s="110">
        <v>80763</v>
      </c>
      <c r="L45" s="110">
        <v>50911</v>
      </c>
      <c r="M45" s="48"/>
    </row>
    <row r="46" spans="2:14">
      <c r="B46" s="92" t="s">
        <v>121</v>
      </c>
      <c r="C46" s="106">
        <v>263184</v>
      </c>
      <c r="D46" s="106">
        <v>272580</v>
      </c>
      <c r="E46" s="106">
        <v>327192</v>
      </c>
      <c r="F46" s="106">
        <v>305703</v>
      </c>
      <c r="G46" s="106">
        <v>320179</v>
      </c>
      <c r="H46" s="106">
        <v>341570</v>
      </c>
      <c r="I46" s="106">
        <v>329061</v>
      </c>
      <c r="J46" s="106">
        <v>334674</v>
      </c>
      <c r="K46" s="106">
        <v>369521</v>
      </c>
      <c r="L46" s="106">
        <v>376973</v>
      </c>
      <c r="M46" s="48"/>
    </row>
    <row r="47" spans="2:14">
      <c r="B47" s="48"/>
      <c r="C47" s="48"/>
      <c r="D47" s="48"/>
      <c r="E47" s="48"/>
      <c r="F47" s="48"/>
      <c r="G47" s="48"/>
      <c r="H47" s="48"/>
      <c r="I47" s="48"/>
      <c r="J47" s="48"/>
      <c r="K47" s="48"/>
      <c r="L47" s="48"/>
      <c r="M47" s="48"/>
    </row>
    <row r="48" spans="2:14">
      <c r="B48" s="48"/>
      <c r="C48" s="48"/>
      <c r="D48" s="48"/>
      <c r="E48" s="48"/>
      <c r="F48" s="48"/>
      <c r="G48" s="48"/>
      <c r="H48" s="48"/>
      <c r="I48" s="48"/>
      <c r="J48" s="48"/>
      <c r="K48" s="48"/>
      <c r="L48" s="48"/>
      <c r="M48" s="48"/>
    </row>
    <row r="49" spans="2:13">
      <c r="B49" s="48"/>
      <c r="C49" s="48"/>
      <c r="D49" s="48"/>
      <c r="E49" s="48"/>
      <c r="F49" s="48"/>
      <c r="G49" s="48"/>
      <c r="H49" s="48"/>
      <c r="I49" s="48"/>
      <c r="J49" s="48"/>
      <c r="K49" s="48"/>
      <c r="L49" s="48"/>
      <c r="M49" s="48"/>
    </row>
    <row r="50" spans="2:13">
      <c r="B50" s="48"/>
      <c r="C50" s="48"/>
      <c r="D50" s="48"/>
      <c r="E50" s="48"/>
      <c r="F50" s="48"/>
      <c r="G50" s="48"/>
      <c r="H50" s="48"/>
      <c r="I50" s="48"/>
      <c r="J50" s="48"/>
      <c r="K50" s="48"/>
      <c r="L50" s="48"/>
      <c r="M50" s="48"/>
    </row>
    <row r="51" spans="2:13">
      <c r="B51" s="48"/>
      <c r="C51" s="48"/>
      <c r="D51" s="48"/>
      <c r="E51" s="48"/>
      <c r="F51" s="48"/>
      <c r="G51" s="48"/>
      <c r="H51" s="48"/>
      <c r="I51" s="48"/>
      <c r="J51" s="48"/>
      <c r="K51" s="48"/>
      <c r="L51" s="48"/>
      <c r="M51" s="48"/>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3C7D-C147-4E0F-8EC2-50961CC3155A}">
  <sheetPr codeName="Sheet14">
    <pageSetUpPr fitToPage="1"/>
  </sheetPr>
  <dimension ref="A1:L48"/>
  <sheetViews>
    <sheetView showGridLines="0" zoomScale="82" workbookViewId="0">
      <selection sqref="A1:L49"/>
    </sheetView>
  </sheetViews>
  <sheetFormatPr defaultRowHeight="14.5" outlineLevelRow="1"/>
  <cols>
    <col min="1" max="1" width="1.90625" customWidth="1"/>
    <col min="5" max="5" width="12.81640625" customWidth="1"/>
    <col min="6" max="11" width="11.7265625" customWidth="1"/>
    <col min="12" max="12" width="3.7265625" customWidth="1"/>
  </cols>
  <sheetData>
    <row r="1" spans="1:12">
      <c r="A1" s="273"/>
      <c r="B1" s="361"/>
      <c r="C1" s="361"/>
      <c r="D1" s="361"/>
      <c r="E1" s="361"/>
      <c r="F1" s="361"/>
      <c r="G1" s="361"/>
      <c r="H1" s="361"/>
      <c r="I1" s="361"/>
      <c r="J1" s="93"/>
      <c r="K1" s="93"/>
      <c r="L1" s="273"/>
    </row>
    <row r="2" spans="1:12" ht="5" customHeight="1">
      <c r="A2" s="273"/>
      <c r="B2" s="273"/>
      <c r="C2" s="273"/>
      <c r="D2" s="273"/>
      <c r="E2" s="273"/>
      <c r="F2" s="273"/>
      <c r="G2" s="273"/>
      <c r="H2" s="273"/>
      <c r="I2" s="273"/>
      <c r="L2" s="273"/>
    </row>
    <row r="3" spans="1:12" ht="22.5" customHeight="1">
      <c r="A3" s="273"/>
      <c r="B3" s="362" t="str">
        <f>'Data Sheet'!B1</f>
        <v>TATA MOTORS LTD</v>
      </c>
      <c r="C3" s="273"/>
      <c r="D3" s="273"/>
      <c r="E3" s="273"/>
      <c r="F3" s="273"/>
      <c r="G3" s="273"/>
      <c r="H3" s="273"/>
      <c r="I3" s="273"/>
      <c r="L3" s="273"/>
    </row>
    <row r="4" spans="1:12">
      <c r="A4" s="273"/>
      <c r="B4" s="274" t="s">
        <v>460</v>
      </c>
      <c r="C4" s="273"/>
      <c r="D4" s="273"/>
      <c r="E4" s="273"/>
      <c r="F4" s="273"/>
      <c r="G4" s="273"/>
      <c r="H4" s="273"/>
      <c r="I4" s="273"/>
      <c r="L4" s="273"/>
    </row>
    <row r="5" spans="1:12" ht="18.5">
      <c r="A5" s="273"/>
      <c r="B5" s="363" t="s">
        <v>461</v>
      </c>
      <c r="C5" s="273"/>
      <c r="D5" s="273"/>
      <c r="E5" s="273"/>
      <c r="F5" s="273"/>
      <c r="G5" s="273"/>
      <c r="H5" s="273"/>
      <c r="I5" s="273"/>
      <c r="L5" s="273"/>
    </row>
    <row r="6" spans="1:12">
      <c r="A6" s="273"/>
      <c r="B6" s="279" t="s">
        <v>463</v>
      </c>
      <c r="C6" s="273"/>
      <c r="D6" s="273"/>
      <c r="E6" s="273"/>
      <c r="F6" s="273"/>
      <c r="G6" s="273"/>
      <c r="H6" s="273"/>
      <c r="I6" s="273"/>
      <c r="L6" s="273"/>
    </row>
    <row r="7" spans="1:12" ht="4" customHeight="1" thickBot="1">
      <c r="A7" s="273"/>
      <c r="B7" s="393"/>
      <c r="C7" s="393"/>
      <c r="D7" s="393"/>
      <c r="E7" s="393"/>
      <c r="F7" s="393"/>
      <c r="G7" s="393"/>
      <c r="H7" s="393"/>
      <c r="I7" s="393"/>
      <c r="J7" s="397"/>
      <c r="K7" s="397"/>
      <c r="L7" s="273"/>
    </row>
    <row r="8" spans="1:12" ht="8" customHeight="1"/>
    <row r="9" spans="1:12">
      <c r="B9" s="83" t="s">
        <v>284</v>
      </c>
      <c r="C9" s="83"/>
      <c r="D9" s="83"/>
      <c r="E9" s="83"/>
      <c r="F9" s="127">
        <v>45717</v>
      </c>
      <c r="G9" s="128">
        <f>F9+366</f>
        <v>46083</v>
      </c>
      <c r="H9" s="128">
        <f t="shared" ref="H9:K9" si="0">G9+366</f>
        <v>46449</v>
      </c>
      <c r="I9" s="128">
        <f t="shared" si="0"/>
        <v>46815</v>
      </c>
      <c r="J9" s="128">
        <f t="shared" si="0"/>
        <v>47181</v>
      </c>
      <c r="K9" s="128">
        <f t="shared" si="0"/>
        <v>47547</v>
      </c>
    </row>
    <row r="10" spans="1:12" ht="5" customHeight="1"/>
    <row r="11" spans="1:12">
      <c r="B11" s="129" t="s">
        <v>271</v>
      </c>
      <c r="C11" s="129"/>
      <c r="D11" s="129"/>
      <c r="E11" s="129"/>
      <c r="F11" s="130">
        <f>'Data Sheet'!K34</f>
        <v>43734</v>
      </c>
      <c r="G11" s="131">
        <f>F11*(1+$E$21)</f>
        <v>54802.605283751182</v>
      </c>
      <c r="H11" s="131">
        <f t="shared" ref="H11:K11" si="1">G11*(1+$E$21)</f>
        <v>68672.555583450696</v>
      </c>
      <c r="I11" s="131">
        <f t="shared" si="1"/>
        <v>86052.841209729537</v>
      </c>
      <c r="J11" s="131">
        <f t="shared" si="1"/>
        <v>107831.89029958671</v>
      </c>
      <c r="K11" s="131">
        <f t="shared" si="1"/>
        <v>135122.98260138583</v>
      </c>
    </row>
    <row r="12" spans="1:12">
      <c r="B12" s="129" t="s">
        <v>285</v>
      </c>
      <c r="C12" s="129"/>
      <c r="D12" s="129"/>
      <c r="E12" s="129"/>
      <c r="F12" s="132">
        <v>0.25</v>
      </c>
      <c r="G12" s="133">
        <f>F12</f>
        <v>0.25</v>
      </c>
      <c r="H12" s="133">
        <f t="shared" ref="H12:K12" si="2">G12</f>
        <v>0.25</v>
      </c>
      <c r="I12" s="133">
        <f t="shared" si="2"/>
        <v>0.25</v>
      </c>
      <c r="J12" s="133">
        <f t="shared" si="2"/>
        <v>0.25</v>
      </c>
      <c r="K12" s="133">
        <f t="shared" si="2"/>
        <v>0.25</v>
      </c>
    </row>
    <row r="13" spans="1:12">
      <c r="B13" s="129" t="s">
        <v>286</v>
      </c>
      <c r="C13" s="129"/>
      <c r="D13" s="129"/>
      <c r="E13" s="129"/>
      <c r="F13" s="130">
        <f t="shared" ref="F13:G13" si="3">F11*(1-F12)</f>
        <v>32800.5</v>
      </c>
      <c r="G13" s="131">
        <f t="shared" si="3"/>
        <v>41101.953962813386</v>
      </c>
      <c r="H13" s="131">
        <f t="shared" ref="H13" si="4">H11*(1-H12)</f>
        <v>51504.416687588018</v>
      </c>
      <c r="I13" s="131">
        <f t="shared" ref="I13" si="5">I11*(1-I12)</f>
        <v>64539.630907297149</v>
      </c>
      <c r="J13" s="131">
        <f t="shared" ref="J13" si="6">J11*(1-J12)</f>
        <v>80873.917724690036</v>
      </c>
      <c r="K13" s="131">
        <f t="shared" ref="K13" si="7">K11*(1-K12)</f>
        <v>101342.23695103938</v>
      </c>
    </row>
    <row r="14" spans="1:12" outlineLevel="1">
      <c r="B14" s="129" t="s">
        <v>287</v>
      </c>
      <c r="C14" s="129"/>
      <c r="D14" s="129"/>
      <c r="E14" s="129"/>
      <c r="F14" s="134">
        <f>'Intrinsic Growth'!K60</f>
        <v>0.59870033648539889</v>
      </c>
      <c r="G14" s="134">
        <f>F14</f>
        <v>0.59870033648539889</v>
      </c>
      <c r="H14" s="134">
        <f t="shared" ref="H14:K14" si="8">G14</f>
        <v>0.59870033648539889</v>
      </c>
      <c r="I14" s="134">
        <f t="shared" si="8"/>
        <v>0.59870033648539889</v>
      </c>
      <c r="J14" s="134">
        <f t="shared" si="8"/>
        <v>0.59870033648539889</v>
      </c>
      <c r="K14" s="134">
        <f t="shared" si="8"/>
        <v>0.59870033648539889</v>
      </c>
    </row>
    <row r="15" spans="1:12" outlineLevel="1">
      <c r="B15" s="129" t="s">
        <v>288</v>
      </c>
      <c r="C15" s="129"/>
      <c r="D15" s="129"/>
      <c r="E15" s="129"/>
      <c r="F15" s="130">
        <f>F13*(1-F14)</f>
        <v>13162.829613110674</v>
      </c>
      <c r="G15" s="130">
        <f t="shared" ref="G15:K15" si="9">G13*(1-G14)</f>
        <v>16494.200295069637</v>
      </c>
      <c r="H15" s="130">
        <f t="shared" si="9"/>
        <v>20668.705086244878</v>
      </c>
      <c r="I15" s="130">
        <f t="shared" si="9"/>
        <v>25899.732166454894</v>
      </c>
      <c r="J15" s="130">
        <f t="shared" si="9"/>
        <v>32454.675970025648</v>
      </c>
      <c r="K15" s="130">
        <f t="shared" si="9"/>
        <v>40668.605588269078</v>
      </c>
    </row>
    <row r="16" spans="1:12" outlineLevel="1">
      <c r="B16" s="129" t="s">
        <v>289</v>
      </c>
      <c r="C16" s="129"/>
      <c r="D16" s="129"/>
      <c r="E16" s="129"/>
      <c r="F16" s="135"/>
      <c r="G16" s="136">
        <v>0.5</v>
      </c>
      <c r="H16" s="129">
        <f>+G16+1</f>
        <v>1.5</v>
      </c>
      <c r="I16" s="129">
        <f t="shared" ref="I16:K16" si="10">+H16+1</f>
        <v>2.5</v>
      </c>
      <c r="J16" s="129">
        <f t="shared" si="10"/>
        <v>3.5</v>
      </c>
      <c r="K16" s="129">
        <f t="shared" si="10"/>
        <v>4.5</v>
      </c>
    </row>
    <row r="17" spans="2:11">
      <c r="B17" s="129" t="s">
        <v>290</v>
      </c>
      <c r="C17" s="129"/>
      <c r="D17" s="129"/>
      <c r="E17" s="129"/>
      <c r="F17" s="135"/>
      <c r="G17" s="137">
        <f>1/(1+$E$23)^G16</f>
        <v>0.92907059321646501</v>
      </c>
      <c r="H17" s="137">
        <f t="shared" ref="H17:K17" si="11">1/(1+$E$23)^H16</f>
        <v>0.80194787740948736</v>
      </c>
      <c r="I17" s="137">
        <f t="shared" si="11"/>
        <v>0.69221908730862269</v>
      </c>
      <c r="J17" s="137">
        <f>1/(1+$E$23)^J16</f>
        <v>0.59750424975526473</v>
      </c>
      <c r="K17" s="137">
        <f t="shared" si="11"/>
        <v>0.51574903816026929</v>
      </c>
    </row>
    <row r="18" spans="2:11" ht="3.5" customHeight="1">
      <c r="F18" s="138"/>
    </row>
    <row r="19" spans="2:11" ht="15" thickBot="1">
      <c r="B19" s="139" t="s">
        <v>291</v>
      </c>
      <c r="C19" s="139"/>
      <c r="D19" s="139"/>
      <c r="E19" s="139"/>
      <c r="F19" s="140"/>
      <c r="G19" s="141">
        <f>G15*G17</f>
        <v>15324.276452771539</v>
      </c>
      <c r="H19" s="141">
        <f t="shared" ref="H19:K19" si="12">H15*H17</f>
        <v>16575.224172716757</v>
      </c>
      <c r="I19" s="141">
        <f t="shared" si="12"/>
        <v>17928.288961801183</v>
      </c>
      <c r="J19" s="141">
        <f t="shared" si="12"/>
        <v>19391.806816520395</v>
      </c>
      <c r="K19" s="141">
        <f t="shared" si="12"/>
        <v>20974.79421546913</v>
      </c>
    </row>
    <row r="21" spans="2:11">
      <c r="B21" s="142" t="s">
        <v>292</v>
      </c>
      <c r="C21" s="142"/>
      <c r="D21" s="142"/>
      <c r="E21" s="71">
        <f>'Intrinsic Growth'!K70</f>
        <v>0.25308925055451537</v>
      </c>
    </row>
    <row r="22" spans="2:11">
      <c r="B22" s="142" t="s">
        <v>293</v>
      </c>
      <c r="C22" s="142"/>
      <c r="D22" s="142"/>
      <c r="E22" s="71">
        <v>3.5000000000000003E-2</v>
      </c>
    </row>
    <row r="23" spans="2:11">
      <c r="B23" s="142" t="s">
        <v>294</v>
      </c>
      <c r="C23" s="142"/>
      <c r="D23" s="142"/>
      <c r="E23" s="71">
        <f>WACC!J50</f>
        <v>0.15851742910975603</v>
      </c>
    </row>
    <row r="25" spans="2:11">
      <c r="B25" s="143" t="s">
        <v>295</v>
      </c>
      <c r="C25" s="93"/>
      <c r="D25" s="93"/>
      <c r="E25" s="93"/>
      <c r="G25" s="143" t="s">
        <v>427</v>
      </c>
      <c r="H25" s="93"/>
      <c r="I25" s="93"/>
      <c r="J25" s="93"/>
      <c r="K25" s="143"/>
    </row>
    <row r="26" spans="2:11">
      <c r="G26" s="239">
        <f>E38</f>
        <v>302984.51549017802</v>
      </c>
      <c r="H26" s="16">
        <v>0.14000000000000001</v>
      </c>
      <c r="I26" s="16">
        <v>0.1585</v>
      </c>
      <c r="J26" s="16">
        <v>0.18</v>
      </c>
      <c r="K26" s="16">
        <v>0.2</v>
      </c>
    </row>
    <row r="27" spans="2:11">
      <c r="B27" t="s">
        <v>296</v>
      </c>
      <c r="E27" s="76">
        <f>K15*(1+E21)</f>
        <v>50961.392497701279</v>
      </c>
      <c r="G27" s="240">
        <v>0.02</v>
      </c>
      <c r="H27" s="67">
        <f t="dataTable" ref="H27:K31" dt2D="1" dtr="1" r1="E28" r2="E29"/>
        <v>309221.80031925731</v>
      </c>
      <c r="I27" s="67">
        <v>279965.43151456706</v>
      </c>
      <c r="J27" s="67">
        <v>254464.94789426276</v>
      </c>
      <c r="K27" s="67">
        <v>236212.66375259787</v>
      </c>
    </row>
    <row r="28" spans="2:11">
      <c r="B28" t="s">
        <v>294</v>
      </c>
      <c r="E28" s="5">
        <f>E23</f>
        <v>0.15851742910975603</v>
      </c>
      <c r="G28" s="240">
        <v>0.03</v>
      </c>
      <c r="H28" s="67">
        <v>329133.38301925536</v>
      </c>
      <c r="I28" s="67">
        <v>294733.60590330546</v>
      </c>
      <c r="J28" s="67">
        <v>265416.31837926165</v>
      </c>
      <c r="K28" s="67">
        <v>244801.97393691074</v>
      </c>
    </row>
    <row r="29" spans="2:11">
      <c r="B29" t="s">
        <v>297</v>
      </c>
      <c r="E29" s="5">
        <f>E22</f>
        <v>3.5000000000000003E-2</v>
      </c>
      <c r="G29" s="240">
        <v>3.5000000000000003E-2</v>
      </c>
      <c r="H29" s="67">
        <v>340511.43027639703</v>
      </c>
      <c r="I29" s="241">
        <v>303014.545793347</v>
      </c>
      <c r="J29" s="67">
        <v>271458.45381926105</v>
      </c>
      <c r="K29" s="67">
        <v>249487.05221926322</v>
      </c>
    </row>
    <row r="30" spans="2:11">
      <c r="G30" s="240">
        <v>0.04</v>
      </c>
      <c r="H30" s="67">
        <v>353027.28225925297</v>
      </c>
      <c r="I30" s="67">
        <v>311994.29917621904</v>
      </c>
      <c r="J30" s="67">
        <v>277932.17036211758</v>
      </c>
      <c r="K30" s="67">
        <v>254464.94789426276</v>
      </c>
    </row>
    <row r="31" spans="2:11" ht="15" thickBot="1">
      <c r="B31" s="139" t="s">
        <v>298</v>
      </c>
      <c r="C31" s="139"/>
      <c r="D31" s="139"/>
      <c r="E31" s="141">
        <f>E27/(E28-E29)</f>
        <v>412584.62765135465</v>
      </c>
      <c r="G31" s="240">
        <v>4.4999999999999998E-2</v>
      </c>
      <c r="H31" s="67">
        <v>366860.59234556736</v>
      </c>
      <c r="I31" s="67">
        <v>321765.22025802254</v>
      </c>
      <c r="J31" s="67">
        <v>284885.42146370414</v>
      </c>
      <c r="K31" s="67">
        <v>259763.99812893962</v>
      </c>
    </row>
    <row r="33" spans="2:11" ht="3" customHeight="1"/>
    <row r="34" spans="2:11">
      <c r="B34" s="143" t="s">
        <v>299</v>
      </c>
      <c r="C34" s="93"/>
      <c r="D34" s="93"/>
      <c r="E34" s="93"/>
      <c r="G34" s="143" t="s">
        <v>428</v>
      </c>
      <c r="H34" s="93"/>
      <c r="I34" s="93"/>
      <c r="J34" s="93"/>
      <c r="K34" s="143"/>
    </row>
    <row r="35" spans="2:11">
      <c r="G35" s="239">
        <f>E45</f>
        <v>764.10006459293345</v>
      </c>
      <c r="H35" s="16">
        <v>0.14000000000000001</v>
      </c>
      <c r="I35" s="16">
        <v>0.1585</v>
      </c>
      <c r="J35" s="16">
        <v>0.18</v>
      </c>
      <c r="K35" s="16">
        <v>0.2</v>
      </c>
    </row>
    <row r="36" spans="2:11">
      <c r="B36" t="s">
        <v>291</v>
      </c>
      <c r="E36" s="76">
        <f>SUM(G19:K19)</f>
        <v>90194.390619279002</v>
      </c>
      <c r="G36" s="240">
        <v>2.5000000000000001E-2</v>
      </c>
      <c r="H36" s="67">
        <f t="dataTable" ref="H36:K40" dt2D="1" dtr="1" r1="E28" r2="E29" ca="1"/>
        <v>806.90684179920947</v>
      </c>
      <c r="I36" s="67">
        <v>720.88223205639474</v>
      </c>
      <c r="J36" s="67">
        <v>646.70756855539753</v>
      </c>
      <c r="K36" s="67">
        <v>594.07066448957346</v>
      </c>
    </row>
    <row r="37" spans="2:11" ht="3.5" customHeight="1">
      <c r="B37" t="s">
        <v>300</v>
      </c>
      <c r="E37" s="76">
        <f>E31*K17</f>
        <v>212790.12487089902</v>
      </c>
      <c r="G37" s="240">
        <v>0.03</v>
      </c>
      <c r="H37" s="67">
        <v>835.12375924556284</v>
      </c>
      <c r="I37" s="67">
        <v>741.68953065861103</v>
      </c>
      <c r="J37" s="67">
        <v>662.05999890792953</v>
      </c>
      <c r="K37" s="67">
        <v>606.06878232810686</v>
      </c>
    </row>
    <row r="38" spans="2:11">
      <c r="B38" s="78" t="s">
        <v>301</v>
      </c>
      <c r="C38" s="78"/>
      <c r="D38" s="78"/>
      <c r="E38" s="74">
        <f>SUM(E36:E37)</f>
        <v>302984.51549017802</v>
      </c>
      <c r="G38" s="240">
        <v>3.5000000000000003E-2</v>
      </c>
      <c r="H38" s="67">
        <v>866.02800216299727</v>
      </c>
      <c r="I38" s="241">
        <v>764.18163076707947</v>
      </c>
      <c r="J38" s="67">
        <v>678.47121756063609</v>
      </c>
      <c r="K38" s="67">
        <v>618.79405882352114</v>
      </c>
    </row>
    <row r="39" spans="2:11">
      <c r="E39" s="76"/>
      <c r="G39" s="240">
        <v>0.04</v>
      </c>
      <c r="H39" s="67">
        <v>900.0226693721753</v>
      </c>
      <c r="I39" s="67">
        <v>788.57179839524997</v>
      </c>
      <c r="J39" s="67">
        <v>696.05466611710756</v>
      </c>
      <c r="K39" s="67">
        <v>632.31466509989878</v>
      </c>
    </row>
    <row r="40" spans="2:11">
      <c r="B40" t="s">
        <v>302</v>
      </c>
      <c r="E40" s="76">
        <f>'Data Sheet'!K70</f>
        <v>40834</v>
      </c>
      <c r="G40" s="240">
        <v>4.4999999999999998E-2</v>
      </c>
      <c r="H40" s="67">
        <v>937.59572260337188</v>
      </c>
      <c r="I40" s="67">
        <v>815.11087947083638</v>
      </c>
      <c r="J40" s="67">
        <v>714.94059234442852</v>
      </c>
      <c r="K40" s="67">
        <v>646.70756855539753</v>
      </c>
    </row>
    <row r="41" spans="2:11">
      <c r="B41" t="s">
        <v>303</v>
      </c>
      <c r="E41" s="76">
        <f>SUM('Raw FS'!L9:L10)</f>
        <v>62499</v>
      </c>
    </row>
    <row r="42" spans="2:11">
      <c r="B42" s="78" t="s">
        <v>304</v>
      </c>
      <c r="C42" s="78"/>
      <c r="D42" s="78"/>
      <c r="E42" s="74">
        <f>E38+E40-E41</f>
        <v>281319.51549017802</v>
      </c>
    </row>
    <row r="43" spans="2:11">
      <c r="B43" t="s">
        <v>305</v>
      </c>
      <c r="C43" s="78"/>
      <c r="D43" s="78"/>
      <c r="E43" s="76">
        <f>'Data Sheet'!B6</f>
        <v>368.17104005880191</v>
      </c>
    </row>
    <row r="44" spans="2:11" ht="2.5" customHeight="1"/>
    <row r="45" spans="2:11" ht="15" thickBot="1">
      <c r="B45" s="139" t="s">
        <v>306</v>
      </c>
      <c r="C45" s="139"/>
      <c r="D45" s="139"/>
      <c r="E45" s="141">
        <f>E42/E43</f>
        <v>764.10006459293345</v>
      </c>
    </row>
    <row r="47" spans="2:11">
      <c r="B47" t="s">
        <v>307</v>
      </c>
      <c r="E47">
        <v>676</v>
      </c>
    </row>
    <row r="48" spans="2:11">
      <c r="B48" t="s">
        <v>308</v>
      </c>
      <c r="E48" s="144">
        <f>E47/E45</f>
        <v>0.88470088058444563</v>
      </c>
    </row>
  </sheetData>
  <pageMargins left="0.7" right="0.7" top="0.75" bottom="0.75" header="0.3" footer="0.3"/>
  <pageSetup scale="78" orientation="portrait" r:id="rId1"/>
  <ignoredErrors>
    <ignoredError sqref="E41" formulaRange="1"/>
  </ignoredError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91557-8D62-40C0-9945-36977BA37896}">
  <sheetPr>
    <pageSetUpPr fitToPage="1"/>
  </sheetPr>
  <dimension ref="A1:R39"/>
  <sheetViews>
    <sheetView showGridLines="0" zoomScale="72" workbookViewId="0">
      <selection sqref="A1:Q38"/>
    </sheetView>
  </sheetViews>
  <sheetFormatPr defaultRowHeight="14.5"/>
  <cols>
    <col min="1" max="1" width="1.90625" customWidth="1"/>
    <col min="2" max="2" width="40.36328125" bestFit="1" customWidth="1"/>
    <col min="3" max="3" width="12.6328125" bestFit="1" customWidth="1"/>
    <col min="4" max="17" width="11.81640625" customWidth="1"/>
  </cols>
  <sheetData>
    <row r="1" spans="1:18">
      <c r="A1" s="273"/>
      <c r="B1" s="361"/>
      <c r="C1" s="361"/>
      <c r="D1" s="361"/>
      <c r="E1" s="361"/>
      <c r="F1" s="361"/>
      <c r="G1" s="361"/>
      <c r="H1" s="361"/>
      <c r="I1" s="361"/>
      <c r="J1" s="93"/>
      <c r="K1" s="93"/>
      <c r="L1" s="93"/>
      <c r="M1" s="93"/>
      <c r="N1" s="93"/>
      <c r="O1" s="93"/>
      <c r="P1" s="93"/>
      <c r="Q1" s="93"/>
      <c r="R1" s="190"/>
    </row>
    <row r="2" spans="1:18" ht="3" customHeight="1">
      <c r="A2" s="273"/>
      <c r="B2" s="273"/>
      <c r="C2" s="273"/>
      <c r="D2" s="273"/>
      <c r="E2" s="273"/>
      <c r="F2" s="273"/>
      <c r="G2" s="273"/>
      <c r="H2" s="273"/>
      <c r="I2" s="273"/>
      <c r="R2" s="190"/>
    </row>
    <row r="3" spans="1:18" ht="23" customHeight="1">
      <c r="A3" s="273"/>
      <c r="B3" s="362" t="str">
        <f>'Data Sheet'!B1</f>
        <v>TATA MOTORS LTD</v>
      </c>
      <c r="C3" s="273"/>
      <c r="D3" s="273"/>
      <c r="E3" s="273"/>
      <c r="F3" s="273"/>
      <c r="G3" s="273"/>
      <c r="H3" s="273"/>
      <c r="I3" s="273"/>
      <c r="R3" s="190"/>
    </row>
    <row r="4" spans="1:18" ht="12.5" customHeight="1">
      <c r="A4" s="273"/>
      <c r="B4" s="274" t="s">
        <v>460</v>
      </c>
      <c r="C4" s="273"/>
      <c r="D4" s="273"/>
      <c r="E4" s="273"/>
      <c r="F4" s="273"/>
      <c r="G4" s="273"/>
      <c r="H4" s="273"/>
      <c r="I4" s="273"/>
      <c r="R4" s="190"/>
    </row>
    <row r="5" spans="1:18" ht="17" customHeight="1">
      <c r="A5" s="273"/>
      <c r="B5" s="363" t="s">
        <v>461</v>
      </c>
      <c r="C5" s="273"/>
      <c r="D5" s="273"/>
      <c r="E5" s="273"/>
      <c r="F5" s="273"/>
      <c r="G5" s="273"/>
      <c r="H5" s="273"/>
      <c r="I5" s="273"/>
      <c r="R5" s="190"/>
    </row>
    <row r="6" spans="1:18" ht="10" customHeight="1">
      <c r="A6" s="273"/>
      <c r="B6" s="279" t="s">
        <v>463</v>
      </c>
      <c r="C6" s="273"/>
      <c r="D6" s="273"/>
      <c r="E6" s="273"/>
      <c r="F6" s="273"/>
      <c r="G6" s="273"/>
      <c r="H6" s="273"/>
      <c r="I6" s="273"/>
      <c r="R6" s="190"/>
    </row>
    <row r="7" spans="1:18">
      <c r="A7" s="273"/>
      <c r="B7" s="361"/>
      <c r="C7" s="361"/>
      <c r="D7" s="361"/>
      <c r="E7" s="361"/>
      <c r="F7" s="361"/>
      <c r="G7" s="361"/>
      <c r="H7" s="361"/>
      <c r="I7" s="361"/>
      <c r="J7" s="93"/>
      <c r="K7" s="93"/>
      <c r="L7" s="93"/>
      <c r="M7" s="93"/>
      <c r="N7" s="93"/>
      <c r="O7" s="93"/>
      <c r="P7" s="93"/>
      <c r="Q7" s="93"/>
      <c r="R7" s="190"/>
    </row>
    <row r="8" spans="1:18" s="48" customFormat="1" ht="3" customHeight="1">
      <c r="A8" s="284"/>
      <c r="B8" s="343"/>
      <c r="C8" s="343"/>
      <c r="D8" s="343"/>
      <c r="E8" s="343"/>
      <c r="F8" s="343"/>
      <c r="G8" s="343"/>
      <c r="H8" s="343"/>
      <c r="I8" s="343"/>
      <c r="R8" s="408"/>
    </row>
    <row r="9" spans="1:18">
      <c r="A9" s="190"/>
      <c r="B9" s="191" t="s">
        <v>381</v>
      </c>
      <c r="C9" s="190"/>
      <c r="D9" s="190"/>
      <c r="E9" s="190"/>
      <c r="F9" s="190"/>
      <c r="G9" s="190"/>
      <c r="H9" s="190"/>
      <c r="I9" s="190"/>
      <c r="J9" s="190"/>
      <c r="K9" s="190"/>
      <c r="L9" s="190"/>
      <c r="M9" s="190"/>
      <c r="N9" s="190"/>
      <c r="O9" s="190"/>
      <c r="P9" s="190"/>
      <c r="Q9" s="190"/>
      <c r="R9" s="235"/>
    </row>
    <row r="10" spans="1:18" ht="15.5">
      <c r="A10" s="190"/>
      <c r="B10" s="192" t="s">
        <v>382</v>
      </c>
      <c r="C10" s="193"/>
      <c r="D10" s="194"/>
      <c r="E10" s="193"/>
      <c r="F10" s="193"/>
      <c r="G10" s="193"/>
      <c r="H10" s="193"/>
      <c r="I10" s="193"/>
      <c r="J10" s="193"/>
      <c r="K10" s="193"/>
      <c r="L10" s="193"/>
      <c r="M10" s="193"/>
      <c r="N10" s="193"/>
      <c r="O10" s="193"/>
      <c r="P10" s="193"/>
      <c r="Q10" s="193"/>
      <c r="R10" s="235"/>
    </row>
    <row r="11" spans="1:18">
      <c r="A11" s="190"/>
      <c r="B11" s="190"/>
      <c r="C11" s="190"/>
      <c r="D11" s="190"/>
      <c r="E11" s="190"/>
      <c r="F11" s="190"/>
      <c r="G11" s="190"/>
      <c r="H11" s="190"/>
      <c r="I11" s="190"/>
      <c r="J11" s="190"/>
      <c r="K11" s="190"/>
      <c r="L11" s="190"/>
      <c r="M11" s="190"/>
      <c r="N11" s="190"/>
      <c r="O11" s="190"/>
      <c r="P11" s="190"/>
      <c r="Q11" s="190"/>
      <c r="R11" s="235"/>
    </row>
    <row r="12" spans="1:18">
      <c r="A12" s="190"/>
      <c r="B12" s="195"/>
      <c r="C12" s="195"/>
      <c r="D12" s="440" t="s">
        <v>383</v>
      </c>
      <c r="E12" s="440"/>
      <c r="F12" s="440"/>
      <c r="G12" s="440"/>
      <c r="H12" s="440"/>
      <c r="I12" s="440"/>
      <c r="J12" s="195"/>
      <c r="K12" s="440" t="s">
        <v>384</v>
      </c>
      <c r="L12" s="440"/>
      <c r="M12" s="440"/>
      <c r="N12" s="195"/>
      <c r="O12" s="440" t="s">
        <v>385</v>
      </c>
      <c r="P12" s="440"/>
      <c r="Q12" s="440"/>
      <c r="R12" s="235"/>
    </row>
    <row r="13" spans="1:18" ht="29">
      <c r="A13" s="190"/>
      <c r="B13" s="196" t="s">
        <v>386</v>
      </c>
      <c r="C13" s="196" t="s">
        <v>387</v>
      </c>
      <c r="D13" s="197" t="s">
        <v>388</v>
      </c>
      <c r="E13" s="197" t="s">
        <v>389</v>
      </c>
      <c r="F13" s="197" t="s">
        <v>390</v>
      </c>
      <c r="G13" s="197" t="s">
        <v>391</v>
      </c>
      <c r="H13" s="197" t="s">
        <v>392</v>
      </c>
      <c r="I13" s="197"/>
      <c r="J13" s="198"/>
      <c r="K13" s="198" t="s">
        <v>393</v>
      </c>
      <c r="L13" s="198" t="s">
        <v>224</v>
      </c>
      <c r="M13" s="198" t="s">
        <v>394</v>
      </c>
      <c r="N13" s="198"/>
      <c r="O13" s="198" t="s">
        <v>395</v>
      </c>
      <c r="P13" s="198" t="s">
        <v>396</v>
      </c>
      <c r="Q13" s="198" t="s">
        <v>397</v>
      </c>
      <c r="R13" s="235"/>
    </row>
    <row r="14" spans="1:18" ht="7" customHeight="1">
      <c r="A14" s="202"/>
      <c r="B14" s="199"/>
      <c r="C14" s="199"/>
      <c r="D14" s="200"/>
      <c r="E14" s="200"/>
      <c r="F14" s="200"/>
      <c r="G14" s="200"/>
      <c r="H14" s="200"/>
      <c r="I14" s="200"/>
      <c r="J14" s="201"/>
      <c r="K14" s="201"/>
      <c r="L14" s="201"/>
      <c r="M14" s="201"/>
      <c r="N14" s="201"/>
      <c r="O14" s="201"/>
      <c r="P14" s="201"/>
      <c r="Q14" s="201"/>
      <c r="R14" s="190"/>
    </row>
    <row r="15" spans="1:18">
      <c r="A15" s="202"/>
      <c r="B15" s="203" t="str">
        <f>'Comps Data'!C5</f>
        <v>Tata Motors</v>
      </c>
      <c r="C15" s="204" t="s">
        <v>413</v>
      </c>
      <c r="D15" s="205">
        <f>'Comps Data'!D5</f>
        <v>699.7</v>
      </c>
      <c r="E15" s="237">
        <f>'Comps Data'!E5</f>
        <v>368.17</v>
      </c>
      <c r="F15" s="206">
        <f>E15*D15</f>
        <v>257608.54900000003</v>
      </c>
      <c r="G15" s="205">
        <f>'Comps Data'!I5</f>
        <v>30706</v>
      </c>
      <c r="H15" s="206">
        <f>+F15+G15</f>
        <v>288314.549</v>
      </c>
      <c r="I15" s="205"/>
      <c r="J15" s="207"/>
      <c r="K15" s="207">
        <f>'Comps Data'!K5</f>
        <v>437968</v>
      </c>
      <c r="L15" s="207">
        <f>'Comps Data'!L5</f>
        <v>58293.540799999995</v>
      </c>
      <c r="M15" s="207">
        <f>'Comps Data'!M5</f>
        <v>21494</v>
      </c>
      <c r="N15" s="236"/>
      <c r="O15" s="208">
        <f>$H15/K15</f>
        <v>0.65830048999013624</v>
      </c>
      <c r="P15" s="208">
        <f t="shared" ref="P15:P19" si="0">$H15/L15</f>
        <v>4.9459090157035037</v>
      </c>
      <c r="Q15" s="208">
        <f>F15/M15</f>
        <v>11.985137666325487</v>
      </c>
      <c r="R15" s="190"/>
    </row>
    <row r="16" spans="1:18">
      <c r="A16" s="190"/>
      <c r="B16" s="227" t="str">
        <f>'Comps Data'!C6</f>
        <v>Maruti Suzuki</v>
      </c>
      <c r="C16" s="233" t="s">
        <v>414</v>
      </c>
      <c r="D16" s="229">
        <f>'Comps Data'!D6</f>
        <v>14253.15</v>
      </c>
      <c r="E16" s="238">
        <f>'Comps Data'!E6</f>
        <v>31.44</v>
      </c>
      <c r="F16" s="228">
        <f>E16*D16</f>
        <v>448119.03600000002</v>
      </c>
      <c r="G16" s="229">
        <f>'Comps Data'!I6</f>
        <v>-465.9</v>
      </c>
      <c r="H16" s="228">
        <f>+F16+G16</f>
        <v>447653.136</v>
      </c>
      <c r="I16" s="228"/>
      <c r="J16" s="228"/>
      <c r="K16" s="230">
        <f>'Comps Data'!K6</f>
        <v>155738.79999999999</v>
      </c>
      <c r="L16" s="230">
        <f>'Comps Data'!L6</f>
        <v>25743.623639999998</v>
      </c>
      <c r="M16" s="230">
        <f>'Comps Data'!M6</f>
        <v>14532.9</v>
      </c>
      <c r="N16" s="234"/>
      <c r="O16" s="231">
        <f t="shared" ref="O16:O19" si="1">$H16/K16</f>
        <v>2.8743841354883948</v>
      </c>
      <c r="P16" s="231">
        <f t="shared" si="0"/>
        <v>17.388893741611586</v>
      </c>
      <c r="Q16" s="231">
        <f t="shared" ref="Q16:Q19" si="2">F16/M16</f>
        <v>30.834798010032411</v>
      </c>
      <c r="R16" s="190"/>
    </row>
    <row r="17" spans="1:18">
      <c r="A17" s="190"/>
      <c r="B17" s="227" t="str">
        <f>'Comps Data'!C7</f>
        <v>Mahindra &amp; Mahindra</v>
      </c>
      <c r="C17" s="233" t="s">
        <v>415</v>
      </c>
      <c r="D17" s="229">
        <f>'Comps Data'!D7</f>
        <v>3359.15</v>
      </c>
      <c r="E17" s="238">
        <f>'Comps Data'!E7</f>
        <v>124.35</v>
      </c>
      <c r="F17" s="228">
        <f t="shared" ref="F17:F19" si="3">E17*D17</f>
        <v>417710.30249999999</v>
      </c>
      <c r="G17" s="229">
        <f>'Comps Data'!I7</f>
        <v>108409.74</v>
      </c>
      <c r="H17" s="228">
        <f t="shared" ref="H17:H19" si="4">+F17+G17</f>
        <v>526120.04249999998</v>
      </c>
      <c r="I17" s="228"/>
      <c r="J17" s="228"/>
      <c r="K17" s="230">
        <f>'Comps Data'!K7</f>
        <v>167522.29</v>
      </c>
      <c r="L17" s="230">
        <f>'Comps Data'!L7</f>
        <v>35883.274518000006</v>
      </c>
      <c r="M17" s="230">
        <f>'Comps Data'!M7</f>
        <v>14903.97</v>
      </c>
      <c r="N17" s="234"/>
      <c r="O17" s="231">
        <f t="shared" si="1"/>
        <v>3.1405972452979238</v>
      </c>
      <c r="P17" s="231">
        <f t="shared" si="0"/>
        <v>14.661985272165843</v>
      </c>
      <c r="Q17" s="231">
        <f>F17/M17</f>
        <v>28.02678095165248</v>
      </c>
      <c r="R17" s="190"/>
    </row>
    <row r="18" spans="1:18">
      <c r="A18" s="190"/>
      <c r="B18" s="227" t="str">
        <f>'Comps Data'!C8</f>
        <v>Hyundai Motor I</v>
      </c>
      <c r="C18" s="232"/>
      <c r="D18" s="229">
        <f>'Comps Data'!D8</f>
        <v>2540</v>
      </c>
      <c r="E18" s="238">
        <f>'Comps Data'!E8</f>
        <v>81.25</v>
      </c>
      <c r="F18" s="228">
        <f t="shared" si="3"/>
        <v>206375</v>
      </c>
      <c r="G18" s="229">
        <f>'Comps Data'!I8</f>
        <v>-7288.06</v>
      </c>
      <c r="H18" s="228">
        <f t="shared" si="4"/>
        <v>199086.94</v>
      </c>
      <c r="I18" s="228"/>
      <c r="J18" s="228"/>
      <c r="K18" s="230">
        <f>'Comps Data'!K8</f>
        <v>66704.55</v>
      </c>
      <c r="L18" s="230">
        <f>'Comps Data'!L8</f>
        <v>9438.6938250000003</v>
      </c>
      <c r="M18" s="230">
        <f>'Comps Data'!M8</f>
        <v>5380.19</v>
      </c>
      <c r="N18" s="234"/>
      <c r="O18" s="231">
        <f t="shared" si="1"/>
        <v>2.9846080964491928</v>
      </c>
      <c r="P18" s="231">
        <f t="shared" si="0"/>
        <v>21.092636724022562</v>
      </c>
      <c r="Q18" s="231">
        <f t="shared" si="2"/>
        <v>38.358310765976668</v>
      </c>
      <c r="R18" s="190"/>
    </row>
    <row r="19" spans="1:18">
      <c r="A19" s="190"/>
      <c r="B19" s="227" t="str">
        <f>'Comps Data'!C9</f>
        <v>Force Motors</v>
      </c>
      <c r="C19" s="233" t="s">
        <v>417</v>
      </c>
      <c r="D19" s="229">
        <f>'Comps Data'!D9</f>
        <v>20575</v>
      </c>
      <c r="E19" s="238">
        <f>'Comps Data'!E9</f>
        <v>1.32</v>
      </c>
      <c r="F19" s="228">
        <f t="shared" si="3"/>
        <v>27159</v>
      </c>
      <c r="G19" s="229">
        <f>'Comps Data'!I9</f>
        <v>-489.98</v>
      </c>
      <c r="H19" s="228">
        <f t="shared" si="4"/>
        <v>26669.02</v>
      </c>
      <c r="I19" s="228"/>
      <c r="J19" s="228"/>
      <c r="K19" s="230">
        <f>'Comps Data'!K9</f>
        <v>8484.08</v>
      </c>
      <c r="L19" s="230">
        <f>'Comps Data'!L9</f>
        <v>1237.827272</v>
      </c>
      <c r="M19" s="230">
        <f>'Comps Data'!M9</f>
        <v>861.49</v>
      </c>
      <c r="N19" s="234"/>
      <c r="O19" s="231">
        <f t="shared" si="1"/>
        <v>3.1434192039679023</v>
      </c>
      <c r="P19" s="231">
        <f t="shared" si="0"/>
        <v>21.545025387031544</v>
      </c>
      <c r="Q19" s="231">
        <f t="shared" si="2"/>
        <v>31.525612601423116</v>
      </c>
      <c r="R19" s="190"/>
    </row>
    <row r="20" spans="1:18" ht="9.5" customHeight="1">
      <c r="A20" s="190"/>
      <c r="B20" s="190"/>
      <c r="C20" s="190"/>
      <c r="D20" s="190"/>
      <c r="E20" s="190"/>
      <c r="F20" s="190"/>
      <c r="G20" s="190"/>
      <c r="H20" s="190"/>
      <c r="I20" s="190"/>
      <c r="J20" s="190"/>
      <c r="K20" s="190"/>
      <c r="L20" s="190"/>
      <c r="M20" s="190"/>
      <c r="N20" s="190"/>
      <c r="O20" s="190"/>
      <c r="P20" s="190"/>
      <c r="Q20" s="190"/>
      <c r="R20" s="190"/>
    </row>
    <row r="21" spans="1:18">
      <c r="A21" s="190"/>
      <c r="B21" s="209" t="s">
        <v>398</v>
      </c>
      <c r="C21" s="209"/>
      <c r="D21" s="209"/>
      <c r="E21" s="209"/>
      <c r="F21" s="209"/>
      <c r="G21" s="209"/>
      <c r="H21" s="209"/>
      <c r="I21" s="209"/>
      <c r="J21" s="209"/>
      <c r="K21" s="209"/>
      <c r="L21" s="209"/>
      <c r="M21" s="209"/>
      <c r="N21" s="209"/>
      <c r="O21" s="210">
        <f>MAX(O15:O19)</f>
        <v>3.1434192039679023</v>
      </c>
      <c r="P21" s="210">
        <f t="shared" ref="P21:Q21" si="5">MAX(P15:P19)</f>
        <v>21.545025387031544</v>
      </c>
      <c r="Q21" s="210">
        <f t="shared" si="5"/>
        <v>38.358310765976668</v>
      </c>
      <c r="R21" s="190"/>
    </row>
    <row r="22" spans="1:18">
      <c r="A22" s="190"/>
      <c r="B22" s="209" t="s">
        <v>399</v>
      </c>
      <c r="C22" s="209"/>
      <c r="D22" s="209"/>
      <c r="E22" s="209"/>
      <c r="F22" s="209"/>
      <c r="G22" s="209"/>
      <c r="H22" s="209"/>
      <c r="I22" s="209"/>
      <c r="J22" s="209"/>
      <c r="K22" s="209"/>
      <c r="L22" s="209"/>
      <c r="M22" s="209"/>
      <c r="N22" s="209"/>
      <c r="O22" s="210">
        <f>QUARTILE(O15:O19,3)</f>
        <v>3.1405972452979238</v>
      </c>
      <c r="P22" s="210">
        <f t="shared" ref="P22:Q22" si="6">QUARTILE(P15:P19,3)</f>
        <v>21.092636724022562</v>
      </c>
      <c r="Q22" s="210">
        <f t="shared" si="6"/>
        <v>31.525612601423116</v>
      </c>
      <c r="R22" s="190"/>
    </row>
    <row r="23" spans="1:18">
      <c r="A23" s="190"/>
      <c r="B23" s="211" t="s">
        <v>335</v>
      </c>
      <c r="C23" s="211"/>
      <c r="D23" s="211"/>
      <c r="E23" s="211"/>
      <c r="F23" s="211"/>
      <c r="G23" s="211"/>
      <c r="H23" s="211"/>
      <c r="I23" s="211"/>
      <c r="J23" s="211"/>
      <c r="K23" s="211"/>
      <c r="L23" s="211"/>
      <c r="M23" s="211"/>
      <c r="N23" s="211"/>
      <c r="O23" s="212">
        <f>AVERAGE(O15:O19)</f>
        <v>2.5602618342387098</v>
      </c>
      <c r="P23" s="212">
        <f t="shared" ref="P23:Q23" si="7">AVERAGE(P15:P19)</f>
        <v>15.926890028107007</v>
      </c>
      <c r="Q23" s="212">
        <f t="shared" si="7"/>
        <v>28.146127999082033</v>
      </c>
      <c r="R23" s="190"/>
    </row>
    <row r="24" spans="1:18">
      <c r="A24" s="190"/>
      <c r="B24" s="211" t="s">
        <v>191</v>
      </c>
      <c r="C24" s="211"/>
      <c r="D24" s="211"/>
      <c r="E24" s="211"/>
      <c r="F24" s="211"/>
      <c r="G24" s="211"/>
      <c r="H24" s="211"/>
      <c r="I24" s="211"/>
      <c r="J24" s="211"/>
      <c r="K24" s="211"/>
      <c r="L24" s="211"/>
      <c r="M24" s="211"/>
      <c r="N24" s="211"/>
      <c r="O24" s="212">
        <f>MEDIAN(O15:O19)</f>
        <v>2.9846080964491928</v>
      </c>
      <c r="P24" s="212">
        <f t="shared" ref="P24:Q24" si="8">MEDIAN(P15:P19)</f>
        <v>17.388893741611586</v>
      </c>
      <c r="Q24" s="212">
        <f t="shared" si="8"/>
        <v>30.834798010032411</v>
      </c>
      <c r="R24" s="190"/>
    </row>
    <row r="25" spans="1:18">
      <c r="A25" s="190"/>
      <c r="B25" s="209" t="s">
        <v>400</v>
      </c>
      <c r="C25" s="209"/>
      <c r="D25" s="209"/>
      <c r="E25" s="209"/>
      <c r="F25" s="209"/>
      <c r="G25" s="209"/>
      <c r="H25" s="209"/>
      <c r="I25" s="209"/>
      <c r="J25" s="209"/>
      <c r="K25" s="209"/>
      <c r="L25" s="209"/>
      <c r="M25" s="209"/>
      <c r="N25" s="209"/>
      <c r="O25" s="210">
        <f>QUARTILE(O15:O19,1)</f>
        <v>2.8743841354883948</v>
      </c>
      <c r="P25" s="210">
        <f t="shared" ref="P25:Q25" si="9">QUARTILE(P15:P19,1)</f>
        <v>14.661985272165843</v>
      </c>
      <c r="Q25" s="210">
        <f t="shared" si="9"/>
        <v>28.02678095165248</v>
      </c>
      <c r="R25" s="190"/>
    </row>
    <row r="26" spans="1:18">
      <c r="A26" s="190"/>
      <c r="B26" s="209" t="s">
        <v>401</v>
      </c>
      <c r="C26" s="209"/>
      <c r="D26" s="209"/>
      <c r="E26" s="209"/>
      <c r="F26" s="209"/>
      <c r="G26" s="209"/>
      <c r="H26" s="209"/>
      <c r="I26" s="209"/>
      <c r="J26" s="209"/>
      <c r="K26" s="209"/>
      <c r="L26" s="209"/>
      <c r="M26" s="209"/>
      <c r="N26" s="209"/>
      <c r="O26" s="210">
        <f>MIN(O15:O19)</f>
        <v>0.65830048999013624</v>
      </c>
      <c r="P26" s="210">
        <f t="shared" ref="P26:Q26" si="10">MIN(P15:P19)</f>
        <v>4.9459090157035037</v>
      </c>
      <c r="Q26" s="210">
        <f t="shared" si="10"/>
        <v>11.985137666325487</v>
      </c>
      <c r="R26" s="190"/>
    </row>
    <row r="27" spans="1:18" ht="11" customHeight="1">
      <c r="A27" s="190"/>
      <c r="B27" s="190"/>
      <c r="C27" s="190"/>
      <c r="D27" s="190"/>
      <c r="E27" s="190"/>
      <c r="F27" s="190"/>
      <c r="G27" s="190"/>
      <c r="H27" s="190"/>
      <c r="I27" s="190"/>
      <c r="J27" s="190"/>
      <c r="K27" s="190"/>
      <c r="L27" s="190"/>
      <c r="M27" s="190"/>
      <c r="N27" s="190"/>
      <c r="O27" s="190"/>
      <c r="P27" s="190"/>
      <c r="Q27" s="190"/>
      <c r="R27" s="190"/>
    </row>
    <row r="28" spans="1:18">
      <c r="A28" s="190"/>
      <c r="B28" s="213" t="s">
        <v>418</v>
      </c>
      <c r="C28" s="214"/>
      <c r="D28" s="214"/>
      <c r="E28" s="214"/>
      <c r="F28" s="214"/>
      <c r="G28" s="214"/>
      <c r="H28" s="214"/>
      <c r="I28" s="214"/>
      <c r="J28" s="214"/>
      <c r="K28" s="214"/>
      <c r="L28" s="214"/>
      <c r="M28" s="214"/>
      <c r="N28" s="214"/>
      <c r="O28" s="198" t="s">
        <v>395</v>
      </c>
      <c r="P28" s="215" t="s">
        <v>396</v>
      </c>
      <c r="Q28" s="198" t="s">
        <v>397</v>
      </c>
      <c r="R28" s="190"/>
    </row>
    <row r="29" spans="1:18" ht="6" customHeight="1">
      <c r="A29" s="190"/>
      <c r="B29" s="190"/>
      <c r="C29" s="190"/>
      <c r="D29" s="190"/>
      <c r="E29" s="190"/>
      <c r="F29" s="190"/>
      <c r="G29" s="190"/>
      <c r="H29" s="190"/>
      <c r="I29" s="190"/>
      <c r="J29" s="190"/>
      <c r="K29" s="190"/>
      <c r="L29" s="190"/>
      <c r="M29" s="190"/>
      <c r="N29" s="190"/>
      <c r="O29" s="190"/>
      <c r="P29" s="190"/>
      <c r="Q29" s="190"/>
      <c r="R29" s="190"/>
    </row>
    <row r="30" spans="1:18">
      <c r="A30" s="190"/>
      <c r="B30" s="216" t="s">
        <v>402</v>
      </c>
      <c r="C30" s="216"/>
      <c r="D30" s="216"/>
      <c r="E30" s="216"/>
      <c r="F30" s="216"/>
      <c r="G30" s="216"/>
      <c r="H30" s="216"/>
      <c r="I30" s="216"/>
      <c r="J30" s="216"/>
      <c r="K30" s="216"/>
      <c r="L30" s="216"/>
      <c r="M30" s="216"/>
      <c r="N30" s="216"/>
      <c r="O30" s="217">
        <f>O$24*K15</f>
        <v>1307162.83878566</v>
      </c>
      <c r="P30" s="217">
        <f>P$24*L15</f>
        <v>1013660.1867934995</v>
      </c>
      <c r="Q30" s="217">
        <f>+Q32+Q31</f>
        <v>693469.1484276366</v>
      </c>
      <c r="R30" s="190"/>
    </row>
    <row r="31" spans="1:18">
      <c r="A31" s="190"/>
      <c r="B31" s="216" t="s">
        <v>391</v>
      </c>
      <c r="C31" s="216"/>
      <c r="D31" s="216"/>
      <c r="E31" s="216"/>
      <c r="F31" s="216"/>
      <c r="G31" s="216"/>
      <c r="H31" s="216"/>
      <c r="I31" s="216"/>
      <c r="J31" s="216"/>
      <c r="K31" s="216"/>
      <c r="L31" s="216"/>
      <c r="M31" s="216"/>
      <c r="N31" s="216"/>
      <c r="O31" s="217">
        <f>$G$15</f>
        <v>30706</v>
      </c>
      <c r="P31" s="217">
        <f t="shared" ref="P31:Q31" si="11">$G$15</f>
        <v>30706</v>
      </c>
      <c r="Q31" s="217">
        <f t="shared" si="11"/>
        <v>30706</v>
      </c>
      <c r="R31" s="190"/>
    </row>
    <row r="32" spans="1:18">
      <c r="A32" s="190"/>
      <c r="B32" s="216" t="s">
        <v>403</v>
      </c>
      <c r="C32" s="216"/>
      <c r="D32" s="216"/>
      <c r="E32" s="216"/>
      <c r="F32" s="216"/>
      <c r="G32" s="216"/>
      <c r="H32" s="216"/>
      <c r="I32" s="216"/>
      <c r="J32" s="216"/>
      <c r="K32" s="216"/>
      <c r="L32" s="216"/>
      <c r="M32" s="216"/>
      <c r="N32" s="216"/>
      <c r="O32" s="217">
        <f>O30-O31</f>
        <v>1276456.83878566</v>
      </c>
      <c r="P32" s="217">
        <f t="shared" ref="P32" si="12">P30-P31</f>
        <v>982954.18679349951</v>
      </c>
      <c r="Q32" s="217">
        <f>Q24*M15</f>
        <v>662763.1484276366</v>
      </c>
      <c r="R32" s="190"/>
    </row>
    <row r="33" spans="1:18">
      <c r="A33" s="190"/>
      <c r="B33" s="216" t="s">
        <v>389</v>
      </c>
      <c r="C33" s="216"/>
      <c r="D33" s="216"/>
      <c r="E33" s="216"/>
      <c r="F33" s="216"/>
      <c r="G33" s="216"/>
      <c r="H33" s="216"/>
      <c r="I33" s="216"/>
      <c r="J33" s="216"/>
      <c r="K33" s="216"/>
      <c r="L33" s="216"/>
      <c r="M33" s="216"/>
      <c r="N33" s="216"/>
      <c r="O33" s="218">
        <f>$E$15</f>
        <v>368.17</v>
      </c>
      <c r="P33" s="218">
        <f t="shared" ref="P33:Q33" si="13">$E$15</f>
        <v>368.17</v>
      </c>
      <c r="Q33" s="218">
        <f t="shared" si="13"/>
        <v>368.17</v>
      </c>
      <c r="R33" s="190"/>
    </row>
    <row r="34" spans="1:18" ht="7.5" customHeight="1">
      <c r="A34" s="190"/>
      <c r="B34" s="190"/>
      <c r="C34" s="190"/>
      <c r="D34" s="190"/>
      <c r="E34" s="190"/>
      <c r="F34" s="190"/>
      <c r="G34" s="190"/>
      <c r="H34" s="190"/>
      <c r="I34" s="190"/>
      <c r="J34" s="190"/>
      <c r="K34" s="190"/>
      <c r="L34" s="190"/>
      <c r="M34" s="190"/>
      <c r="N34" s="190"/>
      <c r="O34" s="202"/>
      <c r="P34" s="202"/>
      <c r="Q34" s="202"/>
      <c r="R34" s="190"/>
    </row>
    <row r="35" spans="1:18">
      <c r="A35" s="190"/>
      <c r="B35" s="219" t="s">
        <v>404</v>
      </c>
      <c r="C35" s="219"/>
      <c r="D35" s="219"/>
      <c r="E35" s="219"/>
      <c r="F35" s="219"/>
      <c r="G35" s="219"/>
      <c r="H35" s="219"/>
      <c r="I35" s="219"/>
      <c r="J35" s="219"/>
      <c r="K35" s="219"/>
      <c r="L35" s="219"/>
      <c r="M35" s="219"/>
      <c r="N35" s="219"/>
      <c r="O35" s="220">
        <f>O32/O33</f>
        <v>3467.0310964653827</v>
      </c>
      <c r="P35" s="220">
        <f t="shared" ref="P35:Q35" si="14">P32/P33</f>
        <v>2669.8378107762705</v>
      </c>
      <c r="Q35" s="220">
        <f t="shared" si="14"/>
        <v>1800.15522293407</v>
      </c>
      <c r="R35" s="190"/>
    </row>
    <row r="36" spans="1:18">
      <c r="A36" s="190"/>
      <c r="B36" s="221"/>
      <c r="C36" s="221"/>
      <c r="D36" s="221"/>
      <c r="E36" s="221"/>
      <c r="F36" s="221"/>
      <c r="G36" s="221"/>
      <c r="H36" s="221"/>
      <c r="I36" s="221"/>
      <c r="J36" s="221"/>
      <c r="K36" s="221"/>
      <c r="L36" s="221"/>
      <c r="M36" s="221"/>
      <c r="N36" s="221"/>
      <c r="O36" s="222"/>
      <c r="P36" s="222"/>
      <c r="Q36" s="222"/>
      <c r="R36" s="190"/>
    </row>
    <row r="37" spans="1:18">
      <c r="A37" s="190"/>
      <c r="B37" s="191" t="s">
        <v>1601</v>
      </c>
      <c r="C37" s="190"/>
      <c r="D37" s="190"/>
      <c r="E37" s="190"/>
      <c r="F37" s="190"/>
      <c r="G37" s="190"/>
      <c r="H37" s="190"/>
      <c r="I37" s="190"/>
      <c r="J37" s="190"/>
      <c r="K37" s="190"/>
      <c r="L37" s="190"/>
      <c r="M37" s="190"/>
      <c r="N37" s="190"/>
      <c r="O37" s="190"/>
      <c r="P37" s="190"/>
      <c r="Q37" s="190"/>
      <c r="R37" s="190"/>
    </row>
    <row r="38" spans="1:18">
      <c r="A38" s="190"/>
      <c r="B38" s="190"/>
      <c r="C38" s="190"/>
      <c r="D38" s="190"/>
      <c r="E38" s="190"/>
      <c r="F38" s="190"/>
      <c r="G38" s="190"/>
      <c r="H38" s="190"/>
      <c r="I38" s="190"/>
      <c r="J38" s="190"/>
      <c r="K38" s="190"/>
      <c r="L38" s="190"/>
      <c r="M38" s="190"/>
      <c r="N38" s="190"/>
      <c r="O38" s="191" t="str">
        <f>IF(O35&gt;$D$15,"Undervalued","Overvalued")</f>
        <v>Undervalued</v>
      </c>
      <c r="P38" s="191" t="str">
        <f t="shared" ref="P38:Q38" si="15">IF(P35&gt;$D$15,"Undervalued","Overvalued")</f>
        <v>Undervalued</v>
      </c>
      <c r="Q38" s="191" t="str">
        <f t="shared" si="15"/>
        <v>Undervalued</v>
      </c>
      <c r="R38" s="190"/>
    </row>
    <row r="39" spans="1:18">
      <c r="A39" s="190"/>
      <c r="B39" s="190"/>
      <c r="C39" s="190"/>
      <c r="D39" s="190"/>
      <c r="E39" s="190"/>
      <c r="F39" s="190"/>
      <c r="G39" s="190"/>
      <c r="H39" s="190"/>
      <c r="I39" s="190"/>
      <c r="J39" s="190"/>
      <c r="K39" s="190"/>
      <c r="L39" s="190"/>
      <c r="M39" s="190"/>
      <c r="N39" s="190"/>
      <c r="O39" s="190"/>
      <c r="P39" s="190"/>
      <c r="Q39" s="190"/>
      <c r="R39" s="190"/>
    </row>
  </sheetData>
  <mergeCells count="3">
    <mergeCell ref="D12:I12"/>
    <mergeCell ref="K12:M12"/>
    <mergeCell ref="O12:Q12"/>
  </mergeCells>
  <pageMargins left="0.25" right="0.25" top="0.75" bottom="0.75" header="0.3" footer="0.3"/>
  <pageSetup scale="43"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84269-02E6-4AEC-8C80-83012E926B8E}">
  <sheetPr codeName="Sheet27"/>
  <dimension ref="B2:M9"/>
  <sheetViews>
    <sheetView showGridLines="0" workbookViewId="0">
      <selection activeCell="C11" sqref="C11"/>
    </sheetView>
  </sheetViews>
  <sheetFormatPr defaultRowHeight="14.5"/>
  <cols>
    <col min="1" max="1" width="1.90625" customWidth="1"/>
    <col min="3" max="3" width="19.6328125" bestFit="1" customWidth="1"/>
    <col min="4" max="4" width="13" customWidth="1"/>
    <col min="5" max="5" width="15.7265625" bestFit="1" customWidth="1"/>
    <col min="6" max="6" width="15.7265625" customWidth="1"/>
    <col min="7" max="13" width="13" customWidth="1"/>
  </cols>
  <sheetData>
    <row r="2" spans="2:13">
      <c r="B2" s="368" t="s">
        <v>1602</v>
      </c>
    </row>
    <row r="4" spans="2:13">
      <c r="B4" s="225" t="s">
        <v>352</v>
      </c>
      <c r="C4" s="225" t="s">
        <v>346</v>
      </c>
      <c r="D4" s="224" t="s">
        <v>405</v>
      </c>
      <c r="E4" s="224" t="s">
        <v>406</v>
      </c>
      <c r="F4" s="224" t="s">
        <v>407</v>
      </c>
      <c r="G4" s="224" t="s">
        <v>408</v>
      </c>
      <c r="H4" s="224" t="s">
        <v>409</v>
      </c>
      <c r="I4" s="224" t="s">
        <v>391</v>
      </c>
      <c r="J4" s="224" t="s">
        <v>410</v>
      </c>
      <c r="K4" s="224" t="s">
        <v>411</v>
      </c>
      <c r="L4" s="224" t="s">
        <v>224</v>
      </c>
      <c r="M4" s="223" t="s">
        <v>412</v>
      </c>
    </row>
    <row r="5" spans="2:13" s="48" customFormat="1">
      <c r="B5" s="20">
        <v>1</v>
      </c>
      <c r="C5" t="s">
        <v>341</v>
      </c>
      <c r="D5" s="66">
        <v>699.7</v>
      </c>
      <c r="E5" s="66">
        <v>368.17</v>
      </c>
      <c r="F5" s="66">
        <f>E5*D5</f>
        <v>257608.54900000003</v>
      </c>
      <c r="G5" s="66">
        <v>71540</v>
      </c>
      <c r="H5" s="66">
        <v>40834</v>
      </c>
      <c r="I5" s="66">
        <f>G5-H5</f>
        <v>30706</v>
      </c>
      <c r="J5" s="66">
        <f>F5+G5-H5</f>
        <v>288314.549</v>
      </c>
      <c r="K5" s="66">
        <v>437968</v>
      </c>
      <c r="L5" s="226">
        <v>58293.540799999995</v>
      </c>
      <c r="M5" s="66">
        <v>21494</v>
      </c>
    </row>
    <row r="6" spans="2:13">
      <c r="B6" s="20">
        <v>2</v>
      </c>
      <c r="C6" t="s">
        <v>338</v>
      </c>
      <c r="D6" s="66">
        <v>14253.15</v>
      </c>
      <c r="E6" s="66">
        <v>31.44</v>
      </c>
      <c r="F6" s="66">
        <f>E6*D6</f>
        <v>448119.03600000002</v>
      </c>
      <c r="G6" s="66">
        <v>87</v>
      </c>
      <c r="H6" s="66">
        <v>552.9</v>
      </c>
      <c r="I6" s="66">
        <f t="shared" ref="I6:I9" si="0">G6-H6</f>
        <v>-465.9</v>
      </c>
      <c r="J6" s="66">
        <f>F6+G6-H6</f>
        <v>447653.136</v>
      </c>
      <c r="K6" s="66">
        <v>155738.79999999999</v>
      </c>
      <c r="L6" s="226">
        <v>25743.623639999998</v>
      </c>
      <c r="M6" s="66">
        <v>14532.9</v>
      </c>
    </row>
    <row r="7" spans="2:13">
      <c r="B7" s="20">
        <v>3</v>
      </c>
      <c r="C7" t="s">
        <v>416</v>
      </c>
      <c r="D7" s="66">
        <v>3359.15</v>
      </c>
      <c r="E7" s="66">
        <v>124.35</v>
      </c>
      <c r="F7" s="66">
        <f t="shared" ref="F7:F9" si="1">E7*D7</f>
        <v>417710.30249999999</v>
      </c>
      <c r="G7" s="66">
        <v>129024.58</v>
      </c>
      <c r="H7" s="66">
        <v>20614.84</v>
      </c>
      <c r="I7" s="66">
        <f t="shared" si="0"/>
        <v>108409.74</v>
      </c>
      <c r="J7" s="66">
        <f>F7+G7-H7</f>
        <v>526120.04249999998</v>
      </c>
      <c r="K7" s="66">
        <v>167522.29</v>
      </c>
      <c r="L7" s="226">
        <v>35883.274518000006</v>
      </c>
      <c r="M7" s="66">
        <v>14903.97</v>
      </c>
    </row>
    <row r="8" spans="2:13">
      <c r="B8" s="20">
        <v>4</v>
      </c>
      <c r="C8" t="s">
        <v>357</v>
      </c>
      <c r="D8" s="66">
        <v>2540</v>
      </c>
      <c r="E8" s="66">
        <v>81.25</v>
      </c>
      <c r="F8" s="66">
        <f t="shared" si="1"/>
        <v>206375</v>
      </c>
      <c r="G8" s="66">
        <v>847.29</v>
      </c>
      <c r="H8" s="66">
        <v>8135.35</v>
      </c>
      <c r="I8" s="66">
        <f t="shared" si="0"/>
        <v>-7288.06</v>
      </c>
      <c r="J8" s="66">
        <f>F8+G8-H8</f>
        <v>199086.94</v>
      </c>
      <c r="K8" s="66">
        <v>66704.55</v>
      </c>
      <c r="L8" s="226">
        <v>9438.6938250000003</v>
      </c>
      <c r="M8" s="66">
        <v>5380.19</v>
      </c>
    </row>
    <row r="9" spans="2:13">
      <c r="B9" s="20">
        <v>5</v>
      </c>
      <c r="C9" t="s">
        <v>339</v>
      </c>
      <c r="D9" s="66">
        <v>20575</v>
      </c>
      <c r="E9" s="66">
        <v>1.32</v>
      </c>
      <c r="F9" s="66">
        <f t="shared" si="1"/>
        <v>27159</v>
      </c>
      <c r="G9" s="66">
        <v>17.43</v>
      </c>
      <c r="H9" s="66">
        <v>507.41</v>
      </c>
      <c r="I9" s="66">
        <f t="shared" si="0"/>
        <v>-489.98</v>
      </c>
      <c r="J9" s="66">
        <f>F9+G9-H9</f>
        <v>26669.02</v>
      </c>
      <c r="K9" s="66">
        <v>8484.08</v>
      </c>
      <c r="L9" s="226">
        <v>1237.827272</v>
      </c>
      <c r="M9" s="66">
        <v>861.49</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3A14-ADFE-4B07-A01C-59D0B9EA0D1C}">
  <sheetPr codeName="Sheet28">
    <pageSetUpPr fitToPage="1"/>
  </sheetPr>
  <dimension ref="A1:P27"/>
  <sheetViews>
    <sheetView showGridLines="0" zoomScale="69" zoomScaleNormal="56" workbookViewId="0">
      <selection activeCell="U20" sqref="U20"/>
    </sheetView>
  </sheetViews>
  <sheetFormatPr defaultRowHeight="14.5"/>
  <cols>
    <col min="1" max="1" width="1.81640625" style="243" customWidth="1"/>
    <col min="2" max="9" width="8.7265625" style="190"/>
    <col min="10" max="10" width="2.36328125" style="190" customWidth="1"/>
    <col min="11" max="16" width="8.7265625" style="190"/>
    <col min="17" max="17" width="1.90625" style="190" customWidth="1"/>
    <col min="18" max="16384" width="8.7265625" style="190"/>
  </cols>
  <sheetData>
    <row r="1" spans="1:16">
      <c r="A1" s="273"/>
      <c r="B1" s="361"/>
      <c r="C1" s="361"/>
      <c r="D1" s="361"/>
      <c r="E1" s="361"/>
      <c r="F1" s="361"/>
      <c r="G1" s="361"/>
      <c r="H1" s="361"/>
      <c r="I1" s="361"/>
      <c r="J1" s="93"/>
      <c r="K1" s="93"/>
      <c r="L1" s="93"/>
      <c r="M1" s="93"/>
      <c r="N1" s="93"/>
      <c r="O1" s="93"/>
      <c r="P1" s="93"/>
    </row>
    <row r="2" spans="1:16" ht="2" customHeight="1">
      <c r="A2" s="273"/>
      <c r="B2" s="273"/>
      <c r="C2" s="273"/>
      <c r="D2" s="273"/>
      <c r="E2" s="273"/>
      <c r="F2" s="273"/>
      <c r="G2" s="273"/>
      <c r="H2" s="273"/>
      <c r="I2" s="273"/>
      <c r="J2"/>
      <c r="K2"/>
      <c r="L2"/>
      <c r="M2"/>
      <c r="N2"/>
      <c r="O2"/>
      <c r="P2"/>
    </row>
    <row r="3" spans="1:16" ht="24" customHeight="1">
      <c r="A3" s="273"/>
      <c r="B3" s="398" t="str">
        <f>'Data Sheet'!B1</f>
        <v>TATA MOTORS LTD</v>
      </c>
      <c r="C3" s="273"/>
      <c r="D3" s="273"/>
      <c r="E3" s="273"/>
      <c r="F3" s="273"/>
      <c r="G3" s="273"/>
      <c r="H3" s="273"/>
      <c r="I3" s="273"/>
      <c r="J3"/>
      <c r="K3"/>
      <c r="L3"/>
      <c r="M3"/>
      <c r="N3"/>
      <c r="O3"/>
      <c r="P3"/>
    </row>
    <row r="4" spans="1:16">
      <c r="A4" s="273"/>
      <c r="B4" s="274" t="s">
        <v>460</v>
      </c>
      <c r="C4" s="273"/>
      <c r="D4" s="273"/>
      <c r="E4" s="273"/>
      <c r="F4" s="273"/>
      <c r="G4" s="273"/>
      <c r="H4" s="273"/>
      <c r="I4" s="273"/>
      <c r="J4"/>
      <c r="K4"/>
      <c r="L4"/>
      <c r="M4"/>
      <c r="N4"/>
      <c r="O4"/>
      <c r="P4"/>
    </row>
    <row r="5" spans="1:16" ht="18.5">
      <c r="A5" s="273"/>
      <c r="B5" s="363" t="s">
        <v>461</v>
      </c>
      <c r="C5" s="273"/>
      <c r="D5" s="273"/>
      <c r="E5" s="273"/>
      <c r="F5" s="273"/>
      <c r="G5" s="273"/>
      <c r="H5" s="273"/>
      <c r="I5" s="273"/>
      <c r="J5"/>
      <c r="K5"/>
      <c r="L5"/>
      <c r="M5"/>
      <c r="N5"/>
      <c r="O5"/>
      <c r="P5"/>
    </row>
    <row r="6" spans="1:16">
      <c r="A6" s="273"/>
      <c r="B6" s="279" t="s">
        <v>463</v>
      </c>
      <c r="C6" s="273"/>
      <c r="D6" s="273"/>
      <c r="E6" s="273"/>
      <c r="F6" s="273"/>
      <c r="G6" s="273"/>
      <c r="H6" s="273"/>
      <c r="I6" s="273"/>
      <c r="J6"/>
      <c r="K6"/>
      <c r="L6"/>
      <c r="M6"/>
      <c r="N6"/>
      <c r="O6"/>
      <c r="P6"/>
    </row>
    <row r="7" spans="1:16" ht="2" customHeight="1" thickBot="1">
      <c r="B7" s="400"/>
      <c r="C7" s="400"/>
      <c r="D7" s="400"/>
      <c r="E7" s="400"/>
      <c r="F7" s="400"/>
      <c r="G7" s="400"/>
      <c r="H7" s="400"/>
      <c r="I7" s="400"/>
      <c r="J7" s="400"/>
      <c r="K7" s="400"/>
      <c r="L7" s="400"/>
      <c r="M7" s="400"/>
      <c r="N7" s="400"/>
      <c r="O7" s="400"/>
      <c r="P7" s="400"/>
    </row>
    <row r="8" spans="1:16" ht="7" customHeight="1"/>
    <row r="9" spans="1:16" ht="7" customHeight="1"/>
    <row r="10" spans="1:16">
      <c r="K10" s="195" t="s">
        <v>419</v>
      </c>
      <c r="L10" s="189"/>
      <c r="M10" s="189"/>
      <c r="N10" s="189"/>
      <c r="O10" s="189"/>
      <c r="P10" s="189"/>
    </row>
    <row r="11" spans="1:16">
      <c r="M11" s="242" t="s">
        <v>420</v>
      </c>
      <c r="N11" s="242" t="s">
        <v>401</v>
      </c>
      <c r="O11" s="242" t="s">
        <v>421</v>
      </c>
      <c r="P11" s="242" t="s">
        <v>398</v>
      </c>
    </row>
    <row r="12" spans="1:16">
      <c r="K12" s="190" t="s">
        <v>422</v>
      </c>
      <c r="M12" s="245">
        <f>'Company Valuation'!Q35</f>
        <v>1800.15522293407</v>
      </c>
      <c r="N12" s="245">
        <f>M12</f>
        <v>1800.15522293407</v>
      </c>
      <c r="O12" s="245">
        <f>'Company Valuation'!O35</f>
        <v>3467.0310964653827</v>
      </c>
      <c r="P12" s="245">
        <f>O12</f>
        <v>3467.0310964653827</v>
      </c>
    </row>
    <row r="13" spans="1:16">
      <c r="K13" s="190" t="s">
        <v>423</v>
      </c>
      <c r="M13" s="244">
        <f>N13</f>
        <v>594.07066448957346</v>
      </c>
      <c r="N13" s="244">
        <f>DCF!K36</f>
        <v>594.07066448957346</v>
      </c>
      <c r="O13" s="244">
        <f>P13</f>
        <v>646.70756855539753</v>
      </c>
      <c r="P13" s="244">
        <f>DCF!K40</f>
        <v>646.70756855539753</v>
      </c>
    </row>
    <row r="14" spans="1:16">
      <c r="K14" s="190" t="s">
        <v>424</v>
      </c>
      <c r="M14" s="244">
        <f>N14</f>
        <v>720.88223205639474</v>
      </c>
      <c r="N14" s="244">
        <f>DCF!I36</f>
        <v>720.88223205639474</v>
      </c>
      <c r="O14" s="244">
        <f>P14</f>
        <v>815.11087947083638</v>
      </c>
      <c r="P14" s="244">
        <f>DCF!I40</f>
        <v>815.11087947083638</v>
      </c>
    </row>
    <row r="15" spans="1:16">
      <c r="K15" s="190" t="s">
        <v>425</v>
      </c>
      <c r="M15" s="244">
        <f>N15</f>
        <v>806.90684179920947</v>
      </c>
      <c r="N15" s="244">
        <f>DCF!H36</f>
        <v>806.90684179920947</v>
      </c>
      <c r="O15" s="244">
        <f>P15</f>
        <v>937.59572260337188</v>
      </c>
      <c r="P15" s="244">
        <f>DCF!H40</f>
        <v>937.59572260337188</v>
      </c>
    </row>
    <row r="16" spans="1:16">
      <c r="K16" s="190" t="s">
        <v>426</v>
      </c>
      <c r="M16" s="245">
        <f>N16</f>
        <v>542.54999999999995</v>
      </c>
      <c r="N16" s="246">
        <v>542.54999999999995</v>
      </c>
      <c r="O16" s="245">
        <f>P16</f>
        <v>1142</v>
      </c>
      <c r="P16" s="246">
        <v>1142</v>
      </c>
    </row>
    <row r="21" spans="2:11">
      <c r="K21" s="191"/>
    </row>
    <row r="26" spans="2:11">
      <c r="B26" s="441" t="s">
        <v>1598</v>
      </c>
      <c r="C26" s="441"/>
      <c r="D26" s="441"/>
      <c r="E26" s="441"/>
      <c r="F26" s="441"/>
      <c r="G26" s="441"/>
      <c r="H26" s="441"/>
      <c r="I26" s="441"/>
    </row>
    <row r="27" spans="2:11">
      <c r="B27" s="360" t="s">
        <v>313</v>
      </c>
    </row>
  </sheetData>
  <mergeCells count="1">
    <mergeCell ref="B26:I26"/>
  </mergeCells>
  <phoneticPr fontId="50" type="noConversion"/>
  <pageMargins left="0.25" right="0.25" top="0.75" bottom="0.75" header="0.3" footer="0.3"/>
  <pageSetup scale="78"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41446-DA3F-41B9-B92B-3741755A61A6}">
  <sheetPr codeName="Sheet29">
    <tabColor theme="9" tint="0.59999389629810485"/>
  </sheetPr>
  <dimension ref="A1"/>
  <sheetViews>
    <sheetView workbookViewId="0"/>
  </sheetViews>
  <sheetFormatPr defaultRowHeight="14.5"/>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C3E2A-5AAB-40E5-BA43-425BFDEFB0A0}">
  <sheetPr codeName="Sheet30">
    <pageSetUpPr fitToPage="1"/>
  </sheetPr>
  <dimension ref="A1:Q5190"/>
  <sheetViews>
    <sheetView showGridLines="0" workbookViewId="0">
      <pane ySplit="1" topLeftCell="A2" activePane="bottomLeft" state="frozen"/>
      <selection pane="bottomLeft" activeCell="M13" sqref="M13"/>
    </sheetView>
  </sheetViews>
  <sheetFormatPr defaultRowHeight="14.5"/>
  <cols>
    <col min="1" max="1" width="1.81640625" style="247" customWidth="1"/>
    <col min="2" max="2" width="10.453125" style="251" bestFit="1" customWidth="1"/>
    <col min="3" max="3" width="11.54296875" style="251" bestFit="1" customWidth="1"/>
    <col min="4" max="4" width="12.7265625" style="251" bestFit="1" customWidth="1"/>
    <col min="5" max="5" width="16.54296875" style="251" bestFit="1" customWidth="1"/>
    <col min="6" max="7" width="12" style="251" bestFit="1" customWidth="1"/>
    <col min="8" max="8" width="11.1796875" style="251" bestFit="1" customWidth="1"/>
    <col min="9" max="10" width="10.54296875" style="251" bestFit="1" customWidth="1"/>
    <col min="11" max="11" width="11.1796875" style="251" bestFit="1" customWidth="1"/>
    <col min="12" max="12" width="1.90625" style="251" customWidth="1"/>
    <col min="13" max="16384" width="8.7265625" style="251"/>
  </cols>
  <sheetData>
    <row r="1" spans="1:17">
      <c r="A1" s="273"/>
      <c r="B1" s="361"/>
      <c r="C1" s="361"/>
      <c r="D1" s="361"/>
      <c r="E1" s="361"/>
      <c r="F1" s="361"/>
      <c r="G1" s="361"/>
      <c r="H1" s="361"/>
      <c r="I1" s="361"/>
      <c r="J1" s="93"/>
      <c r="K1" s="93"/>
      <c r="L1" s="48"/>
      <c r="M1" s="48"/>
      <c r="N1" s="48"/>
      <c r="O1" s="48"/>
      <c r="P1" s="48"/>
      <c r="Q1" s="48"/>
    </row>
    <row r="2" spans="1:17" ht="3.5" customHeight="1">
      <c r="A2" s="273"/>
      <c r="B2" s="273"/>
      <c r="C2" s="273"/>
      <c r="D2" s="273"/>
      <c r="E2" s="273"/>
      <c r="F2" s="273"/>
      <c r="G2" s="273"/>
      <c r="H2" s="273"/>
      <c r="I2" s="273"/>
      <c r="J2"/>
      <c r="K2"/>
      <c r="L2"/>
      <c r="M2"/>
      <c r="N2"/>
      <c r="O2"/>
      <c r="P2"/>
      <c r="Q2"/>
    </row>
    <row r="3" spans="1:17" ht="22.5" customHeight="1">
      <c r="A3" s="273"/>
      <c r="B3" s="398" t="str">
        <f>'Data Sheet'!B1</f>
        <v>TATA MOTORS LTD</v>
      </c>
      <c r="C3" s="273"/>
      <c r="D3" s="273"/>
      <c r="E3" s="273"/>
      <c r="F3" s="273"/>
      <c r="G3" s="273"/>
      <c r="H3" s="273"/>
      <c r="I3" s="273"/>
      <c r="J3"/>
      <c r="K3"/>
      <c r="L3"/>
      <c r="M3"/>
      <c r="N3"/>
      <c r="O3"/>
      <c r="P3"/>
      <c r="Q3"/>
    </row>
    <row r="4" spans="1:17" ht="11" customHeight="1">
      <c r="A4" s="273"/>
      <c r="B4" s="274" t="s">
        <v>460</v>
      </c>
      <c r="C4" s="273"/>
      <c r="D4" s="273"/>
      <c r="E4" s="273"/>
      <c r="F4" s="273"/>
      <c r="G4" s="273"/>
      <c r="H4" s="273"/>
      <c r="I4" s="273"/>
      <c r="J4"/>
      <c r="K4"/>
      <c r="L4"/>
      <c r="M4"/>
      <c r="N4"/>
      <c r="O4"/>
      <c r="P4"/>
      <c r="Q4"/>
    </row>
    <row r="5" spans="1:17" ht="18.5">
      <c r="A5" s="273"/>
      <c r="B5" s="363" t="s">
        <v>461</v>
      </c>
      <c r="C5" s="273"/>
      <c r="D5" s="273"/>
      <c r="E5" s="273"/>
      <c r="F5" s="273"/>
      <c r="G5" s="273"/>
      <c r="H5" s="273"/>
      <c r="I5" s="273"/>
      <c r="J5"/>
      <c r="K5"/>
      <c r="L5"/>
      <c r="M5"/>
      <c r="N5"/>
      <c r="O5"/>
      <c r="P5"/>
      <c r="Q5"/>
    </row>
    <row r="6" spans="1:17">
      <c r="A6" s="273"/>
      <c r="B6" s="279" t="s">
        <v>463</v>
      </c>
      <c r="C6" s="273"/>
      <c r="D6" s="273"/>
      <c r="E6" s="273"/>
      <c r="F6" s="273"/>
      <c r="G6" s="273"/>
      <c r="H6" s="273"/>
      <c r="I6" s="273"/>
      <c r="J6"/>
      <c r="K6"/>
      <c r="L6"/>
      <c r="M6"/>
      <c r="N6"/>
      <c r="O6"/>
      <c r="P6"/>
      <c r="Q6"/>
    </row>
    <row r="7" spans="1:17" ht="2" customHeight="1" thickBot="1">
      <c r="A7" s="399"/>
      <c r="B7" s="400"/>
      <c r="C7" s="400"/>
      <c r="D7" s="400"/>
      <c r="E7" s="400"/>
      <c r="F7" s="400"/>
      <c r="G7" s="400"/>
      <c r="H7" s="400"/>
      <c r="I7" s="400"/>
      <c r="J7" s="400"/>
      <c r="K7" s="400"/>
      <c r="L7" s="190"/>
      <c r="M7" s="190"/>
      <c r="N7" s="190"/>
      <c r="O7" s="190"/>
      <c r="P7" s="190"/>
      <c r="Q7" s="190"/>
    </row>
    <row r="8" spans="1:17" ht="7" customHeight="1"/>
    <row r="9" spans="1:17">
      <c r="A9" s="247" t="s">
        <v>94</v>
      </c>
      <c r="B9" s="248" t="s">
        <v>362</v>
      </c>
      <c r="C9" s="249" t="s">
        <v>430</v>
      </c>
      <c r="D9" s="249" t="s">
        <v>364</v>
      </c>
      <c r="E9" s="249" t="s">
        <v>431</v>
      </c>
      <c r="F9" s="250"/>
      <c r="G9" s="248" t="s">
        <v>446</v>
      </c>
      <c r="H9" s="248"/>
      <c r="I9" s="248"/>
      <c r="J9" s="248"/>
      <c r="K9" s="248"/>
    </row>
    <row r="10" spans="1:17">
      <c r="B10" s="252">
        <v>44482</v>
      </c>
      <c r="C10" s="251">
        <v>506.9</v>
      </c>
      <c r="D10" s="251">
        <f t="shared" ref="D10:D73" si="0">(C10-C11)/C11</f>
        <v>4.4359249329758708</v>
      </c>
      <c r="E10" s="251">
        <v>0.20446714981584876</v>
      </c>
      <c r="G10" s="253" t="s">
        <v>190</v>
      </c>
      <c r="H10" s="253"/>
      <c r="I10" s="253"/>
      <c r="J10" s="253"/>
      <c r="K10" s="254">
        <f>AVERAGE(E10:E2482)</f>
        <v>6.4317360421237081E-4</v>
      </c>
    </row>
    <row r="11" spans="1:17">
      <c r="B11" s="252">
        <v>43951</v>
      </c>
      <c r="C11" s="251">
        <v>93.25</v>
      </c>
      <c r="D11" s="251">
        <f t="shared" si="0"/>
        <v>-0.4592635546535227</v>
      </c>
      <c r="E11" s="251">
        <v>0.19321817018554055</v>
      </c>
      <c r="G11" s="253" t="s">
        <v>432</v>
      </c>
      <c r="H11" s="253"/>
      <c r="I11" s="253"/>
      <c r="J11" s="253"/>
      <c r="K11" s="254">
        <f>_xlfn.STDEV.S(E10:E2482)</f>
        <v>2.6231988585151265E-2</v>
      </c>
    </row>
    <row r="12" spans="1:17">
      <c r="B12" s="252">
        <v>43767</v>
      </c>
      <c r="C12" s="251">
        <v>172.45</v>
      </c>
      <c r="D12" s="251">
        <f t="shared" si="0"/>
        <v>0.16756939742721735</v>
      </c>
      <c r="E12" s="251">
        <v>0.16756939742721735</v>
      </c>
      <c r="G12" s="253" t="s">
        <v>433</v>
      </c>
      <c r="H12" s="253"/>
      <c r="I12" s="253"/>
      <c r="J12" s="253"/>
      <c r="K12" s="254">
        <f>MIN(E10:E2482)</f>
        <v>-0.17582718074924805</v>
      </c>
    </row>
    <row r="13" spans="1:17">
      <c r="B13" s="252">
        <v>43765</v>
      </c>
      <c r="C13" s="251">
        <v>147.69999999999999</v>
      </c>
      <c r="D13" s="251">
        <f t="shared" si="0"/>
        <v>-0.54130434782608694</v>
      </c>
      <c r="E13" s="251">
        <v>0.16436736302719743</v>
      </c>
      <c r="G13" s="253" t="s">
        <v>434</v>
      </c>
      <c r="H13" s="253"/>
      <c r="I13" s="253"/>
      <c r="J13" s="253"/>
      <c r="K13" s="254">
        <f>MAX(E10:E2482)</f>
        <v>0.20446714981584876</v>
      </c>
    </row>
    <row r="14" spans="1:17">
      <c r="B14" s="252">
        <v>44229</v>
      </c>
      <c r="C14" s="251">
        <v>322</v>
      </c>
      <c r="D14" s="251">
        <f t="shared" si="0"/>
        <v>1.90744920993228</v>
      </c>
      <c r="E14" s="251">
        <v>0.15164520743919876</v>
      </c>
      <c r="G14" s="253" t="s">
        <v>435</v>
      </c>
      <c r="H14" s="253"/>
      <c r="I14" s="253"/>
      <c r="J14" s="253"/>
      <c r="K14" s="255">
        <v>700.25</v>
      </c>
    </row>
    <row r="15" spans="1:17">
      <c r="B15" s="252">
        <v>43987</v>
      </c>
      <c r="C15" s="251">
        <v>110.75</v>
      </c>
      <c r="D15" s="251">
        <f t="shared" si="0"/>
        <v>-0.70584329349269592</v>
      </c>
      <c r="E15" s="251">
        <v>0.12436548223350254</v>
      </c>
    </row>
    <row r="16" spans="1:17">
      <c r="B16" s="252">
        <v>44476</v>
      </c>
      <c r="C16" s="251">
        <v>376.5</v>
      </c>
      <c r="D16" s="251">
        <f t="shared" si="0"/>
        <v>0.70632222977566272</v>
      </c>
      <c r="E16" s="251">
        <v>0.1203689927094182</v>
      </c>
      <c r="G16" s="256" t="s">
        <v>436</v>
      </c>
      <c r="H16" s="257" t="s">
        <v>437</v>
      </c>
      <c r="I16" s="258" t="s">
        <v>438</v>
      </c>
      <c r="J16" s="258" t="s">
        <v>439</v>
      </c>
      <c r="K16" s="258" t="s">
        <v>440</v>
      </c>
    </row>
    <row r="17" spans="2:11">
      <c r="B17" s="252">
        <v>44207</v>
      </c>
      <c r="C17" s="251">
        <v>220.65</v>
      </c>
      <c r="D17" s="251">
        <f t="shared" si="0"/>
        <v>0.20081632653061227</v>
      </c>
      <c r="E17" s="251">
        <v>0.11355034065102194</v>
      </c>
      <c r="G17" s="259">
        <v>0.05</v>
      </c>
      <c r="H17" s="260">
        <f>100%-G17</f>
        <v>0.95</v>
      </c>
      <c r="I17" s="261">
        <f>_xlfn.PERCENTILE.INC($E$10:$E$2482, G17)</f>
        <v>-3.8066992440123057E-2</v>
      </c>
      <c r="J17" s="262">
        <f>$K$14*(1-I17)</f>
        <v>726.90641145619622</v>
      </c>
      <c r="K17" s="262">
        <f>$K$14-J17</f>
        <v>-26.656411456196224</v>
      </c>
    </row>
    <row r="18" spans="2:11">
      <c r="B18" s="252">
        <v>43866</v>
      </c>
      <c r="C18" s="251">
        <v>183.75</v>
      </c>
      <c r="D18" s="251">
        <f t="shared" si="0"/>
        <v>0.31720430107526881</v>
      </c>
      <c r="E18" s="251">
        <v>0.10893180446590231</v>
      </c>
      <c r="G18" s="263">
        <v>0.01</v>
      </c>
      <c r="H18" s="264">
        <f t="shared" ref="H18:H20" si="1">100%-G18</f>
        <v>0.99</v>
      </c>
      <c r="I18" s="261">
        <f t="shared" ref="I18:I20" si="2">_xlfn.PERCENTILE.INC($E$10:$E$2482, G18)</f>
        <v>-7.033320372496929E-2</v>
      </c>
      <c r="J18" s="265">
        <f>$K$14*(1-I18)</f>
        <v>749.50082590840975</v>
      </c>
      <c r="K18" s="265">
        <f t="shared" ref="K18:K20" si="3">$K$14-J18</f>
        <v>-49.250825908409752</v>
      </c>
    </row>
    <row r="19" spans="2:11">
      <c r="B19" s="252">
        <v>43755</v>
      </c>
      <c r="C19" s="251">
        <v>139.5</v>
      </c>
      <c r="D19" s="251">
        <f t="shared" si="0"/>
        <v>0.8699731903485256</v>
      </c>
      <c r="E19" s="251">
        <v>0.10846245530393331</v>
      </c>
      <c r="G19" s="263">
        <v>5.0000000000000001E-3</v>
      </c>
      <c r="H19" s="264">
        <f t="shared" si="1"/>
        <v>0.995</v>
      </c>
      <c r="I19" s="261">
        <f t="shared" si="2"/>
        <v>-8.7735901307848682E-2</v>
      </c>
      <c r="J19" s="265">
        <f>$K$14*(1-I19)</f>
        <v>761.68706489082103</v>
      </c>
      <c r="K19" s="265">
        <f t="shared" si="3"/>
        <v>-61.437064890821034</v>
      </c>
    </row>
    <row r="20" spans="2:11">
      <c r="B20" s="252">
        <v>43930</v>
      </c>
      <c r="C20" s="251">
        <v>74.599999999999994</v>
      </c>
      <c r="D20" s="251">
        <f t="shared" si="0"/>
        <v>-0.44473390398213625</v>
      </c>
      <c r="E20" s="251">
        <v>0.10355029585798818</v>
      </c>
      <c r="G20" s="266">
        <v>0.1</v>
      </c>
      <c r="H20" s="264">
        <f t="shared" si="1"/>
        <v>0.9</v>
      </c>
      <c r="I20" s="261">
        <f t="shared" si="2"/>
        <v>-2.6877811628994889E-2</v>
      </c>
      <c r="J20" s="265">
        <f>$K$14*(1-I20)</f>
        <v>719.07118759320372</v>
      </c>
      <c r="K20" s="265">
        <f t="shared" si="3"/>
        <v>-18.821187593203717</v>
      </c>
    </row>
    <row r="21" spans="2:11">
      <c r="B21" s="252">
        <v>43719</v>
      </c>
      <c r="C21" s="251">
        <v>134.35</v>
      </c>
      <c r="D21" s="251">
        <f t="shared" si="0"/>
        <v>-0.22564841498559082</v>
      </c>
      <c r="E21" s="251">
        <v>0.10213289581624273</v>
      </c>
    </row>
    <row r="22" spans="2:11">
      <c r="B22" s="252">
        <v>44153</v>
      </c>
      <c r="C22" s="251">
        <v>173.5</v>
      </c>
      <c r="D22" s="251">
        <f t="shared" si="0"/>
        <v>-0.62253888828456427</v>
      </c>
      <c r="E22" s="251">
        <v>9.8101265822784806E-2</v>
      </c>
    </row>
    <row r="23" spans="2:11">
      <c r="B23" s="252">
        <v>42521</v>
      </c>
      <c r="C23" s="251">
        <v>459.65</v>
      </c>
      <c r="D23" s="251">
        <f t="shared" si="0"/>
        <v>2.8192771084337349</v>
      </c>
      <c r="E23" s="251">
        <v>9.115727002967354E-2</v>
      </c>
    </row>
    <row r="24" spans="2:11">
      <c r="B24" s="252">
        <v>43704</v>
      </c>
      <c r="C24" s="251">
        <v>120.35</v>
      </c>
      <c r="D24" s="251">
        <f t="shared" si="0"/>
        <v>-0.70232500618352722</v>
      </c>
      <c r="E24" s="251">
        <v>8.8647670737222947E-2</v>
      </c>
    </row>
    <row r="25" spans="2:11">
      <c r="B25" s="252">
        <v>44694</v>
      </c>
      <c r="C25" s="251">
        <v>404.3</v>
      </c>
      <c r="D25" s="251">
        <f t="shared" si="0"/>
        <v>-2.7540589296452169E-2</v>
      </c>
      <c r="E25" s="251">
        <v>8.5952189094816001E-2</v>
      </c>
    </row>
    <row r="26" spans="2:11">
      <c r="B26" s="252">
        <v>44480</v>
      </c>
      <c r="C26" s="251">
        <v>415.75</v>
      </c>
      <c r="D26" s="251">
        <f t="shared" si="0"/>
        <v>2.0148658448150836</v>
      </c>
      <c r="E26" s="251">
        <v>8.5650868259563945E-2</v>
      </c>
    </row>
    <row r="27" spans="2:11">
      <c r="B27" s="252">
        <v>44069</v>
      </c>
      <c r="C27" s="251">
        <v>137.9</v>
      </c>
      <c r="D27" s="251">
        <f t="shared" si="0"/>
        <v>-0.32052229613205219</v>
      </c>
      <c r="E27" s="251">
        <v>8.4972462627852172E-2</v>
      </c>
    </row>
    <row r="28" spans="2:11">
      <c r="B28" s="252">
        <v>43557</v>
      </c>
      <c r="C28" s="251">
        <v>202.95</v>
      </c>
      <c r="D28" s="251">
        <f t="shared" si="0"/>
        <v>-0.467741935483871</v>
      </c>
      <c r="E28" s="251">
        <v>8.326661329063248E-2</v>
      </c>
    </row>
    <row r="29" spans="2:11">
      <c r="B29" s="252">
        <v>42292</v>
      </c>
      <c r="C29" s="251">
        <v>381.3</v>
      </c>
      <c r="D29" s="251">
        <f t="shared" si="0"/>
        <v>1.63419689119171</v>
      </c>
      <c r="E29" s="251">
        <v>8.2316207777462388E-2</v>
      </c>
    </row>
    <row r="30" spans="2:11">
      <c r="B30" s="252">
        <v>44110</v>
      </c>
      <c r="C30" s="251">
        <v>144.75</v>
      </c>
      <c r="D30" s="251">
        <f t="shared" si="0"/>
        <v>0.28040689960194609</v>
      </c>
      <c r="E30" s="251">
        <v>8.1030619865571279E-2</v>
      </c>
    </row>
    <row r="31" spans="2:11">
      <c r="B31" s="252">
        <v>44046</v>
      </c>
      <c r="C31" s="251">
        <v>113.05</v>
      </c>
      <c r="D31" s="251">
        <f t="shared" si="0"/>
        <v>-0.62108262108262102</v>
      </c>
      <c r="E31" s="251">
        <v>8.0267558528428012E-2</v>
      </c>
    </row>
    <row r="32" spans="2:11">
      <c r="B32" s="252">
        <v>42412</v>
      </c>
      <c r="C32" s="251">
        <v>298.35000000000002</v>
      </c>
      <c r="D32" s="251">
        <f t="shared" si="0"/>
        <v>0.88829113924050651</v>
      </c>
      <c r="E32" s="251">
        <v>7.9609191242988958E-2</v>
      </c>
    </row>
    <row r="33" spans="2:5">
      <c r="B33" s="252">
        <v>44152</v>
      </c>
      <c r="C33" s="251">
        <v>158</v>
      </c>
      <c r="D33" s="251">
        <f t="shared" si="0"/>
        <v>0.33841592545531557</v>
      </c>
      <c r="E33" s="251">
        <v>7.9603689784762593E-2</v>
      </c>
    </row>
    <row r="34" spans="2:5">
      <c r="B34" s="252">
        <v>43713</v>
      </c>
      <c r="C34" s="251">
        <v>118.05</v>
      </c>
      <c r="D34" s="251">
        <f t="shared" si="0"/>
        <v>-0.50357443229604715</v>
      </c>
      <c r="E34" s="251">
        <v>7.8082191780821888E-2</v>
      </c>
    </row>
    <row r="35" spans="2:5">
      <c r="B35" s="252">
        <v>44208</v>
      </c>
      <c r="C35" s="251">
        <v>237.8</v>
      </c>
      <c r="D35" s="251">
        <f t="shared" si="0"/>
        <v>1.4642487046632127</v>
      </c>
      <c r="E35" s="251">
        <v>7.7724903693632469E-2</v>
      </c>
    </row>
    <row r="36" spans="2:5">
      <c r="B36" s="252">
        <v>43984</v>
      </c>
      <c r="C36" s="251">
        <v>96.5</v>
      </c>
      <c r="D36" s="251">
        <f t="shared" si="0"/>
        <v>-0.50270548827621753</v>
      </c>
      <c r="E36" s="251">
        <v>7.7610273590173126E-2</v>
      </c>
    </row>
    <row r="37" spans="2:5">
      <c r="B37" s="252">
        <v>43529</v>
      </c>
      <c r="C37" s="251">
        <v>194.05</v>
      </c>
      <c r="D37" s="251">
        <f t="shared" si="0"/>
        <v>2.0510123586642153E-2</v>
      </c>
      <c r="E37" s="251">
        <v>7.6261785912368277E-2</v>
      </c>
    </row>
    <row r="38" spans="2:5">
      <c r="B38" s="252">
        <v>43605</v>
      </c>
      <c r="C38" s="251">
        <v>190.15</v>
      </c>
      <c r="D38" s="251">
        <f t="shared" si="0"/>
        <v>1.4945289564985382E-2</v>
      </c>
      <c r="E38" s="251">
        <v>7.5204975968334808E-2</v>
      </c>
    </row>
    <row r="39" spans="2:5">
      <c r="B39" s="252">
        <v>43556</v>
      </c>
      <c r="C39" s="251">
        <v>187.35</v>
      </c>
      <c r="D39" s="251">
        <f t="shared" si="0"/>
        <v>-0.59249592169657417</v>
      </c>
      <c r="E39" s="251">
        <v>7.5179340028694377E-2</v>
      </c>
    </row>
    <row r="40" spans="2:5">
      <c r="B40" s="252">
        <v>44617</v>
      </c>
      <c r="C40" s="251">
        <v>459.75</v>
      </c>
      <c r="D40" s="251">
        <f t="shared" si="0"/>
        <v>0.98381877022653719</v>
      </c>
      <c r="E40" s="251">
        <v>7.4307746232036481E-2</v>
      </c>
    </row>
    <row r="41" spans="2:5">
      <c r="B41" s="252">
        <v>43570</v>
      </c>
      <c r="C41" s="251">
        <v>231.75</v>
      </c>
      <c r="D41" s="251">
        <f t="shared" si="0"/>
        <v>0.7392120075046904</v>
      </c>
      <c r="E41" s="251">
        <v>7.3165084510303374E-2</v>
      </c>
    </row>
    <row r="42" spans="2:5">
      <c r="B42" s="252">
        <v>43728</v>
      </c>
      <c r="C42" s="251">
        <v>133.25</v>
      </c>
      <c r="D42" s="251">
        <f t="shared" si="0"/>
        <v>-0.23132391116238821</v>
      </c>
      <c r="E42" s="251">
        <v>7.2866344605475017E-2</v>
      </c>
    </row>
    <row r="43" spans="2:5">
      <c r="B43" s="252">
        <v>43811</v>
      </c>
      <c r="C43" s="251">
        <v>173.35</v>
      </c>
      <c r="D43" s="251">
        <f t="shared" si="0"/>
        <v>2.3317591499409613E-2</v>
      </c>
      <c r="E43" s="251">
        <v>7.1384425216316327E-2</v>
      </c>
    </row>
    <row r="44" spans="2:5">
      <c r="B44" s="252">
        <v>43803</v>
      </c>
      <c r="C44" s="251">
        <v>169.4</v>
      </c>
      <c r="D44" s="251">
        <f t="shared" si="0"/>
        <v>-0.71224732461355533</v>
      </c>
      <c r="E44" s="251">
        <v>7.079646017699126E-2</v>
      </c>
    </row>
    <row r="45" spans="2:5">
      <c r="B45" s="252">
        <v>42619</v>
      </c>
      <c r="C45" s="251">
        <v>588.70000000000005</v>
      </c>
      <c r="D45" s="251">
        <f t="shared" si="0"/>
        <v>0.16805555555555565</v>
      </c>
      <c r="E45" s="251">
        <v>7.0655633354551287E-2</v>
      </c>
    </row>
    <row r="46" spans="2:5">
      <c r="B46" s="252">
        <v>44607</v>
      </c>
      <c r="C46" s="251">
        <v>504</v>
      </c>
      <c r="D46" s="251">
        <f t="shared" si="0"/>
        <v>1.6801382611007709</v>
      </c>
      <c r="E46" s="251">
        <v>6.9042316258351916E-2</v>
      </c>
    </row>
    <row r="47" spans="2:5">
      <c r="B47" s="252">
        <v>43859</v>
      </c>
      <c r="C47" s="251">
        <v>188.05</v>
      </c>
      <c r="D47" s="251">
        <f t="shared" si="0"/>
        <v>-0.6518881895594224</v>
      </c>
      <c r="E47" s="251">
        <v>6.7859170925610543E-2</v>
      </c>
    </row>
    <row r="48" spans="2:5">
      <c r="B48" s="252">
        <v>42682</v>
      </c>
      <c r="C48" s="251">
        <v>540.20000000000005</v>
      </c>
      <c r="D48" s="251">
        <f t="shared" si="0"/>
        <v>0.64269423749429833</v>
      </c>
      <c r="E48" s="251">
        <v>6.6850992396563683E-2</v>
      </c>
    </row>
    <row r="49" spans="2:5">
      <c r="B49" s="252">
        <v>42241</v>
      </c>
      <c r="C49" s="251">
        <v>328.85</v>
      </c>
      <c r="D49" s="251">
        <f t="shared" si="0"/>
        <v>-0.31164046637221859</v>
      </c>
      <c r="E49" s="251">
        <v>6.6828872668288797E-2</v>
      </c>
    </row>
    <row r="50" spans="2:5">
      <c r="B50" s="252">
        <v>44774</v>
      </c>
      <c r="C50" s="251">
        <v>477.73</v>
      </c>
      <c r="D50" s="251">
        <f t="shared" si="0"/>
        <v>0.70861945636623735</v>
      </c>
      <c r="E50" s="251">
        <v>6.583820445317029E-2</v>
      </c>
    </row>
    <row r="51" spans="2:5">
      <c r="B51" s="252">
        <v>44228</v>
      </c>
      <c r="C51" s="251">
        <v>279.60000000000002</v>
      </c>
      <c r="D51" s="251">
        <f t="shared" si="0"/>
        <v>-0.13703703703703696</v>
      </c>
      <c r="E51" s="251">
        <v>6.4331937571374329E-2</v>
      </c>
    </row>
    <row r="52" spans="2:5">
      <c r="B52" s="252">
        <v>44250</v>
      </c>
      <c r="C52" s="251">
        <v>324</v>
      </c>
      <c r="D52" s="251">
        <f t="shared" si="0"/>
        <v>2.1609756097560977</v>
      </c>
      <c r="E52" s="251">
        <v>6.4039408866995079E-2</v>
      </c>
    </row>
    <row r="53" spans="2:5">
      <c r="B53" s="252">
        <v>44001</v>
      </c>
      <c r="C53" s="251">
        <v>102.5</v>
      </c>
      <c r="D53" s="251">
        <f t="shared" si="0"/>
        <v>-0.69489507367167735</v>
      </c>
      <c r="E53" s="251">
        <v>6.3829787234042618E-2</v>
      </c>
    </row>
    <row r="54" spans="2:5">
      <c r="B54" s="252">
        <v>44235</v>
      </c>
      <c r="C54" s="251">
        <v>335.95</v>
      </c>
      <c r="D54" s="251">
        <f t="shared" si="0"/>
        <v>-0.24374760822096667</v>
      </c>
      <c r="E54" s="251">
        <v>6.3469452358341283E-2</v>
      </c>
    </row>
    <row r="55" spans="2:5">
      <c r="B55" s="252">
        <v>44953</v>
      </c>
      <c r="C55" s="251">
        <v>444.23</v>
      </c>
      <c r="D55" s="251">
        <f t="shared" si="0"/>
        <v>0.40025216706067773</v>
      </c>
      <c r="E55" s="251">
        <v>6.3361738797395706E-2</v>
      </c>
    </row>
    <row r="56" spans="2:5">
      <c r="B56" s="252">
        <v>42415</v>
      </c>
      <c r="C56" s="251">
        <v>317.25</v>
      </c>
      <c r="D56" s="251">
        <f t="shared" si="0"/>
        <v>0.1540560203710441</v>
      </c>
      <c r="E56" s="251">
        <v>6.3348416289592674E-2</v>
      </c>
    </row>
    <row r="57" spans="2:5">
      <c r="B57" s="252">
        <v>44216</v>
      </c>
      <c r="C57" s="251">
        <v>274.89999999999998</v>
      </c>
      <c r="D57" s="251">
        <f t="shared" si="0"/>
        <v>2.1927990708478511</v>
      </c>
      <c r="E57" s="251">
        <v>6.2826213029190031E-2</v>
      </c>
    </row>
    <row r="58" spans="2:5">
      <c r="B58" s="252">
        <v>43962</v>
      </c>
      <c r="C58" s="251">
        <v>86.1</v>
      </c>
      <c r="D58" s="251">
        <f t="shared" si="0"/>
        <v>-0.6692278140606992</v>
      </c>
      <c r="E58" s="251">
        <v>6.2307217766810578E-2</v>
      </c>
    </row>
    <row r="59" spans="2:5">
      <c r="B59" s="252">
        <v>44211</v>
      </c>
      <c r="C59" s="251">
        <v>260.3</v>
      </c>
      <c r="D59" s="251">
        <f t="shared" si="0"/>
        <v>-0.22690822690822685</v>
      </c>
      <c r="E59" s="251">
        <v>6.2015503875969061E-2</v>
      </c>
    </row>
    <row r="60" spans="2:5">
      <c r="B60" s="252">
        <v>42432</v>
      </c>
      <c r="C60" s="251">
        <v>336.7</v>
      </c>
      <c r="D60" s="251">
        <f t="shared" si="0"/>
        <v>1.7508169934640521</v>
      </c>
      <c r="E60" s="251">
        <v>6.1810154525386199E-2</v>
      </c>
    </row>
    <row r="61" spans="2:5">
      <c r="B61" s="252">
        <v>43741</v>
      </c>
      <c r="C61" s="251">
        <v>122.4</v>
      </c>
      <c r="D61" s="251">
        <f t="shared" si="0"/>
        <v>-0.88780420734222465</v>
      </c>
      <c r="E61" s="251">
        <v>6.1578490893321847E-2</v>
      </c>
    </row>
    <row r="62" spans="2:5">
      <c r="B62" s="252">
        <v>45498</v>
      </c>
      <c r="C62" s="267">
        <v>1090.95</v>
      </c>
      <c r="D62" s="251">
        <f t="shared" si="0"/>
        <v>4.7327903310562274</v>
      </c>
      <c r="E62" s="251">
        <v>6.1545198014984918E-2</v>
      </c>
    </row>
    <row r="63" spans="2:5">
      <c r="B63" s="252">
        <v>43406</v>
      </c>
      <c r="C63" s="251">
        <v>190.3</v>
      </c>
      <c r="D63" s="251">
        <f t="shared" si="0"/>
        <v>-0.53769161625731843</v>
      </c>
      <c r="E63" s="251">
        <v>6.0462524380050287E-2</v>
      </c>
    </row>
    <row r="64" spans="2:5">
      <c r="B64" s="252">
        <v>44936</v>
      </c>
      <c r="C64" s="251">
        <v>411.63</v>
      </c>
      <c r="D64" s="251">
        <f t="shared" si="0"/>
        <v>-0.19074019463285163</v>
      </c>
      <c r="E64" s="251">
        <v>6.0218931101094643E-2</v>
      </c>
    </row>
    <row r="65" spans="2:5">
      <c r="B65" s="252">
        <v>44495</v>
      </c>
      <c r="C65" s="251">
        <v>508.65</v>
      </c>
      <c r="D65" s="251">
        <f t="shared" si="0"/>
        <v>0.2563912560207483</v>
      </c>
      <c r="E65" s="251">
        <v>5.99083142321317E-2</v>
      </c>
    </row>
    <row r="66" spans="2:5">
      <c r="B66" s="252">
        <v>42312</v>
      </c>
      <c r="C66" s="251">
        <v>404.85</v>
      </c>
      <c r="D66" s="251">
        <f t="shared" si="0"/>
        <v>4.2373868046571799</v>
      </c>
      <c r="E66" s="251">
        <v>5.9678052610914828E-2</v>
      </c>
    </row>
    <row r="67" spans="2:5">
      <c r="B67" s="252">
        <v>43910</v>
      </c>
      <c r="C67" s="251">
        <v>77.3</v>
      </c>
      <c r="D67" s="251">
        <f t="shared" si="0"/>
        <v>-0.58518916018245237</v>
      </c>
      <c r="E67" s="251">
        <v>5.9629883481836794E-2</v>
      </c>
    </row>
    <row r="68" spans="2:5">
      <c r="B68" s="252">
        <v>44193</v>
      </c>
      <c r="C68" s="251">
        <v>186.35</v>
      </c>
      <c r="D68" s="251">
        <f t="shared" si="0"/>
        <v>-0.44156427929277792</v>
      </c>
      <c r="E68" s="251">
        <v>5.9107701051435105E-2</v>
      </c>
    </row>
    <row r="69" spans="2:5">
      <c r="B69" s="252">
        <v>42283</v>
      </c>
      <c r="C69" s="251">
        <v>333.7</v>
      </c>
      <c r="D69" s="251">
        <f t="shared" si="0"/>
        <v>-0.21371347785108386</v>
      </c>
      <c r="E69" s="251">
        <v>5.8860859907980366E-2</v>
      </c>
    </row>
    <row r="70" spans="2:5">
      <c r="B70" s="252">
        <v>42334</v>
      </c>
      <c r="C70" s="251">
        <v>424.4</v>
      </c>
      <c r="D70" s="251">
        <f t="shared" si="0"/>
        <v>0.34666032048231005</v>
      </c>
      <c r="E70" s="251">
        <v>5.8486095523132532E-2</v>
      </c>
    </row>
    <row r="71" spans="2:5">
      <c r="B71" s="252">
        <v>42282</v>
      </c>
      <c r="C71" s="251">
        <v>315.14999999999998</v>
      </c>
      <c r="D71" s="251">
        <f t="shared" si="0"/>
        <v>8.4480385409497427E-2</v>
      </c>
      <c r="E71" s="251">
        <v>5.8438287153652319E-2</v>
      </c>
    </row>
    <row r="72" spans="2:5">
      <c r="B72" s="252">
        <v>44217</v>
      </c>
      <c r="C72" s="251">
        <v>290.60000000000002</v>
      </c>
      <c r="D72" s="251">
        <f t="shared" si="0"/>
        <v>-4.0449067194981009E-2</v>
      </c>
      <c r="E72" s="251">
        <v>5.7111676973445061E-2</v>
      </c>
    </row>
    <row r="73" spans="2:5">
      <c r="B73" s="252">
        <v>44299</v>
      </c>
      <c r="C73" s="251">
        <v>302.85000000000002</v>
      </c>
      <c r="D73" s="251">
        <f t="shared" si="0"/>
        <v>1.441354292623942</v>
      </c>
      <c r="E73" s="251">
        <v>5.688361542488226E-2</v>
      </c>
    </row>
    <row r="74" spans="2:5">
      <c r="B74" s="252">
        <v>43685</v>
      </c>
      <c r="C74" s="251">
        <v>124.05</v>
      </c>
      <c r="D74" s="251">
        <f t="shared" ref="D74:D137" si="4">(C74-C75)/C75</f>
        <v>-0.27029411764705885</v>
      </c>
      <c r="E74" s="251">
        <v>5.6643952299829568E-2</v>
      </c>
    </row>
    <row r="75" spans="2:5">
      <c r="B75" s="252">
        <v>43662</v>
      </c>
      <c r="C75" s="251">
        <v>170</v>
      </c>
      <c r="D75" s="251">
        <f t="shared" si="4"/>
        <v>-0.81600735970561178</v>
      </c>
      <c r="E75" s="251">
        <v>5.6228642435539058E-2</v>
      </c>
    </row>
    <row r="76" spans="2:5">
      <c r="B76" s="252">
        <v>45327</v>
      </c>
      <c r="C76" s="251">
        <v>923.95</v>
      </c>
      <c r="D76" s="251">
        <f t="shared" si="4"/>
        <v>1.0091110724536836</v>
      </c>
      <c r="E76" s="251">
        <v>5.4677244449517826E-2</v>
      </c>
    </row>
    <row r="77" spans="2:5">
      <c r="B77" s="252">
        <v>45026</v>
      </c>
      <c r="C77" s="251">
        <v>459.88</v>
      </c>
      <c r="D77" s="251">
        <f t="shared" si="4"/>
        <v>2.5970277669143527</v>
      </c>
      <c r="E77" s="251">
        <v>5.4045381618152609E-2</v>
      </c>
    </row>
    <row r="78" spans="2:5">
      <c r="B78" s="252">
        <v>43752</v>
      </c>
      <c r="C78" s="251">
        <v>127.85</v>
      </c>
      <c r="D78" s="251">
        <f t="shared" si="4"/>
        <v>0.1729357798165137</v>
      </c>
      <c r="E78" s="251">
        <v>5.3998351195383328E-2</v>
      </c>
    </row>
    <row r="79" spans="2:5">
      <c r="B79" s="252">
        <v>44018</v>
      </c>
      <c r="C79" s="251">
        <v>109</v>
      </c>
      <c r="D79" s="251">
        <f t="shared" si="4"/>
        <v>-0.68474331164135938</v>
      </c>
      <c r="E79" s="251">
        <v>5.3649105848235831E-2</v>
      </c>
    </row>
    <row r="80" spans="2:5">
      <c r="B80" s="252">
        <v>44257</v>
      </c>
      <c r="C80" s="251">
        <v>345.75</v>
      </c>
      <c r="D80" s="251">
        <f t="shared" si="4"/>
        <v>9.6400824480735614E-2</v>
      </c>
      <c r="E80" s="251">
        <v>5.3152604325312179E-2</v>
      </c>
    </row>
    <row r="81" spans="2:5">
      <c r="B81" s="252">
        <v>42430</v>
      </c>
      <c r="C81" s="251">
        <v>315.35000000000002</v>
      </c>
      <c r="D81" s="251">
        <f t="shared" si="4"/>
        <v>0.64244791666666679</v>
      </c>
      <c r="E81" s="251">
        <v>5.2218885552218999E-2</v>
      </c>
    </row>
    <row r="82" spans="2:5">
      <c r="B82" s="252">
        <v>43839</v>
      </c>
      <c r="C82" s="251">
        <v>192</v>
      </c>
      <c r="D82" s="251">
        <f t="shared" si="4"/>
        <v>-0.25768412913203165</v>
      </c>
      <c r="E82" s="251">
        <v>5.1766639276910373E-2</v>
      </c>
    </row>
    <row r="83" spans="2:5">
      <c r="B83" s="252">
        <v>44215</v>
      </c>
      <c r="C83" s="251">
        <v>258.64999999999998</v>
      </c>
      <c r="D83" s="251">
        <f t="shared" si="4"/>
        <v>0.33496774193548373</v>
      </c>
      <c r="E83" s="251">
        <v>5.1636511486074364E-2</v>
      </c>
    </row>
    <row r="84" spans="2:5">
      <c r="B84" s="252">
        <v>43832</v>
      </c>
      <c r="C84" s="251">
        <v>193.75</v>
      </c>
      <c r="D84" s="251">
        <f t="shared" si="4"/>
        <v>-0.71519917683374978</v>
      </c>
      <c r="E84" s="251">
        <v>5.0420168067226954E-2</v>
      </c>
    </row>
    <row r="85" spans="2:5">
      <c r="B85" s="252">
        <v>45784</v>
      </c>
      <c r="C85" s="251">
        <v>680.3</v>
      </c>
      <c r="D85" s="251">
        <f t="shared" si="4"/>
        <v>2.1488081462624389</v>
      </c>
      <c r="E85" s="251">
        <v>4.95217525455105E-2</v>
      </c>
    </row>
    <row r="86" spans="2:5">
      <c r="B86" s="252">
        <v>43565</v>
      </c>
      <c r="C86" s="251">
        <v>216.05</v>
      </c>
      <c r="D86" s="251">
        <f t="shared" si="4"/>
        <v>-0.56699935866602524</v>
      </c>
      <c r="E86" s="251">
        <v>4.9295774647887348E-2</v>
      </c>
    </row>
    <row r="87" spans="2:5">
      <c r="B87" s="252">
        <v>45054</v>
      </c>
      <c r="C87" s="251">
        <v>498.96</v>
      </c>
      <c r="D87" s="251">
        <f t="shared" si="4"/>
        <v>2.9257277734067664</v>
      </c>
      <c r="E87" s="251">
        <v>4.9050732712402463E-2</v>
      </c>
    </row>
    <row r="88" spans="2:5">
      <c r="B88" s="252">
        <v>44068</v>
      </c>
      <c r="C88" s="251">
        <v>127.1</v>
      </c>
      <c r="D88" s="251">
        <f t="shared" si="4"/>
        <v>-0.69593301435406696</v>
      </c>
      <c r="E88" s="251">
        <v>4.867986798679861E-2</v>
      </c>
    </row>
    <row r="89" spans="2:5">
      <c r="B89" s="252">
        <v>44701</v>
      </c>
      <c r="C89" s="251">
        <v>418</v>
      </c>
      <c r="D89" s="251">
        <f t="shared" si="4"/>
        <v>-0.37147582888504621</v>
      </c>
      <c r="E89" s="251">
        <v>4.8538818512479681E-2</v>
      </c>
    </row>
    <row r="90" spans="2:5">
      <c r="B90" s="252">
        <v>45212</v>
      </c>
      <c r="C90" s="251">
        <v>665.05</v>
      </c>
      <c r="D90" s="251">
        <f t="shared" si="4"/>
        <v>7.2666252330640138</v>
      </c>
      <c r="E90" s="251">
        <v>4.7339328178396423E-2</v>
      </c>
    </row>
    <row r="91" spans="2:5">
      <c r="B91" s="252">
        <v>43941</v>
      </c>
      <c r="C91" s="251">
        <v>80.45</v>
      </c>
      <c r="D91" s="251">
        <f t="shared" si="4"/>
        <v>-0.24424612494128697</v>
      </c>
      <c r="E91" s="251">
        <v>4.684450227716342E-2</v>
      </c>
    </row>
    <row r="92" spans="2:5">
      <c r="B92" s="252">
        <v>44040</v>
      </c>
      <c r="C92" s="251">
        <v>106.45</v>
      </c>
      <c r="D92" s="251">
        <f t="shared" si="4"/>
        <v>-0.74902746669810205</v>
      </c>
      <c r="E92" s="251">
        <v>4.6705998033431659E-2</v>
      </c>
    </row>
    <row r="93" spans="2:5">
      <c r="B93" s="252">
        <v>44698</v>
      </c>
      <c r="C93" s="251">
        <v>424.15</v>
      </c>
      <c r="D93" s="251">
        <f t="shared" si="4"/>
        <v>2.2340831109416697</v>
      </c>
      <c r="E93" s="251">
        <v>4.6379671888491313E-2</v>
      </c>
    </row>
    <row r="94" spans="2:5">
      <c r="B94" s="252">
        <v>44056</v>
      </c>
      <c r="C94" s="251">
        <v>131.15</v>
      </c>
      <c r="D94" s="251">
        <f t="shared" si="4"/>
        <v>-0.69042841968606161</v>
      </c>
      <c r="E94" s="251">
        <v>4.6270442760271334E-2</v>
      </c>
    </row>
    <row r="95" spans="2:5">
      <c r="B95" s="252">
        <v>42997</v>
      </c>
      <c r="C95" s="251">
        <v>423.65</v>
      </c>
      <c r="D95" s="251">
        <f t="shared" si="4"/>
        <v>-0.35800878921048646</v>
      </c>
      <c r="E95" s="251">
        <v>4.6178540560563003E-2</v>
      </c>
    </row>
    <row r="96" spans="2:5">
      <c r="B96" s="252">
        <v>45770</v>
      </c>
      <c r="C96" s="251">
        <v>659.9</v>
      </c>
      <c r="D96" s="251">
        <f t="shared" si="4"/>
        <v>3.5746967071057192</v>
      </c>
      <c r="E96" s="251">
        <v>4.6048981532852425E-2</v>
      </c>
    </row>
    <row r="97" spans="2:5">
      <c r="B97" s="252">
        <v>44070</v>
      </c>
      <c r="C97" s="251">
        <v>144.25</v>
      </c>
      <c r="D97" s="251">
        <f t="shared" si="4"/>
        <v>-0.46593854128100709</v>
      </c>
      <c r="E97" s="251">
        <v>4.6047860768672906E-2</v>
      </c>
    </row>
    <row r="98" spans="2:5">
      <c r="B98" s="252">
        <v>43332</v>
      </c>
      <c r="C98" s="251">
        <v>270.10000000000002</v>
      </c>
      <c r="D98" s="251">
        <f t="shared" si="4"/>
        <v>-0.56589521054323366</v>
      </c>
      <c r="E98" s="251">
        <v>4.5885769603097863E-2</v>
      </c>
    </row>
    <row r="99" spans="2:5">
      <c r="B99" s="252">
        <v>45762</v>
      </c>
      <c r="C99" s="251">
        <v>622.20000000000005</v>
      </c>
      <c r="D99" s="251">
        <f t="shared" si="4"/>
        <v>3.1397205588822357</v>
      </c>
      <c r="E99" s="251">
        <v>4.5626417948071749E-2</v>
      </c>
    </row>
    <row r="100" spans="2:5">
      <c r="B100" s="252">
        <v>44076</v>
      </c>
      <c r="C100" s="251">
        <v>150.30000000000001</v>
      </c>
      <c r="D100" s="251">
        <f t="shared" si="4"/>
        <v>-0.69940000000000002</v>
      </c>
      <c r="E100" s="251">
        <v>4.5201668984700967E-2</v>
      </c>
    </row>
    <row r="101" spans="2:5">
      <c r="B101" s="252">
        <v>42586</v>
      </c>
      <c r="C101" s="251">
        <v>500</v>
      </c>
      <c r="D101" s="251">
        <f t="shared" si="4"/>
        <v>2.7636432066240122</v>
      </c>
      <c r="E101" s="251">
        <v>4.5150501672240849E-2</v>
      </c>
    </row>
    <row r="102" spans="2:5">
      <c r="B102" s="252">
        <v>44102</v>
      </c>
      <c r="C102" s="251">
        <v>132.85</v>
      </c>
      <c r="D102" s="251">
        <f t="shared" si="4"/>
        <v>-0.8815584184014621</v>
      </c>
      <c r="E102" s="251">
        <v>4.4007858546168913E-2</v>
      </c>
    </row>
    <row r="103" spans="2:5">
      <c r="B103" s="252">
        <v>45533</v>
      </c>
      <c r="C103" s="267">
        <v>1121.6500000000001</v>
      </c>
      <c r="D103" s="251">
        <f t="shared" si="4"/>
        <v>1.8863870303654144</v>
      </c>
      <c r="E103" s="251">
        <v>4.3832301893816143E-2</v>
      </c>
    </row>
    <row r="104" spans="2:5">
      <c r="B104" s="252">
        <v>42459</v>
      </c>
      <c r="C104" s="251">
        <v>388.6</v>
      </c>
      <c r="D104" s="251">
        <f t="shared" si="4"/>
        <v>-0.23503937007874012</v>
      </c>
      <c r="E104" s="251">
        <v>4.33615250369178E-2</v>
      </c>
    </row>
    <row r="105" spans="2:5">
      <c r="B105" s="252">
        <v>44490</v>
      </c>
      <c r="C105" s="251">
        <v>508</v>
      </c>
      <c r="D105" s="251">
        <f t="shared" si="4"/>
        <v>0.53173526307854679</v>
      </c>
      <c r="E105" s="251">
        <v>4.3335387143150592E-2</v>
      </c>
    </row>
    <row r="106" spans="2:5">
      <c r="B106" s="252">
        <v>44466</v>
      </c>
      <c r="C106" s="251">
        <v>331.65</v>
      </c>
      <c r="D106" s="251">
        <f t="shared" si="4"/>
        <v>-0.2127002967359051</v>
      </c>
      <c r="E106" s="251">
        <v>4.3088535933322812E-2</v>
      </c>
    </row>
    <row r="107" spans="2:5">
      <c r="B107" s="252">
        <v>42520</v>
      </c>
      <c r="C107" s="251">
        <v>421.25</v>
      </c>
      <c r="D107" s="251">
        <f t="shared" si="4"/>
        <v>1.2931409907457814</v>
      </c>
      <c r="E107" s="251">
        <v>4.295617727160194E-2</v>
      </c>
    </row>
    <row r="108" spans="2:5">
      <c r="B108" s="252">
        <v>43829</v>
      </c>
      <c r="C108" s="251">
        <v>183.7</v>
      </c>
      <c r="D108" s="251">
        <f t="shared" si="4"/>
        <v>-0.65029506948410432</v>
      </c>
      <c r="E108" s="251">
        <v>4.2861197842747563E-2</v>
      </c>
    </row>
    <row r="109" spans="2:5">
      <c r="B109" s="252">
        <v>42611</v>
      </c>
      <c r="C109" s="251">
        <v>525.29999999999995</v>
      </c>
      <c r="D109" s="251">
        <f t="shared" si="4"/>
        <v>6.393384940182969</v>
      </c>
      <c r="E109" s="251">
        <v>4.2779156327543331E-2</v>
      </c>
    </row>
    <row r="110" spans="2:5">
      <c r="B110" s="252">
        <v>43921</v>
      </c>
      <c r="C110" s="251">
        <v>71.05</v>
      </c>
      <c r="D110" s="251">
        <f t="shared" si="4"/>
        <v>-0.3845820701602426</v>
      </c>
      <c r="E110" s="251">
        <v>4.2553191489361576E-2</v>
      </c>
    </row>
    <row r="111" spans="2:5">
      <c r="B111" s="252">
        <v>43990</v>
      </c>
      <c r="C111" s="251">
        <v>115.45</v>
      </c>
      <c r="D111" s="251">
        <f t="shared" si="4"/>
        <v>-0.66526529428819947</v>
      </c>
      <c r="E111" s="251">
        <v>4.2437923250564356E-2</v>
      </c>
    </row>
    <row r="112" spans="2:5">
      <c r="B112" s="252">
        <v>42256</v>
      </c>
      <c r="C112" s="251">
        <v>344.9</v>
      </c>
      <c r="D112" s="251">
        <f t="shared" si="4"/>
        <v>-0.26546693642849545</v>
      </c>
      <c r="E112" s="251">
        <v>4.2308854638863705E-2</v>
      </c>
    </row>
    <row r="113" spans="2:5">
      <c r="B113" s="252">
        <v>42879</v>
      </c>
      <c r="C113" s="251">
        <v>469.55</v>
      </c>
      <c r="D113" s="251">
        <f t="shared" si="4"/>
        <v>1.699338890485772</v>
      </c>
      <c r="E113" s="251">
        <v>4.2286348501664843E-2</v>
      </c>
    </row>
    <row r="114" spans="2:5">
      <c r="B114" s="252">
        <v>43451</v>
      </c>
      <c r="C114" s="251">
        <v>173.95</v>
      </c>
      <c r="D114" s="251">
        <f t="shared" si="4"/>
        <v>-0.76109050954539226</v>
      </c>
      <c r="E114" s="251">
        <v>4.1928721174004195E-2</v>
      </c>
    </row>
    <row r="115" spans="2:5">
      <c r="B115" s="252">
        <v>45792</v>
      </c>
      <c r="C115" s="251">
        <v>728.1</v>
      </c>
      <c r="D115" s="251">
        <f t="shared" si="4"/>
        <v>0.40627716079188803</v>
      </c>
      <c r="E115" s="251">
        <v>4.1705415265755739E-2</v>
      </c>
    </row>
    <row r="116" spans="2:5">
      <c r="B116" s="252">
        <v>44592</v>
      </c>
      <c r="C116" s="251">
        <v>517.75</v>
      </c>
      <c r="D116" s="251">
        <f t="shared" si="4"/>
        <v>0.46195115064238329</v>
      </c>
      <c r="E116" s="251">
        <v>4.1122059119243895E-2</v>
      </c>
    </row>
    <row r="117" spans="2:5">
      <c r="B117" s="252">
        <v>42388</v>
      </c>
      <c r="C117" s="251">
        <v>354.15</v>
      </c>
      <c r="D117" s="251">
        <f t="shared" si="4"/>
        <v>-8.4055347213241954E-2</v>
      </c>
      <c r="E117" s="251">
        <v>4.1005291005290975E-2</v>
      </c>
    </row>
    <row r="118" spans="2:5">
      <c r="B118" s="252">
        <v>42471</v>
      </c>
      <c r="C118" s="251">
        <v>386.65</v>
      </c>
      <c r="D118" s="251">
        <f t="shared" si="4"/>
        <v>1.1209544706527699</v>
      </c>
      <c r="E118" s="251">
        <v>4.0920716112531938E-2</v>
      </c>
    </row>
    <row r="119" spans="2:5">
      <c r="B119" s="252">
        <v>43609</v>
      </c>
      <c r="C119" s="251">
        <v>182.3</v>
      </c>
      <c r="D119" s="251">
        <f t="shared" si="4"/>
        <v>3.9635015682919973E-2</v>
      </c>
      <c r="E119" s="251">
        <v>4.0822152440765092E-2</v>
      </c>
    </row>
    <row r="120" spans="2:5">
      <c r="B120" s="252">
        <v>43402</v>
      </c>
      <c r="C120" s="251">
        <v>175.35</v>
      </c>
      <c r="D120" s="251">
        <f t="shared" si="4"/>
        <v>-0.4430681276798476</v>
      </c>
      <c r="E120" s="251">
        <v>4.0652818991097892E-2</v>
      </c>
    </row>
    <row r="121" spans="2:5">
      <c r="B121" s="252">
        <v>44326</v>
      </c>
      <c r="C121" s="251">
        <v>314.85000000000002</v>
      </c>
      <c r="D121" s="251">
        <f t="shared" si="4"/>
        <v>0.78942881500426287</v>
      </c>
      <c r="E121" s="251">
        <v>3.9966969446738311E-2</v>
      </c>
    </row>
    <row r="122" spans="2:5">
      <c r="B122" s="252">
        <v>44189</v>
      </c>
      <c r="C122" s="251">
        <v>175.95</v>
      </c>
      <c r="D122" s="251">
        <f t="shared" si="4"/>
        <v>0.42067016552280984</v>
      </c>
      <c r="E122" s="251">
        <v>3.9893617021276598E-2</v>
      </c>
    </row>
    <row r="123" spans="2:5">
      <c r="B123" s="252">
        <v>44053</v>
      </c>
      <c r="C123" s="251">
        <v>123.85</v>
      </c>
      <c r="D123" s="251">
        <f t="shared" si="4"/>
        <v>-0.597497562560936</v>
      </c>
      <c r="E123" s="251">
        <v>3.9882451721242655E-2</v>
      </c>
    </row>
    <row r="124" spans="2:5">
      <c r="B124" s="252">
        <v>43242</v>
      </c>
      <c r="C124" s="251">
        <v>307.7</v>
      </c>
      <c r="D124" s="251">
        <f t="shared" si="4"/>
        <v>1.3605677023398544</v>
      </c>
      <c r="E124" s="251">
        <v>3.9878337276106832E-2</v>
      </c>
    </row>
    <row r="125" spans="2:5">
      <c r="B125" s="252">
        <v>43893</v>
      </c>
      <c r="C125" s="251">
        <v>130.35</v>
      </c>
      <c r="D125" s="251">
        <f t="shared" si="4"/>
        <v>-0.68342440801457194</v>
      </c>
      <c r="E125" s="251">
        <v>3.9473684210526223E-2</v>
      </c>
    </row>
    <row r="126" spans="2:5">
      <c r="B126" s="252">
        <v>42317</v>
      </c>
      <c r="C126" s="251">
        <v>411.75</v>
      </c>
      <c r="D126" s="251">
        <f t="shared" si="4"/>
        <v>1.2543115247741581</v>
      </c>
      <c r="E126" s="251">
        <v>3.9379023097311686E-2</v>
      </c>
    </row>
    <row r="127" spans="2:5">
      <c r="B127" s="252">
        <v>43522</v>
      </c>
      <c r="C127" s="251">
        <v>182.65</v>
      </c>
      <c r="D127" s="251">
        <f t="shared" si="4"/>
        <v>-0.62309120924473804</v>
      </c>
      <c r="E127" s="251">
        <v>3.9260312944523507E-2</v>
      </c>
    </row>
    <row r="128" spans="2:5">
      <c r="B128" s="252">
        <v>42562</v>
      </c>
      <c r="C128" s="251">
        <v>484.6</v>
      </c>
      <c r="D128" s="251">
        <f t="shared" si="4"/>
        <v>3.1832215479612576E-2</v>
      </c>
      <c r="E128" s="251">
        <v>3.9245121166630946E-2</v>
      </c>
    </row>
    <row r="129" spans="2:5">
      <c r="B129" s="252">
        <v>44803</v>
      </c>
      <c r="C129" s="251">
        <v>469.65</v>
      </c>
      <c r="D129" s="251">
        <f t="shared" si="4"/>
        <v>0.18121227364185097</v>
      </c>
      <c r="E129" s="251">
        <v>3.9163624294722844E-2</v>
      </c>
    </row>
    <row r="130" spans="2:5">
      <c r="B130" s="252">
        <v>44733</v>
      </c>
      <c r="C130" s="251">
        <v>397.6</v>
      </c>
      <c r="D130" s="251">
        <f t="shared" si="4"/>
        <v>2.2778235779060183</v>
      </c>
      <c r="E130" s="251">
        <v>3.8933890776064892E-2</v>
      </c>
    </row>
    <row r="131" spans="2:5">
      <c r="B131" s="252">
        <v>43749</v>
      </c>
      <c r="C131" s="251">
        <v>121.3</v>
      </c>
      <c r="D131" s="251">
        <f t="shared" si="4"/>
        <v>-0.65969981764623364</v>
      </c>
      <c r="E131" s="251">
        <v>3.8527397260273974E-2</v>
      </c>
    </row>
    <row r="132" spans="2:5">
      <c r="B132" s="252">
        <v>42286</v>
      </c>
      <c r="C132" s="251">
        <v>356.45</v>
      </c>
      <c r="D132" s="251">
        <f t="shared" si="4"/>
        <v>0.32929330598545598</v>
      </c>
      <c r="E132" s="251">
        <v>3.8455935906773459E-2</v>
      </c>
    </row>
    <row r="133" spans="2:5">
      <c r="B133" s="252">
        <v>43308</v>
      </c>
      <c r="C133" s="251">
        <v>268.14999999999998</v>
      </c>
      <c r="D133" s="251">
        <f t="shared" si="4"/>
        <v>-0.44372990353697755</v>
      </c>
      <c r="E133" s="251">
        <v>3.8334946757018304E-2</v>
      </c>
    </row>
    <row r="134" spans="2:5">
      <c r="B134" s="252">
        <v>42541</v>
      </c>
      <c r="C134" s="251">
        <v>482.05</v>
      </c>
      <c r="D134" s="251">
        <f t="shared" si="4"/>
        <v>0.62634952766531726</v>
      </c>
      <c r="E134" s="251">
        <v>3.8006029285099129E-2</v>
      </c>
    </row>
    <row r="135" spans="2:5">
      <c r="B135" s="252">
        <v>44281</v>
      </c>
      <c r="C135" s="251">
        <v>296.39999999999998</v>
      </c>
      <c r="D135" s="251">
        <f t="shared" si="4"/>
        <v>0.64347102855558624</v>
      </c>
      <c r="E135" s="251">
        <v>3.7996848187707814E-2</v>
      </c>
    </row>
    <row r="136" spans="2:5">
      <c r="B136" s="252">
        <v>44162</v>
      </c>
      <c r="C136" s="251">
        <v>180.35</v>
      </c>
      <c r="D136" s="251">
        <f t="shared" si="4"/>
        <v>-0.53856978380452858</v>
      </c>
      <c r="E136" s="251">
        <v>3.7985611510791335E-2</v>
      </c>
    </row>
    <row r="137" spans="2:5">
      <c r="B137" s="252">
        <v>42979</v>
      </c>
      <c r="C137" s="251">
        <v>390.85</v>
      </c>
      <c r="D137" s="251">
        <f t="shared" si="4"/>
        <v>1.3817794028031689</v>
      </c>
      <c r="E137" s="251">
        <v>3.7976364360642709E-2</v>
      </c>
    </row>
    <row r="138" spans="2:5">
      <c r="B138" s="252">
        <v>43446</v>
      </c>
      <c r="C138" s="251">
        <v>164.1</v>
      </c>
      <c r="D138" s="251">
        <f t="shared" ref="D138:D201" si="5">(C138-C139)/C139</f>
        <v>-0.59421364985163205</v>
      </c>
      <c r="E138" s="251">
        <v>3.7950664136622389E-2</v>
      </c>
    </row>
    <row r="139" spans="2:5">
      <c r="B139" s="252">
        <v>42992</v>
      </c>
      <c r="C139" s="251">
        <v>404.4</v>
      </c>
      <c r="D139" s="251">
        <f t="shared" si="5"/>
        <v>1.2317880794701987</v>
      </c>
      <c r="E139" s="251">
        <v>3.7854484794045941E-2</v>
      </c>
    </row>
    <row r="140" spans="2:5">
      <c r="B140" s="252">
        <v>43496</v>
      </c>
      <c r="C140" s="251">
        <v>181.2</v>
      </c>
      <c r="D140" s="251">
        <f t="shared" si="5"/>
        <v>-0.4657231313578063</v>
      </c>
      <c r="E140" s="251">
        <v>3.7800687285223337E-2</v>
      </c>
    </row>
    <row r="141" spans="2:5">
      <c r="B141" s="252">
        <v>43192</v>
      </c>
      <c r="C141" s="251">
        <v>339.15</v>
      </c>
      <c r="D141" s="251">
        <f t="shared" si="5"/>
        <v>-0.52131263232180669</v>
      </c>
      <c r="E141" s="251">
        <v>3.7631941257457405E-2</v>
      </c>
    </row>
    <row r="142" spans="2:5">
      <c r="B142" s="252">
        <v>45786</v>
      </c>
      <c r="C142" s="251">
        <v>708.5</v>
      </c>
      <c r="D142" s="251">
        <f t="shared" si="5"/>
        <v>1.3964146795197026</v>
      </c>
      <c r="E142" s="251">
        <v>3.7563154426301495E-2</v>
      </c>
    </row>
    <row r="143" spans="2:5">
      <c r="B143" s="252">
        <v>43257</v>
      </c>
      <c r="C143" s="251">
        <v>295.64999999999998</v>
      </c>
      <c r="D143" s="251">
        <f t="shared" si="5"/>
        <v>-0.37162592986184917</v>
      </c>
      <c r="E143" s="251">
        <v>3.7550447446920474E-2</v>
      </c>
    </row>
    <row r="144" spans="2:5">
      <c r="B144" s="252">
        <v>44552</v>
      </c>
      <c r="C144" s="251">
        <v>470.5</v>
      </c>
      <c r="D144" s="251">
        <f t="shared" si="5"/>
        <v>0.20873474630700065</v>
      </c>
      <c r="E144" s="251">
        <v>3.7257495590828874E-2</v>
      </c>
    </row>
    <row r="145" spans="2:5">
      <c r="B145" s="252">
        <v>42963</v>
      </c>
      <c r="C145" s="251">
        <v>389.25</v>
      </c>
      <c r="D145" s="251">
        <f t="shared" si="5"/>
        <v>0.21073094867807154</v>
      </c>
      <c r="E145" s="251">
        <v>3.6893979754928141E-2</v>
      </c>
    </row>
    <row r="146" spans="2:5">
      <c r="B146" s="252">
        <v>44462</v>
      </c>
      <c r="C146" s="251">
        <v>321.5</v>
      </c>
      <c r="D146" s="251">
        <f t="shared" si="5"/>
        <v>-0.27023039382589947</v>
      </c>
      <c r="E146" s="251">
        <v>3.6762334730731948E-2</v>
      </c>
    </row>
    <row r="147" spans="2:5">
      <c r="B147" s="252">
        <v>44671</v>
      </c>
      <c r="C147" s="251">
        <v>440.55</v>
      </c>
      <c r="D147" s="251">
        <f t="shared" si="5"/>
        <v>0.23889201349831266</v>
      </c>
      <c r="E147" s="251">
        <v>3.6710201200141249E-2</v>
      </c>
    </row>
    <row r="148" spans="2:5">
      <c r="B148" s="252">
        <v>43194</v>
      </c>
      <c r="C148" s="251">
        <v>355.6</v>
      </c>
      <c r="D148" s="251">
        <f t="shared" si="5"/>
        <v>-0.22955259451847035</v>
      </c>
      <c r="E148" s="251">
        <v>3.6432526960069947E-2</v>
      </c>
    </row>
    <row r="149" spans="2:5">
      <c r="B149" s="252">
        <v>42712</v>
      </c>
      <c r="C149" s="251">
        <v>461.55</v>
      </c>
      <c r="D149" s="251">
        <f t="shared" si="5"/>
        <v>-2.8826933193056261E-2</v>
      </c>
      <c r="E149" s="251">
        <v>3.6375884136072727E-2</v>
      </c>
    </row>
    <row r="150" spans="2:5">
      <c r="B150" s="252">
        <v>44531</v>
      </c>
      <c r="C150" s="251">
        <v>475.25</v>
      </c>
      <c r="D150" s="251">
        <f t="shared" si="5"/>
        <v>2.7347740667976423</v>
      </c>
      <c r="E150" s="251">
        <v>3.6306149149585645E-2</v>
      </c>
    </row>
    <row r="151" spans="2:5">
      <c r="B151" s="252">
        <v>44099</v>
      </c>
      <c r="C151" s="251">
        <v>127.25</v>
      </c>
      <c r="D151" s="251">
        <f t="shared" si="5"/>
        <v>-0.6864991377186499</v>
      </c>
      <c r="E151" s="251">
        <v>3.6237785016286668E-2</v>
      </c>
    </row>
    <row r="152" spans="2:5">
      <c r="B152" s="252">
        <v>44629</v>
      </c>
      <c r="C152" s="251">
        <v>405.9</v>
      </c>
      <c r="D152" s="251">
        <f t="shared" si="5"/>
        <v>-2.427884615384621E-2</v>
      </c>
      <c r="E152" s="251">
        <v>3.6119974473516218E-2</v>
      </c>
    </row>
    <row r="153" spans="2:5">
      <c r="B153" s="252">
        <v>43011</v>
      </c>
      <c r="C153" s="251">
        <v>416</v>
      </c>
      <c r="D153" s="251">
        <f t="shared" si="5"/>
        <v>-0.5038227120382629</v>
      </c>
      <c r="E153" s="251">
        <v>3.6114570361145702E-2</v>
      </c>
    </row>
    <row r="154" spans="2:5">
      <c r="B154" s="252">
        <v>45320</v>
      </c>
      <c r="C154" s="251">
        <v>838.41</v>
      </c>
      <c r="D154" s="251">
        <f t="shared" si="5"/>
        <v>0.19730096394144944</v>
      </c>
      <c r="E154" s="251">
        <v>3.5905356149996841E-2</v>
      </c>
    </row>
    <row r="155" spans="2:5">
      <c r="B155" s="252">
        <v>45888</v>
      </c>
      <c r="C155" s="251">
        <v>700.25</v>
      </c>
      <c r="D155" s="251">
        <f t="shared" si="5"/>
        <v>0.71967092337917493</v>
      </c>
      <c r="E155" s="251">
        <v>3.587278106508876E-2</v>
      </c>
    </row>
    <row r="156" spans="2:5">
      <c r="B156" s="252">
        <v>44735</v>
      </c>
      <c r="C156" s="251">
        <v>407.2</v>
      </c>
      <c r="D156" s="251">
        <f t="shared" si="5"/>
        <v>-0.13481355572081163</v>
      </c>
      <c r="E156" s="251">
        <v>3.5868735690663865E-2</v>
      </c>
    </row>
    <row r="157" spans="2:5">
      <c r="B157" s="252">
        <v>42717</v>
      </c>
      <c r="C157" s="251">
        <v>470.65</v>
      </c>
      <c r="D157" s="251">
        <f t="shared" si="5"/>
        <v>0.41272699984991751</v>
      </c>
      <c r="E157" s="251">
        <v>3.5761443661971835E-2</v>
      </c>
    </row>
    <row r="158" spans="2:5">
      <c r="B158" s="252">
        <v>44252</v>
      </c>
      <c r="C158" s="251">
        <v>333.15</v>
      </c>
      <c r="D158" s="251">
        <f t="shared" si="5"/>
        <v>-0.3856154910096819</v>
      </c>
      <c r="E158" s="251">
        <v>3.5753147831493859E-2</v>
      </c>
    </row>
    <row r="159" spans="2:5">
      <c r="B159" s="252">
        <v>42767</v>
      </c>
      <c r="C159" s="251">
        <v>542.25</v>
      </c>
      <c r="D159" s="251">
        <f t="shared" si="5"/>
        <v>0.7720588235294118</v>
      </c>
      <c r="E159" s="251">
        <v>3.5717696495081747E-2</v>
      </c>
    </row>
    <row r="160" spans="2:5">
      <c r="B160" s="252">
        <v>44420</v>
      </c>
      <c r="C160" s="251">
        <v>306</v>
      </c>
      <c r="D160" s="251">
        <f t="shared" si="5"/>
        <v>-9.2257490358943997E-2</v>
      </c>
      <c r="E160" s="251">
        <v>3.5708241665256428E-2</v>
      </c>
    </row>
    <row r="161" spans="2:5">
      <c r="B161" s="252">
        <v>42405</v>
      </c>
      <c r="C161" s="251">
        <v>337.1</v>
      </c>
      <c r="D161" s="251">
        <f t="shared" si="5"/>
        <v>0.24460033228724384</v>
      </c>
      <c r="E161" s="251">
        <v>3.5637480798771194E-2</v>
      </c>
    </row>
    <row r="162" spans="2:5">
      <c r="B162" s="252">
        <v>43287</v>
      </c>
      <c r="C162" s="251">
        <v>270.85000000000002</v>
      </c>
      <c r="D162" s="251">
        <f t="shared" si="5"/>
        <v>2.9511305616338444</v>
      </c>
      <c r="E162" s="251">
        <v>3.5557254826992971E-2</v>
      </c>
    </row>
    <row r="163" spans="2:5">
      <c r="B163" s="252">
        <v>43914</v>
      </c>
      <c r="C163" s="251">
        <v>68.55</v>
      </c>
      <c r="D163" s="251">
        <f t="shared" si="5"/>
        <v>-0.53047945205479452</v>
      </c>
      <c r="E163" s="251">
        <v>3.5498489425981786E-2</v>
      </c>
    </row>
    <row r="164" spans="2:5">
      <c r="B164" s="252">
        <v>44145</v>
      </c>
      <c r="C164" s="251">
        <v>146</v>
      </c>
      <c r="D164" s="251">
        <f t="shared" si="5"/>
        <v>0.26516464471403806</v>
      </c>
      <c r="E164" s="251">
        <v>3.5460992907801421E-2</v>
      </c>
    </row>
    <row r="165" spans="2:5">
      <c r="B165" s="252">
        <v>44048</v>
      </c>
      <c r="C165" s="251">
        <v>115.4</v>
      </c>
      <c r="D165" s="251">
        <f t="shared" si="5"/>
        <v>-0.65288013235072939</v>
      </c>
      <c r="E165" s="251">
        <v>3.5441902198295225E-2</v>
      </c>
    </row>
    <row r="166" spans="2:5">
      <c r="B166" s="252">
        <v>44334</v>
      </c>
      <c r="C166" s="251">
        <v>332.45</v>
      </c>
      <c r="D166" s="251">
        <f t="shared" si="5"/>
        <v>-0.52189544833537072</v>
      </c>
      <c r="E166" s="251">
        <v>3.5347243849268031E-2</v>
      </c>
    </row>
    <row r="167" spans="2:5">
      <c r="B167" s="252">
        <v>45258</v>
      </c>
      <c r="C167" s="251">
        <v>695.35</v>
      </c>
      <c r="D167" s="251">
        <f t="shared" si="5"/>
        <v>0.65520114258509876</v>
      </c>
      <c r="E167" s="251">
        <v>3.5317064455131587E-2</v>
      </c>
    </row>
    <row r="168" spans="2:5">
      <c r="B168" s="252">
        <v>43088</v>
      </c>
      <c r="C168" s="251">
        <v>420.1</v>
      </c>
      <c r="D168" s="251">
        <f t="shared" si="5"/>
        <v>-0.58763594958577092</v>
      </c>
      <c r="E168" s="251">
        <v>3.5239034006899976E-2</v>
      </c>
    </row>
    <row r="169" spans="2:5">
      <c r="B169" s="252">
        <v>45356</v>
      </c>
      <c r="C169" s="267">
        <v>1018.76</v>
      </c>
      <c r="D169" s="251">
        <f t="shared" si="5"/>
        <v>4.8082098061573548</v>
      </c>
      <c r="E169" s="251">
        <v>3.5156885059339969E-2</v>
      </c>
    </row>
    <row r="170" spans="2:5">
      <c r="B170" s="252">
        <v>43601</v>
      </c>
      <c r="C170" s="251">
        <v>175.4</v>
      </c>
      <c r="D170" s="251">
        <f t="shared" si="5"/>
        <v>-0.60072843159572042</v>
      </c>
      <c r="E170" s="251">
        <v>3.5113602832694116E-2</v>
      </c>
    </row>
    <row r="171" spans="2:5">
      <c r="B171" s="252">
        <v>43102</v>
      </c>
      <c r="C171" s="251">
        <v>439.3</v>
      </c>
      <c r="D171" s="251">
        <f t="shared" si="5"/>
        <v>-0.31445068664169779</v>
      </c>
      <c r="E171" s="251">
        <v>3.4986453056897217E-2</v>
      </c>
    </row>
    <row r="172" spans="2:5">
      <c r="B172" s="252">
        <v>45721</v>
      </c>
      <c r="C172" s="251">
        <v>640.79999999999995</v>
      </c>
      <c r="D172" s="251">
        <f t="shared" si="5"/>
        <v>0.49189793257589864</v>
      </c>
      <c r="E172" s="251">
        <v>3.4883720930232412E-2</v>
      </c>
    </row>
    <row r="173" spans="2:5">
      <c r="B173" s="252">
        <v>44749</v>
      </c>
      <c r="C173" s="251">
        <v>429.52</v>
      </c>
      <c r="D173" s="251">
        <f t="shared" si="5"/>
        <v>-0.44759822519452125</v>
      </c>
      <c r="E173" s="251">
        <v>3.4813404967836727E-2</v>
      </c>
    </row>
    <row r="174" spans="2:5">
      <c r="B174" s="252">
        <v>45289</v>
      </c>
      <c r="C174" s="251">
        <v>777.55</v>
      </c>
      <c r="D174" s="251">
        <f t="shared" si="5"/>
        <v>1.0027044430135221</v>
      </c>
      <c r="E174" s="251">
        <v>3.4553873173846977E-2</v>
      </c>
    </row>
    <row r="175" spans="2:5">
      <c r="B175" s="252">
        <v>42990</v>
      </c>
      <c r="C175" s="251">
        <v>388.25</v>
      </c>
      <c r="D175" s="251">
        <f t="shared" si="5"/>
        <v>5.948969845817987E-2</v>
      </c>
      <c r="E175" s="251">
        <v>3.4505728750333038E-2</v>
      </c>
    </row>
    <row r="176" spans="2:5">
      <c r="B176" s="252">
        <v>42443</v>
      </c>
      <c r="C176" s="251">
        <v>366.45</v>
      </c>
      <c r="D176" s="251">
        <f t="shared" si="5"/>
        <v>-0.62124813957334213</v>
      </c>
      <c r="E176" s="251">
        <v>3.4438955539872938E-2</v>
      </c>
    </row>
    <row r="177" spans="2:5">
      <c r="B177" s="252">
        <v>45450</v>
      </c>
      <c r="C177" s="251">
        <v>967.52</v>
      </c>
      <c r="D177" s="251">
        <f t="shared" si="5"/>
        <v>2.2401875418620225</v>
      </c>
      <c r="E177" s="251">
        <v>3.4382483749572319E-2</v>
      </c>
    </row>
    <row r="178" spans="2:5">
      <c r="B178" s="252">
        <v>42277</v>
      </c>
      <c r="C178" s="251">
        <v>298.60000000000002</v>
      </c>
      <c r="D178" s="251">
        <f t="shared" si="5"/>
        <v>0.90433673469387754</v>
      </c>
      <c r="E178" s="251">
        <v>3.4112554112554191E-2</v>
      </c>
    </row>
    <row r="179" spans="2:5">
      <c r="B179" s="252">
        <v>43657</v>
      </c>
      <c r="C179" s="251">
        <v>156.80000000000001</v>
      </c>
      <c r="D179" s="251">
        <f t="shared" si="5"/>
        <v>-0.66126593216677465</v>
      </c>
      <c r="E179" s="251">
        <v>3.3959775799538447E-2</v>
      </c>
    </row>
    <row r="180" spans="2:5">
      <c r="B180" s="252">
        <v>43045</v>
      </c>
      <c r="C180" s="251">
        <v>462.9</v>
      </c>
      <c r="D180" s="251">
        <f t="shared" si="5"/>
        <v>2.0665783371977478</v>
      </c>
      <c r="E180" s="251">
        <v>3.3951306678579381E-2</v>
      </c>
    </row>
    <row r="181" spans="2:5">
      <c r="B181" s="252">
        <v>44146</v>
      </c>
      <c r="C181" s="251">
        <v>150.94999999999999</v>
      </c>
      <c r="D181" s="251">
        <f t="shared" si="5"/>
        <v>-0.86256657713843488</v>
      </c>
      <c r="E181" s="251">
        <v>3.3904109589041019E-2</v>
      </c>
    </row>
    <row r="182" spans="2:5">
      <c r="B182" s="252">
        <v>45520</v>
      </c>
      <c r="C182" s="267">
        <v>1098.3499999999999</v>
      </c>
      <c r="D182" s="251">
        <f t="shared" si="5"/>
        <v>1.6176120114394659</v>
      </c>
      <c r="E182" s="251">
        <v>3.388713700757754E-2</v>
      </c>
    </row>
    <row r="183" spans="2:5">
      <c r="B183" s="252">
        <v>44630</v>
      </c>
      <c r="C183" s="251">
        <v>419.6</v>
      </c>
      <c r="D183" s="251">
        <f t="shared" si="5"/>
        <v>1.3612830613393363</v>
      </c>
      <c r="E183" s="251">
        <v>3.3752155703375329E-2</v>
      </c>
    </row>
    <row r="184" spans="2:5">
      <c r="B184" s="252">
        <v>43769</v>
      </c>
      <c r="C184" s="251">
        <v>177.7</v>
      </c>
      <c r="D184" s="251">
        <f t="shared" si="5"/>
        <v>-0.84705426690192365</v>
      </c>
      <c r="E184" s="251">
        <v>3.3740546829551965E-2</v>
      </c>
    </row>
    <row r="185" spans="2:5">
      <c r="B185" s="252">
        <v>45503</v>
      </c>
      <c r="C185" s="267">
        <v>1161.8499999999999</v>
      </c>
      <c r="D185" s="251">
        <f t="shared" si="5"/>
        <v>1.7607223476297964</v>
      </c>
      <c r="E185" s="251">
        <v>3.3674377224199206E-2</v>
      </c>
    </row>
    <row r="186" spans="2:5">
      <c r="B186" s="252">
        <v>44950</v>
      </c>
      <c r="C186" s="251">
        <v>420.85</v>
      </c>
      <c r="D186" s="251">
        <f t="shared" si="5"/>
        <v>-0.40771233551474201</v>
      </c>
      <c r="E186" s="251">
        <v>3.3673920518740574E-2</v>
      </c>
    </row>
    <row r="187" spans="2:5">
      <c r="B187" s="252">
        <v>45692</v>
      </c>
      <c r="C187" s="251">
        <v>710.55</v>
      </c>
      <c r="D187" s="251">
        <f t="shared" si="5"/>
        <v>3.2294642857142852</v>
      </c>
      <c r="E187" s="251">
        <v>3.3602443814095433E-2</v>
      </c>
    </row>
    <row r="188" spans="2:5">
      <c r="B188" s="252">
        <v>43647</v>
      </c>
      <c r="C188" s="251">
        <v>168</v>
      </c>
      <c r="D188" s="251">
        <f t="shared" si="5"/>
        <v>0.57894736842105254</v>
      </c>
      <c r="E188" s="251">
        <v>3.3528145186096515E-2</v>
      </c>
    </row>
    <row r="189" spans="2:5">
      <c r="B189" s="252">
        <v>44029</v>
      </c>
      <c r="C189" s="251">
        <v>106.4</v>
      </c>
      <c r="D189" s="251">
        <f t="shared" si="5"/>
        <v>-0.64680497925311198</v>
      </c>
      <c r="E189" s="251">
        <v>3.3511413307430821E-2</v>
      </c>
    </row>
    <row r="190" spans="2:5">
      <c r="B190" s="252">
        <v>44322</v>
      </c>
      <c r="C190" s="251">
        <v>301.25</v>
      </c>
      <c r="D190" s="251">
        <f t="shared" si="5"/>
        <v>-0.11266568483063329</v>
      </c>
      <c r="E190" s="251">
        <v>3.3447684391080618E-2</v>
      </c>
    </row>
    <row r="191" spans="2:5">
      <c r="B191" s="252">
        <v>42391</v>
      </c>
      <c r="C191" s="251">
        <v>339.5</v>
      </c>
      <c r="D191" s="251">
        <f t="shared" si="5"/>
        <v>-0.5488372093023256</v>
      </c>
      <c r="E191" s="251">
        <v>3.3328260538730753E-2</v>
      </c>
    </row>
    <row r="192" spans="2:5">
      <c r="B192" s="252">
        <v>45686</v>
      </c>
      <c r="C192" s="251">
        <v>752.5</v>
      </c>
      <c r="D192" s="251">
        <f t="shared" si="5"/>
        <v>0.6099700470688918</v>
      </c>
      <c r="E192" s="251">
        <v>3.3299004462753176E-2</v>
      </c>
    </row>
    <row r="193" spans="2:5">
      <c r="B193" s="252">
        <v>42906</v>
      </c>
      <c r="C193" s="251">
        <v>467.4</v>
      </c>
      <c r="D193" s="251">
        <f t="shared" si="5"/>
        <v>-0.40865384615384615</v>
      </c>
      <c r="E193" s="251">
        <v>3.3270697468774077E-2</v>
      </c>
    </row>
    <row r="194" spans="2:5">
      <c r="B194" s="252">
        <v>45660</v>
      </c>
      <c r="C194" s="251">
        <v>790.4</v>
      </c>
      <c r="D194" s="251">
        <f t="shared" si="5"/>
        <v>1.4245398773006135</v>
      </c>
      <c r="E194" s="251">
        <v>3.3135089209855598E-2</v>
      </c>
    </row>
    <row r="195" spans="2:5">
      <c r="B195" s="252">
        <v>44328</v>
      </c>
      <c r="C195" s="251">
        <v>326</v>
      </c>
      <c r="D195" s="251">
        <f t="shared" si="5"/>
        <v>6.7452521283562619E-2</v>
      </c>
      <c r="E195" s="251">
        <v>3.3116780225003924E-2</v>
      </c>
    </row>
    <row r="196" spans="2:5">
      <c r="B196" s="252">
        <v>43258</v>
      </c>
      <c r="C196" s="251">
        <v>305.39999999999998</v>
      </c>
      <c r="D196" s="251">
        <f t="shared" si="5"/>
        <v>-0.1791425883617794</v>
      </c>
      <c r="E196" s="251">
        <v>3.2978183663115175E-2</v>
      </c>
    </row>
    <row r="197" spans="2:5">
      <c r="B197" s="252">
        <v>43157</v>
      </c>
      <c r="C197" s="251">
        <v>372.05</v>
      </c>
      <c r="D197" s="251">
        <f t="shared" si="5"/>
        <v>-0.2664629337539432</v>
      </c>
      <c r="E197" s="251">
        <v>3.2898389783453698E-2</v>
      </c>
    </row>
    <row r="198" spans="2:5">
      <c r="B198" s="252">
        <v>42573</v>
      </c>
      <c r="C198" s="251">
        <v>507.2</v>
      </c>
      <c r="D198" s="251">
        <f t="shared" si="5"/>
        <v>-1.7815646785437626E-2</v>
      </c>
      <c r="E198" s="251">
        <v>3.2888707870888864E-2</v>
      </c>
    </row>
    <row r="199" spans="2:5">
      <c r="B199" s="252">
        <v>42587</v>
      </c>
      <c r="C199" s="251">
        <v>516.4</v>
      </c>
      <c r="D199" s="251">
        <f t="shared" si="5"/>
        <v>0.26336391437308865</v>
      </c>
      <c r="E199" s="251">
        <v>3.2799999999999954E-2</v>
      </c>
    </row>
    <row r="200" spans="2:5">
      <c r="B200" s="252">
        <v>42473</v>
      </c>
      <c r="C200" s="251">
        <v>408.75</v>
      </c>
      <c r="D200" s="251">
        <f t="shared" si="5"/>
        <v>0.15924560408394775</v>
      </c>
      <c r="E200" s="251">
        <v>3.2718544719555299E-2</v>
      </c>
    </row>
    <row r="201" spans="2:5">
      <c r="B201" s="252">
        <v>43171</v>
      </c>
      <c r="C201" s="251">
        <v>352.6</v>
      </c>
      <c r="D201" s="251">
        <f t="shared" si="5"/>
        <v>-0.32625062101119728</v>
      </c>
      <c r="E201" s="251">
        <v>3.2503660322108413E-2</v>
      </c>
    </row>
    <row r="202" spans="2:5">
      <c r="B202" s="252">
        <v>45065</v>
      </c>
      <c r="C202" s="251">
        <v>523.34</v>
      </c>
      <c r="D202" s="251">
        <f t="shared" ref="D202:D265" si="6">(C202-C203)/C203</f>
        <v>3.8256339326878748</v>
      </c>
      <c r="E202" s="251">
        <v>3.2452800410345532E-2</v>
      </c>
    </row>
    <row r="203" spans="2:5">
      <c r="B203" s="252">
        <v>44033</v>
      </c>
      <c r="C203" s="251">
        <v>108.45</v>
      </c>
      <c r="D203" s="251">
        <f t="shared" si="6"/>
        <v>-0.77774362127267138</v>
      </c>
      <c r="E203" s="251">
        <v>3.2365540218943417E-2</v>
      </c>
    </row>
    <row r="204" spans="2:5">
      <c r="B204" s="252">
        <v>42544</v>
      </c>
      <c r="C204" s="251">
        <v>487.95</v>
      </c>
      <c r="D204" s="251">
        <f t="shared" si="6"/>
        <v>-5.4818401937046027E-2</v>
      </c>
      <c r="E204" s="251">
        <v>3.2261476623651364E-2</v>
      </c>
    </row>
    <row r="205" spans="2:5">
      <c r="B205" s="252">
        <v>42745</v>
      </c>
      <c r="C205" s="251">
        <v>516.25</v>
      </c>
      <c r="D205" s="251">
        <f t="shared" si="6"/>
        <v>5.9952776922287218E-2</v>
      </c>
      <c r="E205" s="251">
        <v>3.2190342897130908E-2</v>
      </c>
    </row>
    <row r="206" spans="2:5">
      <c r="B206" s="252">
        <v>42737</v>
      </c>
      <c r="C206" s="251">
        <v>487.05</v>
      </c>
      <c r="D206" s="251">
        <f t="shared" si="6"/>
        <v>-3.0070696007169107E-2</v>
      </c>
      <c r="E206" s="251">
        <v>3.1885593220339008E-2</v>
      </c>
    </row>
    <row r="207" spans="2:5">
      <c r="B207" s="252">
        <v>42740</v>
      </c>
      <c r="C207" s="251">
        <v>502.15</v>
      </c>
      <c r="D207" s="251">
        <f t="shared" si="6"/>
        <v>0.16278800509436137</v>
      </c>
      <c r="E207" s="251">
        <v>3.1850405835816296E-2</v>
      </c>
    </row>
    <row r="208" spans="2:5">
      <c r="B208" s="252">
        <v>43098</v>
      </c>
      <c r="C208" s="251">
        <v>431.85</v>
      </c>
      <c r="D208" s="251">
        <f t="shared" si="6"/>
        <v>-0.33942638623326954</v>
      </c>
      <c r="E208" s="251">
        <v>3.1653129479216432E-2</v>
      </c>
    </row>
    <row r="209" spans="2:5">
      <c r="B209" s="252">
        <v>45880</v>
      </c>
      <c r="C209" s="251">
        <v>653.75</v>
      </c>
      <c r="D209" s="251">
        <f t="shared" si="6"/>
        <v>0.31380627009646295</v>
      </c>
      <c r="E209" s="251">
        <v>3.1639577086949588E-2</v>
      </c>
    </row>
    <row r="210" spans="2:5">
      <c r="B210" s="252">
        <v>44564</v>
      </c>
      <c r="C210" s="251">
        <v>497.6</v>
      </c>
      <c r="D210" s="251">
        <f t="shared" si="6"/>
        <v>0.44023154848046314</v>
      </c>
      <c r="E210" s="251">
        <v>3.150912106135996E-2</v>
      </c>
    </row>
    <row r="211" spans="2:5">
      <c r="B211" s="252">
        <v>44354</v>
      </c>
      <c r="C211" s="251">
        <v>345.5</v>
      </c>
      <c r="D211" s="251">
        <f t="shared" si="6"/>
        <v>0.29158878504672897</v>
      </c>
      <c r="E211" s="251">
        <v>3.149723839379015E-2</v>
      </c>
    </row>
    <row r="212" spans="2:5">
      <c r="B212" s="252">
        <v>43343</v>
      </c>
      <c r="C212" s="251">
        <v>267.5</v>
      </c>
      <c r="D212" s="251">
        <f t="shared" si="6"/>
        <v>-0.43428148461457122</v>
      </c>
      <c r="E212" s="251">
        <v>3.1424715635241858E-2</v>
      </c>
    </row>
    <row r="213" spans="2:5">
      <c r="B213" s="252">
        <v>42691</v>
      </c>
      <c r="C213" s="251">
        <v>472.85</v>
      </c>
      <c r="D213" s="251">
        <f t="shared" si="6"/>
        <v>0.1946690247599798</v>
      </c>
      <c r="E213" s="251">
        <v>3.1410186497982405E-2</v>
      </c>
    </row>
    <row r="214" spans="2:5">
      <c r="B214" s="252">
        <v>43136</v>
      </c>
      <c r="C214" s="251">
        <v>395.8</v>
      </c>
      <c r="D214" s="251">
        <f t="shared" si="6"/>
        <v>1.4760713168595561</v>
      </c>
      <c r="E214" s="251">
        <v>3.1400651465798075E-2</v>
      </c>
    </row>
    <row r="215" spans="2:5">
      <c r="B215" s="252">
        <v>43510</v>
      </c>
      <c r="C215" s="251">
        <v>159.85</v>
      </c>
      <c r="D215" s="251">
        <f t="shared" si="6"/>
        <v>-0.66822332918223337</v>
      </c>
      <c r="E215" s="251">
        <v>3.1290322580645125E-2</v>
      </c>
    </row>
    <row r="216" spans="2:5">
      <c r="B216" s="252">
        <v>44537</v>
      </c>
      <c r="C216" s="251">
        <v>481.8</v>
      </c>
      <c r="D216" s="251">
        <f t="shared" si="6"/>
        <v>-0.2790662875953912</v>
      </c>
      <c r="E216" s="251">
        <v>3.1250000000000049E-2</v>
      </c>
    </row>
    <row r="217" spans="2:5">
      <c r="B217" s="252">
        <v>45728</v>
      </c>
      <c r="C217" s="251">
        <v>668.3</v>
      </c>
      <c r="D217" s="251">
        <f t="shared" si="6"/>
        <v>5.0180099054479967</v>
      </c>
      <c r="E217" s="251">
        <v>3.1247588920607978E-2</v>
      </c>
    </row>
    <row r="218" spans="2:5">
      <c r="B218" s="252">
        <v>43700</v>
      </c>
      <c r="C218" s="251">
        <v>111.05</v>
      </c>
      <c r="D218" s="251">
        <f t="shared" si="6"/>
        <v>-0.88818406081659373</v>
      </c>
      <c r="E218" s="251">
        <v>3.1104921077065872E-2</v>
      </c>
    </row>
    <row r="219" spans="2:5">
      <c r="B219" s="252">
        <v>45561</v>
      </c>
      <c r="C219" s="251">
        <v>993.15</v>
      </c>
      <c r="D219" s="251">
        <f t="shared" si="6"/>
        <v>0.21590352595494616</v>
      </c>
      <c r="E219" s="251">
        <v>3.0666251556662468E-2</v>
      </c>
    </row>
    <row r="220" spans="2:5">
      <c r="B220" s="252">
        <v>45632</v>
      </c>
      <c r="C220" s="251">
        <v>816.8</v>
      </c>
      <c r="D220" s="251">
        <f t="shared" si="6"/>
        <v>0.40473979293502543</v>
      </c>
      <c r="E220" s="251">
        <v>3.0597438647403951E-2</v>
      </c>
    </row>
    <row r="221" spans="2:5">
      <c r="B221" s="252">
        <v>45097</v>
      </c>
      <c r="C221" s="251">
        <v>581.46</v>
      </c>
      <c r="D221" s="251">
        <f t="shared" si="6"/>
        <v>0.47578680203045692</v>
      </c>
      <c r="E221" s="251">
        <v>3.039109709202405E-2</v>
      </c>
    </row>
    <row r="222" spans="2:5">
      <c r="B222" s="252">
        <v>42366</v>
      </c>
      <c r="C222" s="251">
        <v>394</v>
      </c>
      <c r="D222" s="251">
        <f t="shared" si="6"/>
        <v>1.18645948945616</v>
      </c>
      <c r="E222" s="251">
        <v>3.0334728033472865E-2</v>
      </c>
    </row>
    <row r="223" spans="2:5">
      <c r="B223" s="252">
        <v>43816</v>
      </c>
      <c r="C223" s="251">
        <v>180.2</v>
      </c>
      <c r="D223" s="251">
        <f t="shared" si="6"/>
        <v>-0.41899081089795259</v>
      </c>
      <c r="E223" s="251">
        <v>3.0008573878250931E-2</v>
      </c>
    </row>
    <row r="224" spans="2:5">
      <c r="B224" s="252">
        <v>42417</v>
      </c>
      <c r="C224" s="251">
        <v>310.14999999999998</v>
      </c>
      <c r="D224" s="251">
        <f t="shared" si="6"/>
        <v>3.6118959107806687</v>
      </c>
      <c r="E224" s="251">
        <v>2.9885439149925287E-2</v>
      </c>
    </row>
    <row r="225" spans="2:5">
      <c r="B225" s="252">
        <v>43928</v>
      </c>
      <c r="C225" s="251">
        <v>67.25</v>
      </c>
      <c r="D225" s="251">
        <f t="shared" si="6"/>
        <v>-0.84798824593128386</v>
      </c>
      <c r="E225" s="251">
        <v>2.9862174578866814E-2</v>
      </c>
    </row>
    <row r="226" spans="2:5">
      <c r="B226" s="252">
        <v>44711</v>
      </c>
      <c r="C226" s="251">
        <v>442.4</v>
      </c>
      <c r="D226" s="251">
        <f t="shared" si="6"/>
        <v>-0.5331018542948508</v>
      </c>
      <c r="E226" s="251">
        <v>2.9795158286778291E-2</v>
      </c>
    </row>
    <row r="227" spans="2:5">
      <c r="B227" s="252">
        <v>45446</v>
      </c>
      <c r="C227" s="251">
        <v>947.53</v>
      </c>
      <c r="D227" s="251">
        <f t="shared" si="6"/>
        <v>4.9499529042386188</v>
      </c>
      <c r="E227" s="251">
        <v>2.9744826986611031E-2</v>
      </c>
    </row>
    <row r="228" spans="2:5">
      <c r="B228" s="252">
        <v>43636</v>
      </c>
      <c r="C228" s="251">
        <v>159.25</v>
      </c>
      <c r="D228" s="251">
        <f t="shared" si="6"/>
        <v>-6.1579257513258628E-2</v>
      </c>
      <c r="E228" s="251">
        <v>2.9744584545748427E-2</v>
      </c>
    </row>
    <row r="229" spans="2:5">
      <c r="B229" s="252">
        <v>43517</v>
      </c>
      <c r="C229" s="251">
        <v>169.7</v>
      </c>
      <c r="D229" s="251">
        <f t="shared" si="6"/>
        <v>-0.42062137248207576</v>
      </c>
      <c r="E229" s="251">
        <v>2.9733009708737723E-2</v>
      </c>
    </row>
    <row r="230" spans="2:5">
      <c r="B230" s="252">
        <v>44406</v>
      </c>
      <c r="C230" s="251">
        <v>292.89999999999998</v>
      </c>
      <c r="D230" s="251">
        <f t="shared" si="6"/>
        <v>-0.60344967642360081</v>
      </c>
      <c r="E230" s="251">
        <v>2.970645104587797E-2</v>
      </c>
    </row>
    <row r="231" spans="2:5">
      <c r="B231" s="252">
        <v>45287</v>
      </c>
      <c r="C231" s="251">
        <v>738.62</v>
      </c>
      <c r="D231" s="251">
        <f t="shared" si="6"/>
        <v>0.40689523809523809</v>
      </c>
      <c r="E231" s="251">
        <v>2.9665151810856737E-2</v>
      </c>
    </row>
    <row r="232" spans="2:5">
      <c r="B232" s="252">
        <v>44578</v>
      </c>
      <c r="C232" s="251">
        <v>525</v>
      </c>
      <c r="D232" s="251">
        <f t="shared" si="6"/>
        <v>-0.40441076371556928</v>
      </c>
      <c r="E232" s="251">
        <v>2.9613649735242251E-2</v>
      </c>
    </row>
    <row r="233" spans="2:5">
      <c r="B233" s="252">
        <v>45322</v>
      </c>
      <c r="C233" s="251">
        <v>881.48</v>
      </c>
      <c r="D233" s="251">
        <f t="shared" si="6"/>
        <v>4.1563615092132205</v>
      </c>
      <c r="E233" s="251">
        <v>2.9513787505401689E-2</v>
      </c>
    </row>
    <row r="234" spans="2:5">
      <c r="B234" s="252">
        <v>43469</v>
      </c>
      <c r="C234" s="251">
        <v>170.95</v>
      </c>
      <c r="D234" s="251">
        <f t="shared" si="6"/>
        <v>-0.50007311010381639</v>
      </c>
      <c r="E234" s="251">
        <v>2.9509183980728559E-2</v>
      </c>
    </row>
    <row r="235" spans="2:5">
      <c r="B235" s="252">
        <v>43229</v>
      </c>
      <c r="C235" s="251">
        <v>341.95</v>
      </c>
      <c r="D235" s="251">
        <f t="shared" si="6"/>
        <v>1.0618028338860417</v>
      </c>
      <c r="E235" s="251">
        <v>2.9504741833508992E-2</v>
      </c>
    </row>
    <row r="236" spans="2:5">
      <c r="B236" s="252">
        <v>43643</v>
      </c>
      <c r="C236" s="251">
        <v>165.85</v>
      </c>
      <c r="D236" s="251">
        <f t="shared" si="6"/>
        <v>1.1581001951854262</v>
      </c>
      <c r="E236" s="251">
        <v>2.9484792054624457E-2</v>
      </c>
    </row>
    <row r="237" spans="2:5">
      <c r="B237" s="252">
        <v>43938</v>
      </c>
      <c r="C237" s="251">
        <v>76.849999999999994</v>
      </c>
      <c r="D237" s="251">
        <f t="shared" si="6"/>
        <v>-0.48266576910131276</v>
      </c>
      <c r="E237" s="251">
        <v>2.9470864032149879E-2</v>
      </c>
    </row>
    <row r="238" spans="2:5">
      <c r="B238" s="252">
        <v>44088</v>
      </c>
      <c r="C238" s="251">
        <v>148.55000000000001</v>
      </c>
      <c r="D238" s="251">
        <f t="shared" si="6"/>
        <v>-0.66819298637480451</v>
      </c>
      <c r="E238" s="251">
        <v>2.945252945252945E-2</v>
      </c>
    </row>
    <row r="239" spans="2:5">
      <c r="B239" s="252">
        <v>43042</v>
      </c>
      <c r="C239" s="251">
        <v>447.7</v>
      </c>
      <c r="D239" s="251">
        <f t="shared" si="6"/>
        <v>3.9994416527079841</v>
      </c>
      <c r="E239" s="251">
        <v>2.9432053345596718E-2</v>
      </c>
    </row>
    <row r="240" spans="2:5">
      <c r="B240" s="252">
        <v>43983</v>
      </c>
      <c r="C240" s="251">
        <v>89.55</v>
      </c>
      <c r="D240" s="251">
        <f t="shared" si="6"/>
        <v>2.9310344827586175E-2</v>
      </c>
      <c r="E240" s="251">
        <v>2.9310344827586175E-2</v>
      </c>
    </row>
    <row r="241" spans="2:5">
      <c r="B241" s="252">
        <v>43979</v>
      </c>
      <c r="C241" s="251">
        <v>87</v>
      </c>
      <c r="D241" s="251">
        <f t="shared" si="6"/>
        <v>-0.80242988531849668</v>
      </c>
      <c r="E241" s="251">
        <v>2.8976936723832086E-2</v>
      </c>
    </row>
    <row r="242" spans="2:5">
      <c r="B242" s="252">
        <v>44642</v>
      </c>
      <c r="C242" s="251">
        <v>440.35</v>
      </c>
      <c r="D242" s="251">
        <f t="shared" si="6"/>
        <v>-0.28549407755962997</v>
      </c>
      <c r="E242" s="251">
        <v>2.8975347587335051E-2</v>
      </c>
    </row>
    <row r="243" spans="2:5">
      <c r="B243" s="252">
        <v>45114</v>
      </c>
      <c r="C243" s="251">
        <v>616.29999999999995</v>
      </c>
      <c r="D243" s="251">
        <f t="shared" si="6"/>
        <v>4.0976013234077744</v>
      </c>
      <c r="E243" s="251">
        <v>2.8967359545871787E-2</v>
      </c>
    </row>
    <row r="244" spans="2:5">
      <c r="B244" s="252">
        <v>43747</v>
      </c>
      <c r="C244" s="251">
        <v>120.9</v>
      </c>
      <c r="D244" s="251">
        <f t="shared" si="6"/>
        <v>-0.77155058387816033</v>
      </c>
      <c r="E244" s="251">
        <v>2.8936170212766007E-2</v>
      </c>
    </row>
    <row r="245" spans="2:5">
      <c r="B245" s="252">
        <v>45061</v>
      </c>
      <c r="C245" s="251">
        <v>529.22</v>
      </c>
      <c r="D245" s="251">
        <f t="shared" si="6"/>
        <v>0.21089120237959047</v>
      </c>
      <c r="E245" s="251">
        <v>2.8890271405241492E-2</v>
      </c>
    </row>
    <row r="246" spans="2:5">
      <c r="B246" s="252">
        <v>43024</v>
      </c>
      <c r="C246" s="251">
        <v>437.05</v>
      </c>
      <c r="D246" s="251">
        <f t="shared" si="6"/>
        <v>-0.52857867089495092</v>
      </c>
      <c r="E246" s="251">
        <v>2.8837099811676082E-2</v>
      </c>
    </row>
    <row r="247" spans="2:5">
      <c r="B247" s="252">
        <v>45448</v>
      </c>
      <c r="C247" s="251">
        <v>927.09</v>
      </c>
      <c r="D247" s="251">
        <f t="shared" si="6"/>
        <v>0.36326740680832303</v>
      </c>
      <c r="E247" s="251">
        <v>2.8819691051136395E-2</v>
      </c>
    </row>
    <row r="248" spans="2:5">
      <c r="B248" s="252">
        <v>45734</v>
      </c>
      <c r="C248" s="251">
        <v>680.05</v>
      </c>
      <c r="D248" s="251">
        <f t="shared" si="6"/>
        <v>0.26638733705772805</v>
      </c>
      <c r="E248" s="251">
        <v>2.8742152635957946E-2</v>
      </c>
    </row>
    <row r="249" spans="2:5">
      <c r="B249" s="252">
        <v>42671</v>
      </c>
      <c r="C249" s="251">
        <v>537</v>
      </c>
      <c r="D249" s="251">
        <f t="shared" si="6"/>
        <v>-0.4488859696835969</v>
      </c>
      <c r="E249" s="251">
        <v>2.8735632183908046E-2</v>
      </c>
    </row>
    <row r="250" spans="2:5">
      <c r="B250" s="252">
        <v>45352</v>
      </c>
      <c r="C250" s="251">
        <v>974.39</v>
      </c>
      <c r="D250" s="251">
        <f t="shared" si="6"/>
        <v>1.9090610538886403</v>
      </c>
      <c r="E250" s="251">
        <v>2.8618782197449556E-2</v>
      </c>
    </row>
    <row r="251" spans="2:5">
      <c r="B251" s="252">
        <v>44351</v>
      </c>
      <c r="C251" s="251">
        <v>334.95</v>
      </c>
      <c r="D251" s="251">
        <f t="shared" si="6"/>
        <v>-5.2073015423800856E-2</v>
      </c>
      <c r="E251" s="251">
        <v>2.85582680792262E-2</v>
      </c>
    </row>
    <row r="252" spans="2:5">
      <c r="B252" s="252">
        <v>42377</v>
      </c>
      <c r="C252" s="251">
        <v>353.35</v>
      </c>
      <c r="D252" s="251">
        <f t="shared" si="6"/>
        <v>3.2469951923076925</v>
      </c>
      <c r="E252" s="251">
        <v>2.852568767282786E-2</v>
      </c>
    </row>
    <row r="253" spans="2:5">
      <c r="B253" s="252">
        <v>43957</v>
      </c>
      <c r="C253" s="251">
        <v>83.2</v>
      </c>
      <c r="D253" s="251">
        <f t="shared" si="6"/>
        <v>-0.81041358095021077</v>
      </c>
      <c r="E253" s="251">
        <v>2.8430160692212571E-2</v>
      </c>
    </row>
    <row r="254" spans="2:5">
      <c r="B254" s="252">
        <v>44757</v>
      </c>
      <c r="C254" s="251">
        <v>438.85</v>
      </c>
      <c r="D254" s="251">
        <f t="shared" si="6"/>
        <v>4.6101404018974591E-2</v>
      </c>
      <c r="E254" s="251">
        <v>2.8402034073067288E-2</v>
      </c>
    </row>
    <row r="255" spans="2:5">
      <c r="B255" s="252">
        <v>45016</v>
      </c>
      <c r="C255" s="251">
        <v>419.51</v>
      </c>
      <c r="D255" s="251">
        <f t="shared" si="6"/>
        <v>0.30647773279352214</v>
      </c>
      <c r="E255" s="251">
        <v>2.8362014021669837E-2</v>
      </c>
    </row>
    <row r="256" spans="2:5">
      <c r="B256" s="252">
        <v>44333</v>
      </c>
      <c r="C256" s="251">
        <v>321.10000000000002</v>
      </c>
      <c r="D256" s="251">
        <f t="shared" si="6"/>
        <v>-0.26814814814814808</v>
      </c>
      <c r="E256" s="251">
        <v>2.8342674139311522E-2</v>
      </c>
    </row>
    <row r="257" spans="2:5">
      <c r="B257" s="252">
        <v>44991</v>
      </c>
      <c r="C257" s="251">
        <v>438.75</v>
      </c>
      <c r="D257" s="251">
        <f t="shared" si="6"/>
        <v>-7.221399873123277E-2</v>
      </c>
      <c r="E257" s="251">
        <v>2.8288178494422032E-2</v>
      </c>
    </row>
    <row r="258" spans="2:5">
      <c r="B258" s="252">
        <v>42817</v>
      </c>
      <c r="C258" s="251">
        <v>472.9</v>
      </c>
      <c r="D258" s="251">
        <f t="shared" si="6"/>
        <v>-0.51220266952736582</v>
      </c>
      <c r="E258" s="251">
        <v>2.8267014568384433E-2</v>
      </c>
    </row>
    <row r="259" spans="2:5">
      <c r="B259" s="252">
        <v>45369</v>
      </c>
      <c r="C259" s="251">
        <v>969.46</v>
      </c>
      <c r="D259" s="251">
        <f t="shared" si="6"/>
        <v>0.73179707038227959</v>
      </c>
      <c r="E259" s="251">
        <v>2.8124801153837975E-2</v>
      </c>
    </row>
    <row r="260" spans="2:5">
      <c r="B260" s="252">
        <v>42667</v>
      </c>
      <c r="C260" s="251">
        <v>559.79999999999995</v>
      </c>
      <c r="D260" s="251">
        <f t="shared" si="6"/>
        <v>0.67830909908559422</v>
      </c>
      <c r="E260" s="251">
        <v>2.8099173553718926E-2</v>
      </c>
    </row>
    <row r="261" spans="2:5">
      <c r="B261" s="252">
        <v>42250</v>
      </c>
      <c r="C261" s="251">
        <v>333.55</v>
      </c>
      <c r="D261" s="251">
        <f t="shared" si="6"/>
        <v>-0.50177749895441237</v>
      </c>
      <c r="E261" s="251">
        <v>2.8047464940668895E-2</v>
      </c>
    </row>
    <row r="262" spans="2:5">
      <c r="B262" s="252">
        <v>45245</v>
      </c>
      <c r="C262" s="251">
        <v>669.48</v>
      </c>
      <c r="D262" s="251">
        <f t="shared" si="6"/>
        <v>1.0225981873111782</v>
      </c>
      <c r="E262" s="251">
        <v>2.8008107610097675E-2</v>
      </c>
    </row>
    <row r="263" spans="2:5">
      <c r="B263" s="252">
        <v>44230</v>
      </c>
      <c r="C263" s="251">
        <v>331</v>
      </c>
      <c r="D263" s="251">
        <f t="shared" si="6"/>
        <v>0.12108382726502964</v>
      </c>
      <c r="E263" s="251">
        <v>2.7950310559006212E-2</v>
      </c>
    </row>
    <row r="264" spans="2:5">
      <c r="B264" s="252">
        <v>44440</v>
      </c>
      <c r="C264" s="251">
        <v>295.25</v>
      </c>
      <c r="D264" s="251">
        <f t="shared" si="6"/>
        <v>0.14327202323330107</v>
      </c>
      <c r="E264" s="251">
        <v>2.7671423599025368E-2</v>
      </c>
    </row>
    <row r="265" spans="2:5">
      <c r="B265" s="252">
        <v>43329</v>
      </c>
      <c r="C265" s="251">
        <v>258.25</v>
      </c>
      <c r="D265" s="251">
        <f t="shared" si="6"/>
        <v>-0.63936601033375229</v>
      </c>
      <c r="E265" s="251">
        <v>2.7656187823318697E-2</v>
      </c>
    </row>
    <row r="266" spans="2:5">
      <c r="B266" s="252">
        <v>45688</v>
      </c>
      <c r="C266" s="251">
        <v>716.1</v>
      </c>
      <c r="D266" s="251">
        <f t="shared" ref="D266:D329" si="7">(C266-C267)/C267</f>
        <v>1.5814708002883926</v>
      </c>
      <c r="E266" s="251">
        <v>2.7624309392265192E-2</v>
      </c>
    </row>
    <row r="267" spans="2:5">
      <c r="B267" s="252">
        <v>43350</v>
      </c>
      <c r="C267" s="251">
        <v>277.39999999999998</v>
      </c>
      <c r="D267" s="251">
        <f t="shared" si="7"/>
        <v>-0.71096338591701924</v>
      </c>
      <c r="E267" s="251">
        <v>2.7597703278384844E-2</v>
      </c>
    </row>
    <row r="268" spans="2:5">
      <c r="B268" s="252">
        <v>45349</v>
      </c>
      <c r="C268" s="251">
        <v>959.74</v>
      </c>
      <c r="D268" s="251">
        <f t="shared" si="7"/>
        <v>1.2731880625296068</v>
      </c>
      <c r="E268" s="251">
        <v>2.7481880372991273E-2</v>
      </c>
    </row>
    <row r="269" spans="2:5">
      <c r="B269" s="252">
        <v>44876</v>
      </c>
      <c r="C269" s="251">
        <v>422.2</v>
      </c>
      <c r="D269" s="251">
        <f t="shared" si="7"/>
        <v>1.4726207906295754</v>
      </c>
      <c r="E269" s="251">
        <v>2.7425595600223836E-2</v>
      </c>
    </row>
    <row r="270" spans="2:5">
      <c r="B270" s="252">
        <v>43627</v>
      </c>
      <c r="C270" s="251">
        <v>170.75</v>
      </c>
      <c r="D270" s="251">
        <f t="shared" si="7"/>
        <v>-0.63017110677929389</v>
      </c>
      <c r="E270" s="251">
        <v>2.7376654632972394E-2</v>
      </c>
    </row>
    <row r="271" spans="2:5">
      <c r="B271" s="252">
        <v>42796</v>
      </c>
      <c r="C271" s="251">
        <v>461.7</v>
      </c>
      <c r="D271" s="251">
        <f t="shared" si="7"/>
        <v>8.6608613791480382E-2</v>
      </c>
      <c r="E271" s="251">
        <v>2.7255534542218268E-2</v>
      </c>
    </row>
    <row r="272" spans="2:5">
      <c r="B272" s="252">
        <v>44636</v>
      </c>
      <c r="C272" s="251">
        <v>424.9</v>
      </c>
      <c r="D272" s="251">
        <f t="shared" si="7"/>
        <v>2.5043298969072163</v>
      </c>
      <c r="E272" s="251">
        <v>2.7196905596518797E-2</v>
      </c>
    </row>
    <row r="273" spans="2:5">
      <c r="B273" s="252">
        <v>43714</v>
      </c>
      <c r="C273" s="251">
        <v>121.25</v>
      </c>
      <c r="D273" s="251">
        <f t="shared" si="7"/>
        <v>-0.30436029833620198</v>
      </c>
      <c r="E273" s="251">
        <v>2.7107157983905148E-2</v>
      </c>
    </row>
    <row r="274" spans="2:5">
      <c r="B274" s="252">
        <v>43518</v>
      </c>
      <c r="C274" s="251">
        <v>174.3</v>
      </c>
      <c r="D274" s="251">
        <f t="shared" si="7"/>
        <v>-0.61189044756179023</v>
      </c>
      <c r="E274" s="251">
        <v>2.7106658809664248E-2</v>
      </c>
    </row>
    <row r="275" spans="2:5">
      <c r="B275" s="252">
        <v>42872</v>
      </c>
      <c r="C275" s="251">
        <v>449.1</v>
      </c>
      <c r="D275" s="251">
        <f t="shared" si="7"/>
        <v>0.11744214978850473</v>
      </c>
      <c r="E275" s="251">
        <v>2.71012006861064E-2</v>
      </c>
    </row>
    <row r="276" spans="2:5">
      <c r="B276" s="252">
        <v>42370</v>
      </c>
      <c r="C276" s="251">
        <v>401.9</v>
      </c>
      <c r="D276" s="251">
        <f t="shared" si="7"/>
        <v>0.10230389467910025</v>
      </c>
      <c r="E276" s="251">
        <v>2.7089189879887468E-2</v>
      </c>
    </row>
    <row r="277" spans="2:5">
      <c r="B277" s="252">
        <v>42382</v>
      </c>
      <c r="C277" s="251">
        <v>364.6</v>
      </c>
      <c r="D277" s="251">
        <f t="shared" si="7"/>
        <v>0.17574975814253466</v>
      </c>
      <c r="E277" s="251">
        <v>2.7042253521126824E-2</v>
      </c>
    </row>
    <row r="278" spans="2:5">
      <c r="B278" s="252">
        <v>44461</v>
      </c>
      <c r="C278" s="251">
        <v>310.10000000000002</v>
      </c>
      <c r="D278" s="251">
        <f t="shared" si="7"/>
        <v>-0.39996130030959742</v>
      </c>
      <c r="E278" s="251">
        <v>2.6991223712535303E-2</v>
      </c>
    </row>
    <row r="279" spans="2:5">
      <c r="B279" s="252">
        <v>42594</v>
      </c>
      <c r="C279" s="251">
        <v>516.79999999999995</v>
      </c>
      <c r="D279" s="251">
        <f t="shared" si="7"/>
        <v>-4.3348425007224741E-3</v>
      </c>
      <c r="E279" s="251">
        <v>2.6924987580725195E-2</v>
      </c>
    </row>
    <row r="280" spans="2:5">
      <c r="B280" s="252">
        <v>44516</v>
      </c>
      <c r="C280" s="251">
        <v>519.04999999999995</v>
      </c>
      <c r="D280" s="251">
        <f t="shared" si="7"/>
        <v>0.13021230266739239</v>
      </c>
      <c r="E280" s="251">
        <v>2.69067167870214E-2</v>
      </c>
    </row>
    <row r="281" spans="2:5">
      <c r="B281" s="252">
        <v>42551</v>
      </c>
      <c r="C281" s="251">
        <v>459.25</v>
      </c>
      <c r="D281" s="251">
        <f t="shared" si="7"/>
        <v>-8.824697240420884E-2</v>
      </c>
      <c r="E281" s="251">
        <v>2.6830631637786474E-2</v>
      </c>
    </row>
    <row r="282" spans="2:5">
      <c r="B282" s="252">
        <v>44571</v>
      </c>
      <c r="C282" s="251">
        <v>503.7</v>
      </c>
      <c r="D282" s="251">
        <f t="shared" si="7"/>
        <v>1.4463331714424474</v>
      </c>
      <c r="E282" s="251">
        <v>2.6701997554015422E-2</v>
      </c>
    </row>
    <row r="283" spans="2:5">
      <c r="B283" s="252">
        <v>43564</v>
      </c>
      <c r="C283" s="251">
        <v>205.9</v>
      </c>
      <c r="D283" s="251">
        <f t="shared" si="7"/>
        <v>-0.41852584015814742</v>
      </c>
      <c r="E283" s="251">
        <v>2.667663924208424E-2</v>
      </c>
    </row>
    <row r="284" spans="2:5">
      <c r="B284" s="252">
        <v>42257</v>
      </c>
      <c r="C284" s="251">
        <v>354.1</v>
      </c>
      <c r="D284" s="251">
        <f t="shared" si="7"/>
        <v>0.96776882467352066</v>
      </c>
      <c r="E284" s="251">
        <v>2.6674398376341103E-2</v>
      </c>
    </row>
    <row r="285" spans="2:5">
      <c r="B285" s="252">
        <v>43473</v>
      </c>
      <c r="C285" s="251">
        <v>179.95</v>
      </c>
      <c r="D285" s="251">
        <f t="shared" si="7"/>
        <v>0.31350364963503641</v>
      </c>
      <c r="E285" s="251">
        <v>2.6233247790133987E-2</v>
      </c>
    </row>
    <row r="286" spans="2:5">
      <c r="B286" s="252">
        <v>44127</v>
      </c>
      <c r="C286" s="251">
        <v>137</v>
      </c>
      <c r="D286" s="251">
        <f t="shared" si="7"/>
        <v>-0.78193741444624831</v>
      </c>
      <c r="E286" s="251">
        <v>2.6217228464419477E-2</v>
      </c>
    </row>
    <row r="287" spans="2:5">
      <c r="B287" s="252">
        <v>45198</v>
      </c>
      <c r="C287" s="251">
        <v>628.26</v>
      </c>
      <c r="D287" s="251">
        <f t="shared" si="7"/>
        <v>2.403358613217768</v>
      </c>
      <c r="E287" s="251">
        <v>2.6216494340177313E-2</v>
      </c>
    </row>
    <row r="288" spans="2:5">
      <c r="B288" s="252">
        <v>43423</v>
      </c>
      <c r="C288" s="251">
        <v>184.6</v>
      </c>
      <c r="D288" s="251">
        <f t="shared" si="7"/>
        <v>-0.460233918128655</v>
      </c>
      <c r="E288" s="251">
        <v>2.6125625347415166E-2</v>
      </c>
    </row>
    <row r="289" spans="2:5">
      <c r="B289" s="252">
        <v>44473</v>
      </c>
      <c r="C289" s="251">
        <v>342</v>
      </c>
      <c r="D289" s="251">
        <f t="shared" si="7"/>
        <v>-0.21613568645427461</v>
      </c>
      <c r="E289" s="251">
        <v>2.6102610261026067E-2</v>
      </c>
    </row>
    <row r="290" spans="2:5">
      <c r="B290" s="252">
        <v>45022</v>
      </c>
      <c r="C290" s="251">
        <v>436.3</v>
      </c>
      <c r="D290" s="251">
        <f t="shared" si="7"/>
        <v>-0.5464326926075701</v>
      </c>
      <c r="E290" s="251">
        <v>2.6008842065657047E-2</v>
      </c>
    </row>
    <row r="291" spans="2:5">
      <c r="B291" s="252">
        <v>45372</v>
      </c>
      <c r="C291" s="251">
        <v>961.93</v>
      </c>
      <c r="D291" s="251">
        <f t="shared" si="7"/>
        <v>0.2484490590525632</v>
      </c>
      <c r="E291" s="251">
        <v>2.5993003114467346E-2</v>
      </c>
    </row>
    <row r="292" spans="2:5">
      <c r="B292" s="252">
        <v>45671</v>
      </c>
      <c r="C292" s="251">
        <v>770.5</v>
      </c>
      <c r="D292" s="251">
        <f t="shared" si="7"/>
        <v>-0.2502675878174565</v>
      </c>
      <c r="E292" s="251">
        <v>2.5965379494007991E-2</v>
      </c>
    </row>
    <row r="293" spans="2:5">
      <c r="B293" s="252">
        <v>45497</v>
      </c>
      <c r="C293" s="267">
        <v>1027.7</v>
      </c>
      <c r="D293" s="251">
        <f t="shared" si="7"/>
        <v>0.81668729008308283</v>
      </c>
      <c r="E293" s="251">
        <v>2.5853463765222691E-2</v>
      </c>
    </row>
    <row r="294" spans="2:5">
      <c r="B294" s="252">
        <v>42650</v>
      </c>
      <c r="C294" s="251">
        <v>565.70000000000005</v>
      </c>
      <c r="D294" s="251">
        <f t="shared" si="7"/>
        <v>2.3433806146572107</v>
      </c>
      <c r="E294" s="251">
        <v>2.5840964729349894E-2</v>
      </c>
    </row>
    <row r="295" spans="2:5">
      <c r="B295" s="252">
        <v>44188</v>
      </c>
      <c r="C295" s="251">
        <v>169.2</v>
      </c>
      <c r="D295" s="251">
        <f t="shared" si="7"/>
        <v>-0.58390714145189848</v>
      </c>
      <c r="E295" s="251">
        <v>2.5765383449530162E-2</v>
      </c>
    </row>
    <row r="296" spans="2:5">
      <c r="B296" s="252">
        <v>44838</v>
      </c>
      <c r="C296" s="251">
        <v>406.64</v>
      </c>
      <c r="D296" s="251">
        <f t="shared" si="7"/>
        <v>-0.16730147028709505</v>
      </c>
      <c r="E296" s="251">
        <v>2.5754862144640869E-2</v>
      </c>
    </row>
    <row r="297" spans="2:5">
      <c r="B297" s="252">
        <v>44789</v>
      </c>
      <c r="C297" s="251">
        <v>488.34</v>
      </c>
      <c r="D297" s="251">
        <f t="shared" si="7"/>
        <v>1.784944396920445</v>
      </c>
      <c r="E297" s="251">
        <v>2.5751974458074256E-2</v>
      </c>
    </row>
    <row r="298" spans="2:5">
      <c r="B298" s="252">
        <v>43472</v>
      </c>
      <c r="C298" s="251">
        <v>175.35</v>
      </c>
      <c r="D298" s="251">
        <f t="shared" si="7"/>
        <v>-8.3376894929430304E-2</v>
      </c>
      <c r="E298" s="251">
        <v>2.5738520035098016E-2</v>
      </c>
    </row>
    <row r="299" spans="2:5">
      <c r="B299" s="252">
        <v>44200</v>
      </c>
      <c r="C299" s="251">
        <v>191.3</v>
      </c>
      <c r="D299" s="251">
        <f t="shared" si="7"/>
        <v>-0.60344112769485903</v>
      </c>
      <c r="E299" s="251">
        <v>2.5737265415549659E-2</v>
      </c>
    </row>
    <row r="300" spans="2:5">
      <c r="B300" s="252">
        <v>44561</v>
      </c>
      <c r="C300" s="251">
        <v>482.4</v>
      </c>
      <c r="D300" s="251">
        <f t="shared" si="7"/>
        <v>3.7880893300248135</v>
      </c>
      <c r="E300" s="251">
        <v>2.5510204081632654E-2</v>
      </c>
    </row>
    <row r="301" spans="2:5">
      <c r="B301" s="252">
        <v>44013</v>
      </c>
      <c r="C301" s="251">
        <v>100.75</v>
      </c>
      <c r="D301" s="251">
        <f t="shared" si="7"/>
        <v>-0.78541001064962723</v>
      </c>
      <c r="E301" s="251">
        <v>2.5445292620865138E-2</v>
      </c>
    </row>
    <row r="302" spans="2:5">
      <c r="B302" s="252">
        <v>42555</v>
      </c>
      <c r="C302" s="251">
        <v>469.5</v>
      </c>
      <c r="D302" s="251">
        <f t="shared" si="7"/>
        <v>-0.56043441625315982</v>
      </c>
      <c r="E302" s="251">
        <v>2.5333042148940867E-2</v>
      </c>
    </row>
    <row r="303" spans="2:5">
      <c r="B303" s="252">
        <v>45513</v>
      </c>
      <c r="C303" s="267">
        <v>1068.0999999999999</v>
      </c>
      <c r="D303" s="251">
        <f t="shared" si="7"/>
        <v>1.3318415020194301</v>
      </c>
      <c r="E303" s="251">
        <v>2.529397648188136E-2</v>
      </c>
    </row>
    <row r="304" spans="2:5">
      <c r="B304" s="252">
        <v>44656</v>
      </c>
      <c r="C304" s="251">
        <v>458.05</v>
      </c>
      <c r="D304" s="251">
        <f t="shared" si="7"/>
        <v>-6.6252165936194068E-2</v>
      </c>
      <c r="E304" s="251">
        <v>2.5293788472299971E-2</v>
      </c>
    </row>
    <row r="305" spans="2:5">
      <c r="B305" s="252">
        <v>44586</v>
      </c>
      <c r="C305" s="251">
        <v>490.55</v>
      </c>
      <c r="D305" s="251">
        <f t="shared" si="7"/>
        <v>1.1388707216045348</v>
      </c>
      <c r="E305" s="251">
        <v>2.5289998954958769E-2</v>
      </c>
    </row>
    <row r="306" spans="2:5">
      <c r="B306" s="252">
        <v>43374</v>
      </c>
      <c r="C306" s="251">
        <v>229.35</v>
      </c>
      <c r="D306" s="251">
        <f t="shared" si="7"/>
        <v>0.85183689947517161</v>
      </c>
      <c r="E306" s="251">
        <v>2.5257040679481476E-2</v>
      </c>
    </row>
    <row r="307" spans="2:5">
      <c r="B307" s="252">
        <v>43697</v>
      </c>
      <c r="C307" s="251">
        <v>123.85</v>
      </c>
      <c r="D307" s="251">
        <f t="shared" si="7"/>
        <v>-0.66747214391193455</v>
      </c>
      <c r="E307" s="251">
        <v>2.5248344370860903E-2</v>
      </c>
    </row>
    <row r="308" spans="2:5">
      <c r="B308" s="252">
        <v>42458</v>
      </c>
      <c r="C308" s="251">
        <v>372.45</v>
      </c>
      <c r="D308" s="251">
        <f t="shared" si="7"/>
        <v>-0.39989365815931943</v>
      </c>
      <c r="E308" s="251">
        <v>2.5185796862097376E-2</v>
      </c>
    </row>
    <row r="309" spans="2:5">
      <c r="B309" s="252">
        <v>45147</v>
      </c>
      <c r="C309" s="251">
        <v>620.64</v>
      </c>
      <c r="D309" s="251">
        <f t="shared" si="7"/>
        <v>0.25661064992913546</v>
      </c>
      <c r="E309" s="251">
        <v>2.5122640107031427E-2</v>
      </c>
    </row>
    <row r="310" spans="2:5">
      <c r="B310" s="252">
        <v>44538</v>
      </c>
      <c r="C310" s="251">
        <v>493.9</v>
      </c>
      <c r="D310" s="251">
        <f t="shared" si="7"/>
        <v>-0.5583474917285165</v>
      </c>
      <c r="E310" s="251">
        <v>2.5114155251141482E-2</v>
      </c>
    </row>
    <row r="311" spans="2:5">
      <c r="B311" s="252">
        <v>45499</v>
      </c>
      <c r="C311" s="267">
        <v>1118.3</v>
      </c>
      <c r="D311" s="251">
        <f t="shared" si="7"/>
        <v>1.6013026285182601</v>
      </c>
      <c r="E311" s="251">
        <v>2.5069893212337786E-2</v>
      </c>
    </row>
    <row r="312" spans="2:5">
      <c r="B312" s="252">
        <v>43035</v>
      </c>
      <c r="C312" s="251">
        <v>429.9</v>
      </c>
      <c r="D312" s="251">
        <f t="shared" si="7"/>
        <v>2.2202247191011235</v>
      </c>
      <c r="E312" s="251">
        <v>2.503576537911302E-2</v>
      </c>
    </row>
    <row r="313" spans="2:5">
      <c r="B313" s="252">
        <v>44126</v>
      </c>
      <c r="C313" s="251">
        <v>133.5</v>
      </c>
      <c r="D313" s="251">
        <f t="shared" si="7"/>
        <v>-0.43492063492063493</v>
      </c>
      <c r="E313" s="251">
        <v>2.4952015355086371E-2</v>
      </c>
    </row>
    <row r="314" spans="2:5">
      <c r="B314" s="252">
        <v>43573</v>
      </c>
      <c r="C314" s="251">
        <v>236.25</v>
      </c>
      <c r="D314" s="251">
        <f t="shared" si="7"/>
        <v>0.8847227762265657</v>
      </c>
      <c r="E314" s="251">
        <v>2.4945770065075923E-2</v>
      </c>
    </row>
    <row r="315" spans="2:5">
      <c r="B315" s="252">
        <v>44055</v>
      </c>
      <c r="C315" s="251">
        <v>125.35</v>
      </c>
      <c r="D315" s="251">
        <f t="shared" si="7"/>
        <v>-0.62118464792988815</v>
      </c>
      <c r="E315" s="251">
        <v>2.4938675388389186E-2</v>
      </c>
    </row>
    <row r="316" spans="2:5">
      <c r="B316" s="252">
        <v>42255</v>
      </c>
      <c r="C316" s="251">
        <v>330.9</v>
      </c>
      <c r="D316" s="251">
        <f t="shared" si="7"/>
        <v>0.84705554005023709</v>
      </c>
      <c r="E316" s="251">
        <v>2.4934179959733481E-2</v>
      </c>
    </row>
    <row r="317" spans="2:5">
      <c r="B317" s="252">
        <v>43818</v>
      </c>
      <c r="C317" s="251">
        <v>179.15</v>
      </c>
      <c r="D317" s="251">
        <f t="shared" si="7"/>
        <v>-0.59301665190031572</v>
      </c>
      <c r="E317" s="251">
        <v>2.4885583524027425E-2</v>
      </c>
    </row>
    <row r="318" spans="2:5">
      <c r="B318" s="252">
        <v>44750</v>
      </c>
      <c r="C318" s="251">
        <v>440.19</v>
      </c>
      <c r="D318" s="251">
        <f t="shared" si="7"/>
        <v>-0.36213592233009712</v>
      </c>
      <c r="E318" s="251">
        <v>2.4841683739988862E-2</v>
      </c>
    </row>
    <row r="319" spans="2:5">
      <c r="B319" s="252">
        <v>45861</v>
      </c>
      <c r="C319" s="251">
        <v>690.1</v>
      </c>
      <c r="D319" s="251">
        <f t="shared" si="7"/>
        <v>8.8234875444839869</v>
      </c>
      <c r="E319" s="251">
        <v>2.4799524799524866E-2</v>
      </c>
    </row>
    <row r="320" spans="2:5">
      <c r="B320" s="252">
        <v>43915</v>
      </c>
      <c r="C320" s="251">
        <v>70.25</v>
      </c>
      <c r="D320" s="251">
        <f t="shared" si="7"/>
        <v>-0.84934591464722287</v>
      </c>
      <c r="E320" s="251">
        <v>2.4799416484318059E-2</v>
      </c>
    </row>
    <row r="321" spans="2:5">
      <c r="B321" s="252">
        <v>42559</v>
      </c>
      <c r="C321" s="251">
        <v>466.3</v>
      </c>
      <c r="D321" s="251">
        <f t="shared" si="7"/>
        <v>0.19212578294771837</v>
      </c>
      <c r="E321" s="251">
        <v>2.4497418433483544E-2</v>
      </c>
    </row>
    <row r="322" spans="2:5">
      <c r="B322" s="252">
        <v>42495</v>
      </c>
      <c r="C322" s="251">
        <v>391.15</v>
      </c>
      <c r="D322" s="251">
        <f t="shared" si="7"/>
        <v>0.17339133043347818</v>
      </c>
      <c r="E322" s="251">
        <v>2.4489261393399596E-2</v>
      </c>
    </row>
    <row r="323" spans="2:5">
      <c r="B323" s="252">
        <v>44242</v>
      </c>
      <c r="C323" s="251">
        <v>333.35</v>
      </c>
      <c r="D323" s="251">
        <f t="shared" si="7"/>
        <v>0.82307902652447384</v>
      </c>
      <c r="E323" s="251">
        <v>2.4431468961278568E-2</v>
      </c>
    </row>
    <row r="324" spans="2:5">
      <c r="B324" s="252">
        <v>43503</v>
      </c>
      <c r="C324" s="251">
        <v>182.85</v>
      </c>
      <c r="D324" s="251">
        <f t="shared" si="7"/>
        <v>-0.53466178042449231</v>
      </c>
      <c r="E324" s="251">
        <v>2.4369747899159633E-2</v>
      </c>
    </row>
    <row r="325" spans="2:5">
      <c r="B325" s="252">
        <v>44922</v>
      </c>
      <c r="C325" s="251">
        <v>392.94</v>
      </c>
      <c r="D325" s="251">
        <f t="shared" si="7"/>
        <v>-0.12584814575871503</v>
      </c>
      <c r="E325" s="251">
        <v>2.429487513685416E-2</v>
      </c>
    </row>
    <row r="326" spans="2:5">
      <c r="B326" s="252">
        <v>44760</v>
      </c>
      <c r="C326" s="251">
        <v>449.51</v>
      </c>
      <c r="D326" s="251">
        <f t="shared" si="7"/>
        <v>-0.11791601255886976</v>
      </c>
      <c r="E326" s="251">
        <v>2.4290759940754171E-2</v>
      </c>
    </row>
    <row r="327" spans="2:5">
      <c r="B327" s="252">
        <v>44487</v>
      </c>
      <c r="C327" s="251">
        <v>509.6</v>
      </c>
      <c r="D327" s="251">
        <f t="shared" si="7"/>
        <v>0.17862016328607447</v>
      </c>
      <c r="E327" s="251">
        <v>2.4115755627009645E-2</v>
      </c>
    </row>
    <row r="328" spans="2:5">
      <c r="B328" s="252">
        <v>44879</v>
      </c>
      <c r="C328" s="251">
        <v>432.37</v>
      </c>
      <c r="D328" s="251">
        <f t="shared" si="7"/>
        <v>4.7919624916275954</v>
      </c>
      <c r="E328" s="251">
        <v>2.4088109900521119E-2</v>
      </c>
    </row>
    <row r="329" spans="2:5">
      <c r="B329" s="252">
        <v>43937</v>
      </c>
      <c r="C329" s="251">
        <v>74.650000000000006</v>
      </c>
      <c r="D329" s="251">
        <f t="shared" si="7"/>
        <v>-0.85111687275628245</v>
      </c>
      <c r="E329" s="251">
        <v>2.4005486968449931E-2</v>
      </c>
    </row>
    <row r="330" spans="2:5">
      <c r="B330" s="252">
        <v>44508</v>
      </c>
      <c r="C330" s="251">
        <v>501.4</v>
      </c>
      <c r="D330" s="251">
        <f t="shared" ref="D330:D393" si="8">(C330-C331)/C331</f>
        <v>1.6564238410596026</v>
      </c>
      <c r="E330" s="251">
        <v>2.3892178885031628E-2</v>
      </c>
    </row>
    <row r="331" spans="2:5">
      <c r="B331" s="252">
        <v>43383</v>
      </c>
      <c r="C331" s="251">
        <v>188.75</v>
      </c>
      <c r="D331" s="251">
        <f t="shared" si="8"/>
        <v>-8.4404559786563207E-2</v>
      </c>
      <c r="E331" s="251">
        <v>2.3867643070246844E-2</v>
      </c>
    </row>
    <row r="332" spans="2:5">
      <c r="B332" s="252">
        <v>43559</v>
      </c>
      <c r="C332" s="251">
        <v>206.15</v>
      </c>
      <c r="D332" s="251">
        <f t="shared" si="8"/>
        <v>-0.79568677588479575</v>
      </c>
      <c r="E332" s="251">
        <v>2.3839086168363603E-2</v>
      </c>
    </row>
    <row r="333" spans="2:5">
      <c r="B333" s="252">
        <v>45420</v>
      </c>
      <c r="C333" s="267">
        <v>1008.99</v>
      </c>
      <c r="D333" s="251">
        <f t="shared" si="8"/>
        <v>1.5492420414350683</v>
      </c>
      <c r="E333" s="251">
        <v>2.3825227547158344E-2</v>
      </c>
    </row>
    <row r="334" spans="2:5">
      <c r="B334" s="252">
        <v>42472</v>
      </c>
      <c r="C334" s="251">
        <v>395.8</v>
      </c>
      <c r="D334" s="251">
        <f t="shared" si="8"/>
        <v>5.6311716039498326E-2</v>
      </c>
      <c r="E334" s="251">
        <v>2.3664813138497439E-2</v>
      </c>
    </row>
    <row r="335" spans="2:5">
      <c r="B335" s="252">
        <v>42450</v>
      </c>
      <c r="C335" s="251">
        <v>374.7</v>
      </c>
      <c r="D335" s="251">
        <f t="shared" si="8"/>
        <v>-0.3593119485671295</v>
      </c>
      <c r="E335" s="251">
        <v>2.3630651550334589E-2</v>
      </c>
    </row>
    <row r="336" spans="2:5">
      <c r="B336" s="252">
        <v>45105</v>
      </c>
      <c r="C336" s="251">
        <v>584.84</v>
      </c>
      <c r="D336" s="251">
        <f t="shared" si="8"/>
        <v>0.24222599830076469</v>
      </c>
      <c r="E336" s="251">
        <v>2.3628662442678614E-2</v>
      </c>
    </row>
    <row r="337" spans="2:5">
      <c r="B337" s="252">
        <v>42800</v>
      </c>
      <c r="C337" s="251">
        <v>470.8</v>
      </c>
      <c r="D337" s="251">
        <f t="shared" si="8"/>
        <v>2.5966386554621845</v>
      </c>
      <c r="E337" s="251">
        <v>2.3589520600065274E-2</v>
      </c>
    </row>
    <row r="338" spans="2:5">
      <c r="B338" s="252">
        <v>43732</v>
      </c>
      <c r="C338" s="251">
        <v>130.9</v>
      </c>
      <c r="D338" s="251">
        <f t="shared" si="8"/>
        <v>0.3255696202531646</v>
      </c>
      <c r="E338" s="251">
        <v>2.3455824863174355E-2</v>
      </c>
    </row>
    <row r="339" spans="2:5">
      <c r="B339" s="252">
        <v>43985</v>
      </c>
      <c r="C339" s="251">
        <v>98.75</v>
      </c>
      <c r="D339" s="251">
        <f t="shared" si="8"/>
        <v>-0.61717387090521414</v>
      </c>
      <c r="E339" s="251">
        <v>2.3316062176165803E-2</v>
      </c>
    </row>
    <row r="340" spans="2:5">
      <c r="B340" s="252">
        <v>43298</v>
      </c>
      <c r="C340" s="251">
        <v>257.95</v>
      </c>
      <c r="D340" s="251">
        <f t="shared" si="8"/>
        <v>-0.59637291105964829</v>
      </c>
      <c r="E340" s="251">
        <v>2.3205077350257813E-2</v>
      </c>
    </row>
    <row r="341" spans="2:5">
      <c r="B341" s="252">
        <v>45226</v>
      </c>
      <c r="C341" s="251">
        <v>639.08000000000004</v>
      </c>
      <c r="D341" s="251">
        <f t="shared" si="8"/>
        <v>0.47979716118276339</v>
      </c>
      <c r="E341" s="251">
        <v>2.3150075245749475E-2</v>
      </c>
    </row>
    <row r="342" spans="2:5">
      <c r="B342" s="252">
        <v>44890</v>
      </c>
      <c r="C342" s="251">
        <v>431.87</v>
      </c>
      <c r="D342" s="251">
        <f t="shared" si="8"/>
        <v>-3.3739791923033863E-2</v>
      </c>
      <c r="E342" s="251">
        <v>2.3146173892442504E-2</v>
      </c>
    </row>
    <row r="343" spans="2:5">
      <c r="B343" s="252">
        <v>42926</v>
      </c>
      <c r="C343" s="251">
        <v>446.95</v>
      </c>
      <c r="D343" s="251">
        <f t="shared" si="8"/>
        <v>-0.55224403927068721</v>
      </c>
      <c r="E343" s="251">
        <v>2.3120064095227117E-2</v>
      </c>
    </row>
    <row r="344" spans="2:5">
      <c r="B344" s="252">
        <v>45477</v>
      </c>
      <c r="C344" s="251">
        <v>998.2</v>
      </c>
      <c r="D344" s="251">
        <f t="shared" si="8"/>
        <v>5.009632751354606</v>
      </c>
      <c r="E344" s="251">
        <v>2.3112796597140439E-2</v>
      </c>
    </row>
    <row r="345" spans="2:5">
      <c r="B345" s="252">
        <v>43794</v>
      </c>
      <c r="C345" s="251">
        <v>166.1</v>
      </c>
      <c r="D345" s="251">
        <f t="shared" si="8"/>
        <v>-0.45307869608165952</v>
      </c>
      <c r="E345" s="251">
        <v>2.3098244533415462E-2</v>
      </c>
    </row>
    <row r="346" spans="2:5">
      <c r="B346" s="252">
        <v>44411</v>
      </c>
      <c r="C346" s="251">
        <v>303.7</v>
      </c>
      <c r="D346" s="251">
        <f t="shared" si="8"/>
        <v>-0.21807415036045313</v>
      </c>
      <c r="E346" s="251">
        <v>2.307562742125641E-2</v>
      </c>
    </row>
    <row r="347" spans="2:5">
      <c r="B347" s="252">
        <v>42464</v>
      </c>
      <c r="C347" s="251">
        <v>388.4</v>
      </c>
      <c r="D347" s="251">
        <f t="shared" si="8"/>
        <v>0.93860743698527571</v>
      </c>
      <c r="E347" s="251">
        <v>2.3047543790333202E-2</v>
      </c>
    </row>
    <row r="348" spans="2:5">
      <c r="B348" s="252">
        <v>43845</v>
      </c>
      <c r="C348" s="251">
        <v>200.35</v>
      </c>
      <c r="D348" s="251">
        <f t="shared" si="8"/>
        <v>-0.53931938376638311</v>
      </c>
      <c r="E348" s="251">
        <v>2.2976767934643861E-2</v>
      </c>
    </row>
    <row r="349" spans="2:5">
      <c r="B349" s="252">
        <v>44677</v>
      </c>
      <c r="C349" s="251">
        <v>434.9</v>
      </c>
      <c r="D349" s="251">
        <f t="shared" si="8"/>
        <v>0.2740588838435622</v>
      </c>
      <c r="E349" s="251">
        <v>2.293308244149124E-2</v>
      </c>
    </row>
    <row r="350" spans="2:5">
      <c r="B350" s="252">
        <v>42284</v>
      </c>
      <c r="C350" s="251">
        <v>341.35</v>
      </c>
      <c r="D350" s="251">
        <f t="shared" si="8"/>
        <v>1.3820655966503839</v>
      </c>
      <c r="E350" s="251">
        <v>2.2924782738987216E-2</v>
      </c>
    </row>
    <row r="351" spans="2:5">
      <c r="B351" s="252">
        <v>44084</v>
      </c>
      <c r="C351" s="251">
        <v>143.30000000000001</v>
      </c>
      <c r="D351" s="251">
        <f t="shared" si="8"/>
        <v>-0.65146540192143987</v>
      </c>
      <c r="E351" s="251">
        <v>2.2840827980014397E-2</v>
      </c>
    </row>
    <row r="352" spans="2:5">
      <c r="B352" s="252">
        <v>43077</v>
      </c>
      <c r="C352" s="251">
        <v>411.15</v>
      </c>
      <c r="D352" s="251">
        <f t="shared" si="8"/>
        <v>-5.1907023935802349E-2</v>
      </c>
      <c r="E352" s="251">
        <v>2.276119402985069E-2</v>
      </c>
    </row>
    <row r="353" spans="2:5">
      <c r="B353" s="252">
        <v>44872</v>
      </c>
      <c r="C353" s="251">
        <v>433.66</v>
      </c>
      <c r="D353" s="251">
        <f t="shared" si="8"/>
        <v>1.2086070791953147</v>
      </c>
      <c r="E353" s="251">
        <v>2.2686539005754184E-2</v>
      </c>
    </row>
    <row r="354" spans="2:5">
      <c r="B354" s="252">
        <v>43840</v>
      </c>
      <c r="C354" s="251">
        <v>196.35</v>
      </c>
      <c r="D354" s="251">
        <f t="shared" si="8"/>
        <v>-0.27088748607500934</v>
      </c>
      <c r="E354" s="251">
        <v>2.2656249999999972E-2</v>
      </c>
    </row>
    <row r="355" spans="2:5">
      <c r="B355" s="252">
        <v>43280</v>
      </c>
      <c r="C355" s="251">
        <v>269.3</v>
      </c>
      <c r="D355" s="251">
        <f t="shared" si="8"/>
        <v>2.4996751137102016</v>
      </c>
      <c r="E355" s="251">
        <v>2.2593506740079698E-2</v>
      </c>
    </row>
    <row r="356" spans="2:5">
      <c r="B356" s="252">
        <v>43949</v>
      </c>
      <c r="C356" s="251">
        <v>76.95</v>
      </c>
      <c r="D356" s="251">
        <f t="shared" si="8"/>
        <v>-0.85381838905775076</v>
      </c>
      <c r="E356" s="251">
        <v>2.2591362126245886E-2</v>
      </c>
    </row>
    <row r="357" spans="2:5">
      <c r="B357" s="252">
        <v>42751</v>
      </c>
      <c r="C357" s="251">
        <v>526.4</v>
      </c>
      <c r="D357" s="251">
        <f t="shared" si="8"/>
        <v>0.15198599409125724</v>
      </c>
      <c r="E357" s="251">
        <v>2.2433718558803446E-2</v>
      </c>
    </row>
    <row r="358" spans="2:5">
      <c r="B358" s="252">
        <v>42927</v>
      </c>
      <c r="C358" s="251">
        <v>456.95</v>
      </c>
      <c r="D358" s="251">
        <f t="shared" si="8"/>
        <v>-0.3675169903248578</v>
      </c>
      <c r="E358" s="251">
        <v>2.2373867322966777E-2</v>
      </c>
    </row>
    <row r="359" spans="2:5">
      <c r="B359" s="252">
        <v>45282</v>
      </c>
      <c r="C359" s="251">
        <v>722.47</v>
      </c>
      <c r="D359" s="251">
        <f t="shared" si="8"/>
        <v>-8.6637168141592891E-2</v>
      </c>
      <c r="E359" s="251">
        <v>2.2358385101957163E-2</v>
      </c>
    </row>
    <row r="360" spans="2:5">
      <c r="B360" s="252">
        <v>45618</v>
      </c>
      <c r="C360" s="251">
        <v>791</v>
      </c>
      <c r="D360" s="251">
        <f t="shared" si="8"/>
        <v>0.70327304048234285</v>
      </c>
      <c r="E360" s="251">
        <v>2.2161917684305713E-2</v>
      </c>
    </row>
    <row r="361" spans="2:5">
      <c r="B361" s="252">
        <v>42538</v>
      </c>
      <c r="C361" s="251">
        <v>464.4</v>
      </c>
      <c r="D361" s="251">
        <f t="shared" si="8"/>
        <v>0.12146824438541404</v>
      </c>
      <c r="E361" s="251">
        <v>2.2119511389897553E-2</v>
      </c>
    </row>
    <row r="362" spans="2:5">
      <c r="B362" s="252">
        <v>44727</v>
      </c>
      <c r="C362" s="251">
        <v>414.1</v>
      </c>
      <c r="D362" s="251">
        <f t="shared" si="8"/>
        <v>-0.26863299187566231</v>
      </c>
      <c r="E362" s="251">
        <v>2.2090583734419463E-2</v>
      </c>
    </row>
    <row r="363" spans="2:5">
      <c r="B363" s="252">
        <v>45084</v>
      </c>
      <c r="C363" s="251">
        <v>566.20000000000005</v>
      </c>
      <c r="D363" s="251">
        <f t="shared" si="8"/>
        <v>-0.2862275449101796</v>
      </c>
      <c r="E363" s="251">
        <v>2.1947873799725799E-2</v>
      </c>
    </row>
    <row r="364" spans="2:5">
      <c r="B364" s="252">
        <v>45664</v>
      </c>
      <c r="C364" s="251">
        <v>793.25</v>
      </c>
      <c r="D364" s="251">
        <f t="shared" si="8"/>
        <v>0.7785874439461884</v>
      </c>
      <c r="E364" s="251">
        <v>2.1900161030595812E-2</v>
      </c>
    </row>
    <row r="365" spans="2:5">
      <c r="B365" s="252">
        <v>42782</v>
      </c>
      <c r="C365" s="251">
        <v>446</v>
      </c>
      <c r="D365" s="251">
        <f t="shared" si="8"/>
        <v>5.1787567210640456E-2</v>
      </c>
      <c r="E365" s="251">
        <v>2.1881086035055588E-2</v>
      </c>
    </row>
    <row r="366" spans="2:5">
      <c r="B366" s="252">
        <v>44869</v>
      </c>
      <c r="C366" s="251">
        <v>424.04</v>
      </c>
      <c r="D366" s="251">
        <f t="shared" si="8"/>
        <v>-3.1319246145059917E-2</v>
      </c>
      <c r="E366" s="251">
        <v>2.185700171096704E-2</v>
      </c>
    </row>
    <row r="367" spans="2:5">
      <c r="B367" s="252">
        <v>43040</v>
      </c>
      <c r="C367" s="251">
        <v>437.75</v>
      </c>
      <c r="D367" s="251">
        <f t="shared" si="8"/>
        <v>0.49940058229148832</v>
      </c>
      <c r="E367" s="251">
        <v>2.182539682539688E-2</v>
      </c>
    </row>
    <row r="368" spans="2:5">
      <c r="B368" s="252">
        <v>44438</v>
      </c>
      <c r="C368" s="251">
        <v>291.95</v>
      </c>
      <c r="D368" s="251">
        <f t="shared" si="8"/>
        <v>0.67546628407460541</v>
      </c>
      <c r="E368" s="251">
        <v>2.1697287839020082E-2</v>
      </c>
    </row>
    <row r="369" spans="2:5">
      <c r="B369" s="252">
        <v>43553</v>
      </c>
      <c r="C369" s="251">
        <v>174.25</v>
      </c>
      <c r="D369" s="251">
        <f t="shared" si="8"/>
        <v>-0.6317235548980239</v>
      </c>
      <c r="E369" s="251">
        <v>2.1694517736734028E-2</v>
      </c>
    </row>
    <row r="370" spans="2:5">
      <c r="B370" s="252">
        <v>42720</v>
      </c>
      <c r="C370" s="251">
        <v>473.15</v>
      </c>
      <c r="D370" s="251">
        <f t="shared" si="8"/>
        <v>1.5770697167755989</v>
      </c>
      <c r="E370" s="251">
        <v>2.1481001727115694E-2</v>
      </c>
    </row>
    <row r="371" spans="2:5">
      <c r="B371" s="252">
        <v>44167</v>
      </c>
      <c r="C371" s="251">
        <v>183.6</v>
      </c>
      <c r="D371" s="251">
        <f t="shared" si="8"/>
        <v>-0.407741935483871</v>
      </c>
      <c r="E371" s="251">
        <v>2.1418636995827505E-2</v>
      </c>
    </row>
    <row r="372" spans="2:5">
      <c r="B372" s="252">
        <v>44302</v>
      </c>
      <c r="C372" s="251">
        <v>310</v>
      </c>
      <c r="D372" s="251">
        <f t="shared" si="8"/>
        <v>-0.41525983212298406</v>
      </c>
      <c r="E372" s="251">
        <v>2.1416803953871501E-2</v>
      </c>
    </row>
    <row r="373" spans="2:5">
      <c r="B373" s="252">
        <v>44517</v>
      </c>
      <c r="C373" s="251">
        <v>530.15</v>
      </c>
      <c r="D373" s="251">
        <f t="shared" si="8"/>
        <v>-0.15663129762491854</v>
      </c>
      <c r="E373" s="251">
        <v>2.1385223003564248E-2</v>
      </c>
    </row>
    <row r="374" spans="2:5">
      <c r="B374" s="252">
        <v>45209</v>
      </c>
      <c r="C374" s="251">
        <v>628.61</v>
      </c>
      <c r="D374" s="251">
        <f t="shared" si="8"/>
        <v>4.9519993321646159E-2</v>
      </c>
      <c r="E374" s="251">
        <v>2.1382728085140901E-2</v>
      </c>
    </row>
    <row r="375" spans="2:5">
      <c r="B375" s="252">
        <v>45113</v>
      </c>
      <c r="C375" s="251">
        <v>598.95000000000005</v>
      </c>
      <c r="D375" s="251">
        <f t="shared" si="8"/>
        <v>-0.17754891864057668</v>
      </c>
      <c r="E375" s="251">
        <v>2.1332105586249216E-2</v>
      </c>
    </row>
    <row r="376" spans="2:5">
      <c r="B376" s="252">
        <v>45685</v>
      </c>
      <c r="C376" s="251">
        <v>728.25</v>
      </c>
      <c r="D376" s="251">
        <f t="shared" si="8"/>
        <v>2.5473132815140295E-2</v>
      </c>
      <c r="E376" s="251">
        <v>2.1316878199284829E-2</v>
      </c>
    </row>
    <row r="377" spans="2:5">
      <c r="B377" s="252">
        <v>45259</v>
      </c>
      <c r="C377" s="251">
        <v>710.16</v>
      </c>
      <c r="D377" s="251">
        <f t="shared" si="8"/>
        <v>0.65307262569832381</v>
      </c>
      <c r="E377" s="251">
        <v>2.1298626590925355E-2</v>
      </c>
    </row>
    <row r="378" spans="2:5">
      <c r="B378" s="252">
        <v>44708</v>
      </c>
      <c r="C378" s="251">
        <v>429.6</v>
      </c>
      <c r="D378" s="251">
        <f t="shared" si="8"/>
        <v>-0.5580701573912149</v>
      </c>
      <c r="E378" s="251">
        <v>2.1276595744680962E-2</v>
      </c>
    </row>
    <row r="379" spans="2:5">
      <c r="B379" s="252">
        <v>45470</v>
      </c>
      <c r="C379" s="251">
        <v>972.1</v>
      </c>
      <c r="D379" s="251">
        <f t="shared" si="8"/>
        <v>-6.1770099411253637E-2</v>
      </c>
      <c r="E379" s="251">
        <v>2.1274360455954194E-2</v>
      </c>
    </row>
    <row r="380" spans="2:5">
      <c r="B380" s="252">
        <v>45358</v>
      </c>
      <c r="C380" s="267">
        <v>1036.0999999999999</v>
      </c>
      <c r="D380" s="251">
        <f t="shared" si="8"/>
        <v>1.7301712779973648</v>
      </c>
      <c r="E380" s="251">
        <v>2.1271143003587831E-2</v>
      </c>
    </row>
    <row r="381" spans="2:5">
      <c r="B381" s="252">
        <v>42353</v>
      </c>
      <c r="C381" s="251">
        <v>379.5</v>
      </c>
      <c r="D381" s="251">
        <f t="shared" si="8"/>
        <v>-0.55676761542145037</v>
      </c>
      <c r="E381" s="251">
        <v>2.1259418729816945E-2</v>
      </c>
    </row>
    <row r="382" spans="2:5">
      <c r="B382" s="252">
        <v>45321</v>
      </c>
      <c r="C382" s="251">
        <v>856.21</v>
      </c>
      <c r="D382" s="251">
        <f t="shared" si="8"/>
        <v>2.3090241545893719</v>
      </c>
      <c r="E382" s="251">
        <v>2.1230662802209026E-2</v>
      </c>
    </row>
    <row r="383" spans="2:5">
      <c r="B383" s="252">
        <v>43304</v>
      </c>
      <c r="C383" s="251">
        <v>258.75</v>
      </c>
      <c r="D383" s="251">
        <f t="shared" si="8"/>
        <v>-0.66178681131952155</v>
      </c>
      <c r="E383" s="251">
        <v>2.1112865035516945E-2</v>
      </c>
    </row>
    <row r="384" spans="2:5">
      <c r="B384" s="252">
        <v>45659</v>
      </c>
      <c r="C384" s="251">
        <v>765.05</v>
      </c>
      <c r="D384" s="251">
        <f t="shared" si="8"/>
        <v>3.935806451612903</v>
      </c>
      <c r="E384" s="251">
        <v>2.1087754421087693E-2</v>
      </c>
    </row>
    <row r="385" spans="2:5">
      <c r="B385" s="252">
        <v>43509</v>
      </c>
      <c r="C385" s="251">
        <v>155</v>
      </c>
      <c r="D385" s="251">
        <f t="shared" si="8"/>
        <v>-0.83495714209657668</v>
      </c>
      <c r="E385" s="251">
        <v>2.1080368906455788E-2</v>
      </c>
    </row>
    <row r="386" spans="2:5">
      <c r="B386" s="252">
        <v>45574</v>
      </c>
      <c r="C386" s="251">
        <v>939.15</v>
      </c>
      <c r="D386" s="251">
        <f t="shared" si="8"/>
        <v>7.0475578406169657</v>
      </c>
      <c r="E386" s="251">
        <v>2.1037181996086132E-2</v>
      </c>
    </row>
    <row r="387" spans="2:5">
      <c r="B387" s="252">
        <v>43707</v>
      </c>
      <c r="C387" s="251">
        <v>116.7</v>
      </c>
      <c r="D387" s="251">
        <f t="shared" si="8"/>
        <v>-0.66917080085046066</v>
      </c>
      <c r="E387" s="251">
        <v>2.0997375328084041E-2</v>
      </c>
    </row>
    <row r="388" spans="2:5">
      <c r="B388" s="252">
        <v>44355</v>
      </c>
      <c r="C388" s="251">
        <v>352.75</v>
      </c>
      <c r="D388" s="251">
        <f t="shared" si="8"/>
        <v>-0.18683725218994932</v>
      </c>
      <c r="E388" s="251">
        <v>2.0984081041968163E-2</v>
      </c>
    </row>
    <row r="389" spans="2:5">
      <c r="B389" s="252">
        <v>44637</v>
      </c>
      <c r="C389" s="251">
        <v>433.8</v>
      </c>
      <c r="D389" s="251">
        <f t="shared" si="8"/>
        <v>-0.27098563145954113</v>
      </c>
      <c r="E389" s="251">
        <v>2.0946104965874405E-2</v>
      </c>
    </row>
    <row r="390" spans="2:5">
      <c r="B390" s="252">
        <v>45758</v>
      </c>
      <c r="C390" s="251">
        <v>595.04999999999995</v>
      </c>
      <c r="D390" s="251">
        <f t="shared" si="8"/>
        <v>0.33875539956803441</v>
      </c>
      <c r="E390" s="251">
        <v>2.0844055584148185E-2</v>
      </c>
    </row>
    <row r="391" spans="2:5">
      <c r="B391" s="252">
        <v>44967</v>
      </c>
      <c r="C391" s="251">
        <v>444.48</v>
      </c>
      <c r="D391" s="251">
        <f t="shared" si="8"/>
        <v>5.815974288775147E-2</v>
      </c>
      <c r="E391" s="251">
        <v>2.0830940952205949E-2</v>
      </c>
    </row>
    <row r="392" spans="2:5">
      <c r="B392" s="252">
        <v>44866</v>
      </c>
      <c r="C392" s="251">
        <v>420.05</v>
      </c>
      <c r="D392" s="251">
        <f t="shared" si="8"/>
        <v>-0.53848266769213859</v>
      </c>
      <c r="E392" s="251">
        <v>2.0827257703898105E-2</v>
      </c>
    </row>
    <row r="393" spans="2:5">
      <c r="B393" s="252">
        <v>45583</v>
      </c>
      <c r="C393" s="251">
        <v>910.15</v>
      </c>
      <c r="D393" s="251">
        <f t="shared" si="8"/>
        <v>3.9330623306233061</v>
      </c>
      <c r="E393" s="251">
        <v>2.0805293853746024E-2</v>
      </c>
    </row>
    <row r="394" spans="2:5">
      <c r="B394" s="252">
        <v>43599</v>
      </c>
      <c r="C394" s="251">
        <v>184.5</v>
      </c>
      <c r="D394" s="251">
        <f t="shared" ref="D394:D457" si="9">(C394-C395)/C395</f>
        <v>-0.57381441870134675</v>
      </c>
      <c r="E394" s="251">
        <v>2.0746887966804978E-2</v>
      </c>
    </row>
    <row r="395" spans="2:5">
      <c r="B395" s="252">
        <v>44824</v>
      </c>
      <c r="C395" s="251">
        <v>432.91</v>
      </c>
      <c r="D395" s="251">
        <f t="shared" si="9"/>
        <v>0.4358540630182422</v>
      </c>
      <c r="E395" s="251">
        <v>2.0677134908285093E-2</v>
      </c>
    </row>
    <row r="396" spans="2:5">
      <c r="B396" s="252">
        <v>44313</v>
      </c>
      <c r="C396" s="251">
        <v>301.5</v>
      </c>
      <c r="D396" s="251">
        <f t="shared" si="9"/>
        <v>-0.45783132530120485</v>
      </c>
      <c r="E396" s="251">
        <v>2.0649966147596559E-2</v>
      </c>
    </row>
    <row r="397" spans="2:5">
      <c r="B397" s="252">
        <v>42657</v>
      </c>
      <c r="C397" s="251">
        <v>556.1</v>
      </c>
      <c r="D397" s="251">
        <f t="shared" si="9"/>
        <v>0.37986650455323701</v>
      </c>
      <c r="E397" s="251">
        <v>2.0647884738918966E-2</v>
      </c>
    </row>
    <row r="398" spans="2:5">
      <c r="B398" s="252">
        <v>44852</v>
      </c>
      <c r="C398" s="251">
        <v>403.01</v>
      </c>
      <c r="D398" s="251">
        <f t="shared" si="9"/>
        <v>1.6610102344007924</v>
      </c>
      <c r="E398" s="251">
        <v>2.0588533225283621E-2</v>
      </c>
    </row>
    <row r="399" spans="2:5">
      <c r="B399" s="252">
        <v>44090</v>
      </c>
      <c r="C399" s="251">
        <v>151.44999999999999</v>
      </c>
      <c r="D399" s="251">
        <f t="shared" si="9"/>
        <v>-0.17036428375787466</v>
      </c>
      <c r="E399" s="251">
        <v>2.0552560646900152E-2</v>
      </c>
    </row>
    <row r="400" spans="2:5">
      <c r="B400" s="252">
        <v>44181</v>
      </c>
      <c r="C400" s="251">
        <v>182.55</v>
      </c>
      <c r="D400" s="251">
        <f t="shared" si="9"/>
        <v>4.0467369620974768E-2</v>
      </c>
      <c r="E400" s="251">
        <v>2.0402459474566828E-2</v>
      </c>
    </row>
    <row r="401" spans="2:5">
      <c r="B401" s="252">
        <v>43437</v>
      </c>
      <c r="C401" s="251">
        <v>175.45</v>
      </c>
      <c r="D401" s="251">
        <f t="shared" si="9"/>
        <v>-0.55806045340050381</v>
      </c>
      <c r="E401" s="251">
        <v>2.0354754289037512E-2</v>
      </c>
    </row>
    <row r="402" spans="2:5">
      <c r="B402" s="252">
        <v>42515</v>
      </c>
      <c r="C402" s="251">
        <v>397</v>
      </c>
      <c r="D402" s="251">
        <f t="shared" si="9"/>
        <v>0.15574963609898107</v>
      </c>
      <c r="E402" s="251">
        <v>2.0303263942431191E-2</v>
      </c>
    </row>
    <row r="403" spans="2:5">
      <c r="B403" s="252">
        <v>42433</v>
      </c>
      <c r="C403" s="251">
        <v>343.5</v>
      </c>
      <c r="D403" s="251">
        <f t="shared" si="9"/>
        <v>-0.18563300142247513</v>
      </c>
      <c r="E403" s="251">
        <v>2.019602019602023E-2</v>
      </c>
    </row>
    <row r="404" spans="2:5">
      <c r="B404" s="252">
        <v>43056</v>
      </c>
      <c r="C404" s="251">
        <v>421.8</v>
      </c>
      <c r="D404" s="251">
        <f t="shared" si="9"/>
        <v>0.73866446826051124</v>
      </c>
      <c r="E404" s="251">
        <v>2.0195912444068261E-2</v>
      </c>
    </row>
    <row r="405" spans="2:5">
      <c r="B405" s="252">
        <v>44209</v>
      </c>
      <c r="C405" s="251">
        <v>242.6</v>
      </c>
      <c r="D405" s="251">
        <f t="shared" si="9"/>
        <v>1.9071300179748349</v>
      </c>
      <c r="E405" s="251">
        <v>2.018502943650119E-2</v>
      </c>
    </row>
    <row r="406" spans="2:5">
      <c r="B406" s="252">
        <v>43971</v>
      </c>
      <c r="C406" s="251">
        <v>83.45</v>
      </c>
      <c r="D406" s="251">
        <f t="shared" si="9"/>
        <v>-0.75230038587117842</v>
      </c>
      <c r="E406" s="251">
        <v>2.0171149144254347E-2</v>
      </c>
    </row>
    <row r="407" spans="2:5">
      <c r="B407" s="252">
        <v>43217</v>
      </c>
      <c r="C407" s="251">
        <v>336.9</v>
      </c>
      <c r="D407" s="251">
        <f t="shared" si="9"/>
        <v>-0.53991123250256068</v>
      </c>
      <c r="E407" s="251">
        <v>2.0136260408781158E-2</v>
      </c>
    </row>
    <row r="408" spans="2:5">
      <c r="B408" s="252">
        <v>45818</v>
      </c>
      <c r="C408" s="251">
        <v>732.25</v>
      </c>
      <c r="D408" s="251">
        <f t="shared" si="9"/>
        <v>4.8957326892109494</v>
      </c>
      <c r="E408" s="251">
        <v>2.0130955697966073E-2</v>
      </c>
    </row>
    <row r="409" spans="2:5">
      <c r="B409" s="252">
        <v>43727</v>
      </c>
      <c r="C409" s="251">
        <v>124.2</v>
      </c>
      <c r="D409" s="251">
        <f t="shared" si="9"/>
        <v>-0.80138169257340242</v>
      </c>
      <c r="E409" s="251">
        <v>2.0123203285420967E-2</v>
      </c>
    </row>
    <row r="410" spans="2:5">
      <c r="B410" s="252">
        <v>45177</v>
      </c>
      <c r="C410" s="251">
        <v>625.32000000000005</v>
      </c>
      <c r="D410" s="251">
        <f t="shared" si="9"/>
        <v>0.24133002481389587</v>
      </c>
      <c r="E410" s="251">
        <v>2.0081238478980863E-2</v>
      </c>
    </row>
    <row r="411" spans="2:5">
      <c r="B411" s="252">
        <v>42608</v>
      </c>
      <c r="C411" s="251">
        <v>503.75</v>
      </c>
      <c r="D411" s="251">
        <f t="shared" si="9"/>
        <v>0.60455486542443071</v>
      </c>
      <c r="E411" s="251">
        <v>2.0046572846005827E-2</v>
      </c>
    </row>
    <row r="412" spans="2:5">
      <c r="B412" s="252">
        <v>44294</v>
      </c>
      <c r="C412" s="251">
        <v>313.95</v>
      </c>
      <c r="D412" s="251">
        <f t="shared" si="9"/>
        <v>2.4980501392757657</v>
      </c>
      <c r="E412" s="251">
        <v>1.9980506822612012E-2</v>
      </c>
    </row>
    <row r="413" spans="2:5">
      <c r="B413" s="252">
        <v>43903</v>
      </c>
      <c r="C413" s="251">
        <v>89.75</v>
      </c>
      <c r="D413" s="251">
        <f t="shared" si="9"/>
        <v>-0.80779526715922478</v>
      </c>
      <c r="E413" s="251">
        <v>1.9886363636363636E-2</v>
      </c>
    </row>
    <row r="414" spans="2:5">
      <c r="B414" s="252">
        <v>42731</v>
      </c>
      <c r="C414" s="251">
        <v>466.95</v>
      </c>
      <c r="D414" s="251">
        <f t="shared" si="9"/>
        <v>0.45263649090060665</v>
      </c>
      <c r="E414" s="251">
        <v>1.9875505078082265E-2</v>
      </c>
    </row>
    <row r="415" spans="2:5">
      <c r="B415" s="252">
        <v>44265</v>
      </c>
      <c r="C415" s="251">
        <v>321.45</v>
      </c>
      <c r="D415" s="251">
        <f t="shared" si="9"/>
        <v>1.184505606523955</v>
      </c>
      <c r="E415" s="251">
        <v>1.9828680203045686E-2</v>
      </c>
    </row>
    <row r="416" spans="2:5">
      <c r="B416" s="252">
        <v>43672</v>
      </c>
      <c r="C416" s="251">
        <v>147.15</v>
      </c>
      <c r="D416" s="251">
        <f t="shared" si="9"/>
        <v>-0.85638858525921302</v>
      </c>
      <c r="E416" s="251">
        <v>1.975051975051971E-2</v>
      </c>
    </row>
    <row r="417" spans="2:5">
      <c r="B417" s="252">
        <v>45414</v>
      </c>
      <c r="C417" s="267">
        <v>1024.6400000000001</v>
      </c>
      <c r="D417" s="251">
        <f t="shared" si="9"/>
        <v>2.3294557270511782</v>
      </c>
      <c r="E417" s="251">
        <v>1.9745222929936451E-2</v>
      </c>
    </row>
    <row r="418" spans="2:5">
      <c r="B418" s="252">
        <v>44287</v>
      </c>
      <c r="C418" s="251">
        <v>307.75</v>
      </c>
      <c r="D418" s="251">
        <f t="shared" si="9"/>
        <v>1.5839630562552478</v>
      </c>
      <c r="E418" s="251">
        <v>1.9715043074883989E-2</v>
      </c>
    </row>
    <row r="419" spans="2:5">
      <c r="B419" s="252">
        <v>44050</v>
      </c>
      <c r="C419" s="251">
        <v>119.1</v>
      </c>
      <c r="D419" s="251">
        <f t="shared" si="9"/>
        <v>-0.82174661378432978</v>
      </c>
      <c r="E419" s="251">
        <v>1.9691780821917783E-2</v>
      </c>
    </row>
    <row r="420" spans="2:5">
      <c r="B420" s="252">
        <v>45775</v>
      </c>
      <c r="C420" s="251">
        <v>668.15</v>
      </c>
      <c r="D420" s="251">
        <f t="shared" si="9"/>
        <v>0.28280695017759422</v>
      </c>
      <c r="E420" s="251">
        <v>1.9687142312094584E-2</v>
      </c>
    </row>
    <row r="421" spans="2:5">
      <c r="B421" s="252">
        <v>44580</v>
      </c>
      <c r="C421" s="251">
        <v>520.85</v>
      </c>
      <c r="D421" s="251">
        <f t="shared" si="9"/>
        <v>-0.44336386273524919</v>
      </c>
      <c r="E421" s="251">
        <v>1.9675019577133929E-2</v>
      </c>
    </row>
    <row r="422" spans="2:5">
      <c r="B422" s="252">
        <v>45338</v>
      </c>
      <c r="C422" s="251">
        <v>935.71</v>
      </c>
      <c r="D422" s="251">
        <f t="shared" si="9"/>
        <v>0.4040423744072984</v>
      </c>
      <c r="E422" s="251">
        <v>1.9602928997951453E-2</v>
      </c>
    </row>
    <row r="423" spans="2:5">
      <c r="B423" s="252">
        <v>45217</v>
      </c>
      <c r="C423" s="251">
        <v>666.44</v>
      </c>
      <c r="D423" s="251">
        <f t="shared" si="9"/>
        <v>0.71652285898261447</v>
      </c>
      <c r="E423" s="251">
        <v>1.9520254558805693E-2</v>
      </c>
    </row>
    <row r="424" spans="2:5">
      <c r="B424" s="252">
        <v>44935</v>
      </c>
      <c r="C424" s="251">
        <v>388.25</v>
      </c>
      <c r="D424" s="251">
        <f t="shared" si="9"/>
        <v>7.7873403664630789E-2</v>
      </c>
      <c r="E424" s="251">
        <v>1.948375915762943E-2</v>
      </c>
    </row>
    <row r="425" spans="2:5">
      <c r="B425" s="252">
        <v>42380</v>
      </c>
      <c r="C425" s="251">
        <v>360.2</v>
      </c>
      <c r="D425" s="251">
        <f t="shared" si="9"/>
        <v>-0.27305751765893038</v>
      </c>
      <c r="E425" s="251">
        <v>1.9385878024621384E-2</v>
      </c>
    </row>
    <row r="426" spans="2:5">
      <c r="B426" s="252">
        <v>44523</v>
      </c>
      <c r="C426" s="251">
        <v>495.5</v>
      </c>
      <c r="D426" s="251">
        <f t="shared" si="9"/>
        <v>1.8041878890775327</v>
      </c>
      <c r="E426" s="251">
        <v>1.9337584859082445E-2</v>
      </c>
    </row>
    <row r="427" spans="2:5">
      <c r="B427" s="252">
        <v>43812</v>
      </c>
      <c r="C427" s="251">
        <v>176.7</v>
      </c>
      <c r="D427" s="251">
        <f t="shared" si="9"/>
        <v>-0.6755238077749417</v>
      </c>
      <c r="E427" s="251">
        <v>1.9325064897605968E-2</v>
      </c>
    </row>
    <row r="428" spans="2:5">
      <c r="B428" s="252">
        <v>45082</v>
      </c>
      <c r="C428" s="251">
        <v>544.57000000000005</v>
      </c>
      <c r="D428" s="251">
        <f t="shared" si="9"/>
        <v>0.76350388601036279</v>
      </c>
      <c r="E428" s="251">
        <v>1.9316799251286945E-2</v>
      </c>
    </row>
    <row r="429" spans="2:5">
      <c r="B429" s="252">
        <v>43269</v>
      </c>
      <c r="C429" s="251">
        <v>308.8</v>
      </c>
      <c r="D429" s="251">
        <f t="shared" si="9"/>
        <v>-0.22548281916227736</v>
      </c>
      <c r="E429" s="251">
        <v>1.9310117181053056E-2</v>
      </c>
    </row>
    <row r="430" spans="2:5">
      <c r="B430" s="252">
        <v>42496</v>
      </c>
      <c r="C430" s="251">
        <v>398.7</v>
      </c>
      <c r="D430" s="251">
        <f t="shared" si="9"/>
        <v>2.4672320740169534E-2</v>
      </c>
      <c r="E430" s="251">
        <v>1.9302058034002333E-2</v>
      </c>
    </row>
    <row r="431" spans="2:5">
      <c r="B431" s="252">
        <v>42514</v>
      </c>
      <c r="C431" s="251">
        <v>389.1</v>
      </c>
      <c r="D431" s="251">
        <f t="shared" si="9"/>
        <v>-0.47140334193723676</v>
      </c>
      <c r="E431" s="251">
        <v>1.925343811394898E-2</v>
      </c>
    </row>
    <row r="432" spans="2:5">
      <c r="B432" s="252">
        <v>45650</v>
      </c>
      <c r="C432" s="251">
        <v>736.1</v>
      </c>
      <c r="D432" s="251">
        <f t="shared" si="9"/>
        <v>3.084905660377359</v>
      </c>
      <c r="E432" s="251">
        <v>1.9246746053724697E-2</v>
      </c>
    </row>
    <row r="433" spans="2:5">
      <c r="B433" s="252">
        <v>43419</v>
      </c>
      <c r="C433" s="251">
        <v>180.2</v>
      </c>
      <c r="D433" s="251">
        <f t="shared" si="9"/>
        <v>-0.62473969179508537</v>
      </c>
      <c r="E433" s="251">
        <v>1.92307692307691E-2</v>
      </c>
    </row>
    <row r="434" spans="2:5">
      <c r="B434" s="252">
        <v>44558</v>
      </c>
      <c r="C434" s="251">
        <v>480.2</v>
      </c>
      <c r="D434" s="251">
        <f t="shared" si="9"/>
        <v>0.53934925468825134</v>
      </c>
      <c r="E434" s="251">
        <v>1.9208320067918946E-2</v>
      </c>
    </row>
    <row r="435" spans="2:5">
      <c r="B435" s="252">
        <v>44454</v>
      </c>
      <c r="C435" s="251">
        <v>311.95</v>
      </c>
      <c r="D435" s="251">
        <f t="shared" si="9"/>
        <v>6.0513343532211501E-2</v>
      </c>
      <c r="E435" s="251">
        <v>1.9111401502776758E-2</v>
      </c>
    </row>
    <row r="436" spans="2:5">
      <c r="B436" s="252">
        <v>43245</v>
      </c>
      <c r="C436" s="251">
        <v>294.14999999999998</v>
      </c>
      <c r="D436" s="251">
        <f t="shared" si="9"/>
        <v>0.74569732937685451</v>
      </c>
      <c r="E436" s="251">
        <v>1.9054217910964837E-2</v>
      </c>
    </row>
    <row r="437" spans="2:5">
      <c r="B437" s="252">
        <v>43399</v>
      </c>
      <c r="C437" s="251">
        <v>168.5</v>
      </c>
      <c r="D437" s="251">
        <f t="shared" si="9"/>
        <v>-0.76604695722199856</v>
      </c>
      <c r="E437" s="251">
        <v>1.9050498941638981E-2</v>
      </c>
    </row>
    <row r="438" spans="2:5">
      <c r="B438" s="252">
        <v>45266</v>
      </c>
      <c r="C438" s="251">
        <v>720.23</v>
      </c>
      <c r="D438" s="251">
        <f t="shared" si="9"/>
        <v>0.59798983825519747</v>
      </c>
      <c r="E438" s="251">
        <v>1.9044385019171776E-2</v>
      </c>
    </row>
    <row r="439" spans="2:5">
      <c r="B439" s="252">
        <v>44957</v>
      </c>
      <c r="C439" s="251">
        <v>450.71</v>
      </c>
      <c r="D439" s="251">
        <f t="shared" si="9"/>
        <v>0.34500149209191272</v>
      </c>
      <c r="E439" s="251">
        <v>1.903728323045956E-2</v>
      </c>
    </row>
    <row r="440" spans="2:5">
      <c r="B440" s="252">
        <v>42242</v>
      </c>
      <c r="C440" s="251">
        <v>335.1</v>
      </c>
      <c r="D440" s="251">
        <f t="shared" si="9"/>
        <v>-0.13422038496318303</v>
      </c>
      <c r="E440" s="251">
        <v>1.9005625665196896E-2</v>
      </c>
    </row>
    <row r="441" spans="2:5">
      <c r="B441" s="252">
        <v>42502</v>
      </c>
      <c r="C441" s="251">
        <v>387.05</v>
      </c>
      <c r="D441" s="251">
        <f t="shared" si="9"/>
        <v>-5.120851105554735E-2</v>
      </c>
      <c r="E441" s="251">
        <v>1.8954850598920596E-2</v>
      </c>
    </row>
    <row r="442" spans="2:5">
      <c r="B442" s="252">
        <v>45014</v>
      </c>
      <c r="C442" s="251">
        <v>407.94</v>
      </c>
      <c r="D442" s="251">
        <f t="shared" si="9"/>
        <v>-0.3386722866174921</v>
      </c>
      <c r="E442" s="251">
        <v>1.8932960335697833E-2</v>
      </c>
    </row>
    <row r="443" spans="2:5">
      <c r="B443" s="252">
        <v>45154</v>
      </c>
      <c r="C443" s="251">
        <v>616.85</v>
      </c>
      <c r="D443" s="251">
        <f t="shared" si="9"/>
        <v>4.9627839536007734</v>
      </c>
      <c r="E443" s="251">
        <v>1.8778489793221914E-2</v>
      </c>
    </row>
    <row r="444" spans="2:5">
      <c r="B444" s="252">
        <v>44015</v>
      </c>
      <c r="C444" s="251">
        <v>103.45</v>
      </c>
      <c r="D444" s="251">
        <f t="shared" si="9"/>
        <v>-0.85283448324916422</v>
      </c>
      <c r="E444" s="251">
        <v>1.870999507631714E-2</v>
      </c>
    </row>
    <row r="445" spans="2:5">
      <c r="B445" s="252">
        <v>45737</v>
      </c>
      <c r="C445" s="251">
        <v>702.95</v>
      </c>
      <c r="D445" s="251">
        <f t="shared" si="9"/>
        <v>0.94077857537272247</v>
      </c>
      <c r="E445" s="251">
        <v>1.8694297514672983E-2</v>
      </c>
    </row>
    <row r="446" spans="2:5">
      <c r="B446" s="252">
        <v>43195</v>
      </c>
      <c r="C446" s="251">
        <v>362.2</v>
      </c>
      <c r="D446" s="251">
        <f t="shared" si="9"/>
        <v>-0.11980558930741193</v>
      </c>
      <c r="E446" s="251">
        <v>1.8560179977502714E-2</v>
      </c>
    </row>
    <row r="447" spans="2:5">
      <c r="B447" s="252">
        <v>42481</v>
      </c>
      <c r="C447" s="251">
        <v>411.5</v>
      </c>
      <c r="D447" s="251">
        <f t="shared" si="9"/>
        <v>-0.48128072608092776</v>
      </c>
      <c r="E447" s="251">
        <v>1.8312298935906895E-2</v>
      </c>
    </row>
    <row r="448" spans="2:5">
      <c r="B448" s="252">
        <v>45295</v>
      </c>
      <c r="C448" s="251">
        <v>793.3</v>
      </c>
      <c r="D448" s="251">
        <f t="shared" si="9"/>
        <v>3.1050452781371281</v>
      </c>
      <c r="E448" s="251">
        <v>1.8291508889031513E-2</v>
      </c>
    </row>
    <row r="449" spans="2:5">
      <c r="B449" s="252">
        <v>43410</v>
      </c>
      <c r="C449" s="251">
        <v>193.25</v>
      </c>
      <c r="D449" s="251">
        <f t="shared" si="9"/>
        <v>-0.63722545522808338</v>
      </c>
      <c r="E449" s="251">
        <v>1.8177028451000991E-2</v>
      </c>
    </row>
    <row r="450" spans="2:5">
      <c r="B450" s="252">
        <v>42758</v>
      </c>
      <c r="C450" s="251">
        <v>532.70000000000005</v>
      </c>
      <c r="D450" s="251">
        <f t="shared" si="9"/>
        <v>-0.46178327860570845</v>
      </c>
      <c r="E450" s="251">
        <v>1.8157492354740061E-2</v>
      </c>
    </row>
    <row r="451" spans="2:5">
      <c r="B451" s="252">
        <v>45471</v>
      </c>
      <c r="C451" s="251">
        <v>989.75</v>
      </c>
      <c r="D451" s="251">
        <f t="shared" si="9"/>
        <v>1.3367961279660017</v>
      </c>
      <c r="E451" s="251">
        <v>1.8156568254294802E-2</v>
      </c>
    </row>
    <row r="452" spans="2:5">
      <c r="B452" s="252">
        <v>43012</v>
      </c>
      <c r="C452" s="251">
        <v>423.55</v>
      </c>
      <c r="D452" s="251">
        <f t="shared" si="9"/>
        <v>3.9386503067484688E-2</v>
      </c>
      <c r="E452" s="251">
        <v>1.8149038461538487E-2</v>
      </c>
    </row>
    <row r="453" spans="2:5">
      <c r="B453" s="252">
        <v>42325</v>
      </c>
      <c r="C453" s="251">
        <v>407.5</v>
      </c>
      <c r="D453" s="251">
        <f t="shared" si="9"/>
        <v>-0.60326346226865157</v>
      </c>
      <c r="E453" s="251">
        <v>1.811367895065584E-2</v>
      </c>
    </row>
    <row r="454" spans="2:5">
      <c r="B454" s="252">
        <v>45421</v>
      </c>
      <c r="C454" s="267">
        <v>1027.1300000000001</v>
      </c>
      <c r="D454" s="251">
        <f t="shared" si="9"/>
        <v>2.0205263931774744</v>
      </c>
      <c r="E454" s="251">
        <v>1.7978374414018079E-2</v>
      </c>
    </row>
    <row r="455" spans="2:5">
      <c r="B455" s="252">
        <v>42244</v>
      </c>
      <c r="C455" s="251">
        <v>340.05</v>
      </c>
      <c r="D455" s="251">
        <f t="shared" si="9"/>
        <v>-0.203032717727571</v>
      </c>
      <c r="E455" s="251">
        <v>1.7961383026493038E-2</v>
      </c>
    </row>
    <row r="456" spans="2:5">
      <c r="B456" s="252">
        <v>44988</v>
      </c>
      <c r="C456" s="251">
        <v>426.68</v>
      </c>
      <c r="D456" s="251">
        <f t="shared" si="9"/>
        <v>1.5828087167070219</v>
      </c>
      <c r="E456" s="251">
        <v>1.7940643191144148E-2</v>
      </c>
    </row>
    <row r="457" spans="2:5">
      <c r="B457" s="252">
        <v>43650</v>
      </c>
      <c r="C457" s="251">
        <v>165.2</v>
      </c>
      <c r="D457" s="251">
        <f t="shared" si="9"/>
        <v>-0.58027388907238497</v>
      </c>
      <c r="E457" s="251">
        <v>1.7868145409734918E-2</v>
      </c>
    </row>
    <row r="458" spans="2:5">
      <c r="B458" s="252">
        <v>44928</v>
      </c>
      <c r="C458" s="251">
        <v>393.59</v>
      </c>
      <c r="D458" s="251">
        <f t="shared" ref="D458:D521" si="10">(C458-C459)/C459</f>
        <v>-0.29672116501384793</v>
      </c>
      <c r="E458" s="251">
        <v>1.7659530458165231E-2</v>
      </c>
    </row>
    <row r="459" spans="2:5">
      <c r="B459" s="252">
        <v>42648</v>
      </c>
      <c r="C459" s="251">
        <v>559.65</v>
      </c>
      <c r="D459" s="251">
        <f t="shared" si="10"/>
        <v>-0.23351366157638842</v>
      </c>
      <c r="E459" s="251">
        <v>1.7637967087916959E-2</v>
      </c>
    </row>
    <row r="460" spans="2:5">
      <c r="B460" s="252">
        <v>45275</v>
      </c>
      <c r="C460" s="251">
        <v>730.15</v>
      </c>
      <c r="D460" s="251">
        <f t="shared" si="10"/>
        <v>1.3320025550942189</v>
      </c>
      <c r="E460" s="251">
        <v>1.7573933160520687E-2</v>
      </c>
    </row>
    <row r="461" spans="2:5">
      <c r="B461" s="252">
        <v>44337</v>
      </c>
      <c r="C461" s="251">
        <v>313.10000000000002</v>
      </c>
      <c r="D461" s="251">
        <f t="shared" si="10"/>
        <v>-0.58341094760371481</v>
      </c>
      <c r="E461" s="251">
        <v>1.7549561260968589E-2</v>
      </c>
    </row>
    <row r="462" spans="2:5">
      <c r="B462" s="252">
        <v>45288</v>
      </c>
      <c r="C462" s="251">
        <v>751.58</v>
      </c>
      <c r="D462" s="251">
        <f t="shared" si="10"/>
        <v>3.369651162790698</v>
      </c>
      <c r="E462" s="251">
        <v>1.7546234870434101E-2</v>
      </c>
    </row>
    <row r="463" spans="2:5">
      <c r="B463" s="252">
        <v>43780</v>
      </c>
      <c r="C463" s="251">
        <v>172</v>
      </c>
      <c r="D463" s="251">
        <f t="shared" si="10"/>
        <v>1.0342992312241277</v>
      </c>
      <c r="E463" s="251">
        <v>1.7450458444247197E-2</v>
      </c>
    </row>
    <row r="464" spans="2:5">
      <c r="B464" s="252">
        <v>43978</v>
      </c>
      <c r="C464" s="251">
        <v>84.55</v>
      </c>
      <c r="D464" s="251">
        <f t="shared" si="10"/>
        <v>-0.75894511760513184</v>
      </c>
      <c r="E464" s="251">
        <v>1.7448856799037338E-2</v>
      </c>
    </row>
    <row r="465" spans="2:5">
      <c r="B465" s="252">
        <v>44358</v>
      </c>
      <c r="C465" s="251">
        <v>350.75</v>
      </c>
      <c r="D465" s="251">
        <f t="shared" si="10"/>
        <v>-0.36692296585084105</v>
      </c>
      <c r="E465" s="251">
        <v>1.7403915881073241E-2</v>
      </c>
    </row>
    <row r="466" spans="2:5">
      <c r="B466" s="252">
        <v>45083</v>
      </c>
      <c r="C466" s="251">
        <v>554.04</v>
      </c>
      <c r="D466" s="251">
        <f t="shared" si="10"/>
        <v>1.0789493433395871</v>
      </c>
      <c r="E466" s="251">
        <v>1.7389867234698778E-2</v>
      </c>
    </row>
    <row r="467" spans="2:5">
      <c r="B467" s="252">
        <v>43348</v>
      </c>
      <c r="C467" s="251">
        <v>266.5</v>
      </c>
      <c r="D467" s="251">
        <f t="shared" si="10"/>
        <v>-0.58714814642685631</v>
      </c>
      <c r="E467" s="251">
        <v>1.7369727047146444E-2</v>
      </c>
    </row>
    <row r="468" spans="2:5">
      <c r="B468" s="252">
        <v>45233</v>
      </c>
      <c r="C468" s="251">
        <v>645.51</v>
      </c>
      <c r="D468" s="251">
        <f t="shared" si="10"/>
        <v>-0.10445338512763591</v>
      </c>
      <c r="E468" s="251">
        <v>1.7368280035934342E-2</v>
      </c>
    </row>
    <row r="469" spans="2:5">
      <c r="B469" s="252">
        <v>45789</v>
      </c>
      <c r="C469" s="251">
        <v>720.8</v>
      </c>
      <c r="D469" s="251">
        <f t="shared" si="10"/>
        <v>0.55060772292137228</v>
      </c>
      <c r="E469" s="251">
        <v>1.7360621030345736E-2</v>
      </c>
    </row>
    <row r="470" spans="2:5">
      <c r="B470" s="252">
        <v>42696</v>
      </c>
      <c r="C470" s="251">
        <v>464.85</v>
      </c>
      <c r="D470" s="251">
        <f t="shared" si="10"/>
        <v>-7.2618453865336607E-2</v>
      </c>
      <c r="E470" s="251">
        <v>1.7288543604333153E-2</v>
      </c>
    </row>
    <row r="471" spans="2:5">
      <c r="B471" s="252">
        <v>44601</v>
      </c>
      <c r="C471" s="251">
        <v>501.25</v>
      </c>
      <c r="D471" s="251">
        <f t="shared" si="10"/>
        <v>1.7383228626058451</v>
      </c>
      <c r="E471" s="251">
        <v>1.7250126839167934E-2</v>
      </c>
    </row>
    <row r="472" spans="2:5">
      <c r="B472" s="252">
        <v>43474</v>
      </c>
      <c r="C472" s="251">
        <v>183.05</v>
      </c>
      <c r="D472" s="251">
        <f t="shared" si="10"/>
        <v>-0.65556496377834228</v>
      </c>
      <c r="E472" s="251">
        <v>1.722700750208404E-2</v>
      </c>
    </row>
    <row r="473" spans="2:5">
      <c r="B473" s="252">
        <v>42754</v>
      </c>
      <c r="C473" s="251">
        <v>531.45000000000005</v>
      </c>
      <c r="D473" s="251">
        <f t="shared" si="10"/>
        <v>-0.21383136094674549</v>
      </c>
      <c r="E473" s="251">
        <v>1.7226528854435829E-2</v>
      </c>
    </row>
    <row r="474" spans="2:5">
      <c r="B474" s="252">
        <v>45887</v>
      </c>
      <c r="C474" s="251">
        <v>676</v>
      </c>
      <c r="D474" s="251">
        <f t="shared" si="10"/>
        <v>0.76524350437393918</v>
      </c>
      <c r="E474" s="251">
        <v>1.7153174842010198E-2</v>
      </c>
    </row>
    <row r="475" spans="2:5">
      <c r="B475" s="252">
        <v>44477</v>
      </c>
      <c r="C475" s="251">
        <v>382.95</v>
      </c>
      <c r="D475" s="251">
        <f t="shared" si="10"/>
        <v>-0.13192791567494047</v>
      </c>
      <c r="E475" s="251">
        <v>1.7131474103585627E-2</v>
      </c>
    </row>
    <row r="476" spans="2:5">
      <c r="B476" s="252">
        <v>44652</v>
      </c>
      <c r="C476" s="251">
        <v>441.15</v>
      </c>
      <c r="D476" s="251">
        <f t="shared" si="10"/>
        <v>3.2255747126436778</v>
      </c>
      <c r="E476" s="251">
        <v>1.7060518731988421E-2</v>
      </c>
    </row>
    <row r="477" spans="2:5">
      <c r="B477" s="252">
        <v>44005</v>
      </c>
      <c r="C477" s="251">
        <v>104.4</v>
      </c>
      <c r="D477" s="251">
        <f t="shared" si="10"/>
        <v>-0.72785569052708421</v>
      </c>
      <c r="E477" s="251">
        <v>1.7048222113979543E-2</v>
      </c>
    </row>
    <row r="478" spans="2:5">
      <c r="B478" s="252">
        <v>44921</v>
      </c>
      <c r="C478" s="251">
        <v>383.62</v>
      </c>
      <c r="D478" s="251">
        <f t="shared" si="10"/>
        <v>-0.14380091507644238</v>
      </c>
      <c r="E478" s="251">
        <v>1.704711153530053E-2</v>
      </c>
    </row>
    <row r="479" spans="2:5">
      <c r="B479" s="252">
        <v>44672</v>
      </c>
      <c r="C479" s="251">
        <v>448.05</v>
      </c>
      <c r="D479" s="251">
        <f t="shared" si="10"/>
        <v>0.17923410975128312</v>
      </c>
      <c r="E479" s="251">
        <v>1.7024174327545112E-2</v>
      </c>
    </row>
    <row r="480" spans="2:5">
      <c r="B480" s="252">
        <v>42970</v>
      </c>
      <c r="C480" s="251">
        <v>379.95</v>
      </c>
      <c r="D480" s="251">
        <f t="shared" si="10"/>
        <v>-0.37643602704654378</v>
      </c>
      <c r="E480" s="251">
        <v>1.6996788008565217E-2</v>
      </c>
    </row>
    <row r="481" spans="2:5">
      <c r="B481" s="252">
        <v>45170</v>
      </c>
      <c r="C481" s="251">
        <v>609.32000000000005</v>
      </c>
      <c r="D481" s="251">
        <f t="shared" si="10"/>
        <v>0.10795526866078735</v>
      </c>
      <c r="E481" s="251">
        <v>1.6974046565968577E-2</v>
      </c>
    </row>
    <row r="482" spans="2:5">
      <c r="B482" s="252">
        <v>42647</v>
      </c>
      <c r="C482" s="251">
        <v>549.95000000000005</v>
      </c>
      <c r="D482" s="251">
        <f t="shared" si="10"/>
        <v>3.0737512885390485E-2</v>
      </c>
      <c r="E482" s="251">
        <v>1.6919378698225022E-2</v>
      </c>
    </row>
    <row r="483" spans="2:5">
      <c r="B483" s="252">
        <v>45078</v>
      </c>
      <c r="C483" s="251">
        <v>533.54999999999995</v>
      </c>
      <c r="D483" s="251">
        <f t="shared" si="10"/>
        <v>-0.34656411889336586</v>
      </c>
      <c r="E483" s="251">
        <v>1.6905542425859583E-2</v>
      </c>
    </row>
    <row r="484" spans="2:5">
      <c r="B484" s="252">
        <v>45309</v>
      </c>
      <c r="C484" s="251">
        <v>816.53</v>
      </c>
      <c r="D484" s="251">
        <f t="shared" si="10"/>
        <v>3.8937968234941565</v>
      </c>
      <c r="E484" s="251">
        <v>1.6760680887095671E-2</v>
      </c>
    </row>
    <row r="485" spans="2:5">
      <c r="B485" s="252">
        <v>43447</v>
      </c>
      <c r="C485" s="251">
        <v>166.85</v>
      </c>
      <c r="D485" s="251">
        <f t="shared" si="10"/>
        <v>1.1982872200263501</v>
      </c>
      <c r="E485" s="251">
        <v>1.6758074344911639E-2</v>
      </c>
    </row>
    <row r="486" spans="2:5">
      <c r="B486" s="252">
        <v>43943</v>
      </c>
      <c r="C486" s="251">
        <v>75.900000000000006</v>
      </c>
      <c r="D486" s="251">
        <f t="shared" si="10"/>
        <v>-0.79851340589328368</v>
      </c>
      <c r="E486" s="251">
        <v>1.6744809109176154E-2</v>
      </c>
    </row>
    <row r="487" spans="2:5">
      <c r="B487" s="252">
        <v>42466</v>
      </c>
      <c r="C487" s="251">
        <v>376.7</v>
      </c>
      <c r="D487" s="251">
        <f t="shared" si="10"/>
        <v>0.31162952646239556</v>
      </c>
      <c r="E487" s="251">
        <v>1.6734143049932492E-2</v>
      </c>
    </row>
    <row r="488" spans="2:5">
      <c r="B488" s="252">
        <v>43252</v>
      </c>
      <c r="C488" s="251">
        <v>287.2</v>
      </c>
      <c r="D488" s="251">
        <f t="shared" si="10"/>
        <v>-0.35924322877158543</v>
      </c>
      <c r="E488" s="251">
        <v>1.6637168141592881E-2</v>
      </c>
    </row>
    <row r="489" spans="2:5">
      <c r="B489" s="252">
        <v>44771</v>
      </c>
      <c r="C489" s="251">
        <v>448.22</v>
      </c>
      <c r="D489" s="251">
        <f t="shared" si="10"/>
        <v>-1.6522216127262693E-2</v>
      </c>
      <c r="E489" s="251">
        <v>1.6625462133412056E-2</v>
      </c>
    </row>
    <row r="490" spans="2:5">
      <c r="B490" s="252">
        <v>42902</v>
      </c>
      <c r="C490" s="251">
        <v>455.75</v>
      </c>
      <c r="D490" s="251">
        <f t="shared" si="10"/>
        <v>8.7579047846319022E-2</v>
      </c>
      <c r="E490" s="251">
        <v>1.6618335935757279E-2</v>
      </c>
    </row>
    <row r="491" spans="2:5">
      <c r="B491" s="252">
        <v>42486</v>
      </c>
      <c r="C491" s="251">
        <v>419.05</v>
      </c>
      <c r="D491" s="251">
        <f t="shared" si="10"/>
        <v>-0.22620256670667518</v>
      </c>
      <c r="E491" s="251">
        <v>1.661814653081034E-2</v>
      </c>
    </row>
    <row r="492" spans="2:5">
      <c r="B492" s="252">
        <v>42759</v>
      </c>
      <c r="C492" s="251">
        <v>541.54999999999995</v>
      </c>
      <c r="D492" s="251">
        <f t="shared" si="10"/>
        <v>3.3117038216560504</v>
      </c>
      <c r="E492" s="251">
        <v>1.6613478505725376E-2</v>
      </c>
    </row>
    <row r="493" spans="2:5">
      <c r="B493" s="252">
        <v>44061</v>
      </c>
      <c r="C493" s="251">
        <v>125.6</v>
      </c>
      <c r="D493" s="251">
        <f t="shared" si="10"/>
        <v>-0.61742308863844053</v>
      </c>
      <c r="E493" s="251">
        <v>1.6592472683124217E-2</v>
      </c>
    </row>
    <row r="494" spans="2:5">
      <c r="B494" s="252">
        <v>44256</v>
      </c>
      <c r="C494" s="251">
        <v>328.3</v>
      </c>
      <c r="D494" s="251">
        <f t="shared" si="10"/>
        <v>-9.3969918587001544E-2</v>
      </c>
      <c r="E494" s="251">
        <v>1.6566031893482033E-2</v>
      </c>
    </row>
    <row r="495" spans="2:5">
      <c r="B495" s="252">
        <v>42289</v>
      </c>
      <c r="C495" s="251">
        <v>362.35</v>
      </c>
      <c r="D495" s="251">
        <f t="shared" si="10"/>
        <v>2.2865208186309167E-2</v>
      </c>
      <c r="E495" s="251">
        <v>1.6552111095525415E-2</v>
      </c>
    </row>
    <row r="496" spans="2:5">
      <c r="B496" s="252">
        <v>42440</v>
      </c>
      <c r="C496" s="251">
        <v>354.25</v>
      </c>
      <c r="D496" s="251">
        <f t="shared" si="10"/>
        <v>-0.25010584250635054</v>
      </c>
      <c r="E496" s="251">
        <v>1.6499282639885222E-2</v>
      </c>
    </row>
    <row r="497" spans="2:5">
      <c r="B497" s="252">
        <v>42822</v>
      </c>
      <c r="C497" s="251">
        <v>472.4</v>
      </c>
      <c r="D497" s="251">
        <f t="shared" si="10"/>
        <v>-7.3089375061316589E-2</v>
      </c>
      <c r="E497" s="251">
        <v>1.6460462614308721E-2</v>
      </c>
    </row>
    <row r="498" spans="2:5">
      <c r="B498" s="252">
        <v>44509</v>
      </c>
      <c r="C498" s="251">
        <v>509.65</v>
      </c>
      <c r="D498" s="251">
        <f t="shared" si="10"/>
        <v>-5.2166635670448325E-2</v>
      </c>
      <c r="E498" s="251">
        <v>1.6453928998803352E-2</v>
      </c>
    </row>
    <row r="499" spans="2:5">
      <c r="B499" s="252">
        <v>42613</v>
      </c>
      <c r="C499" s="251">
        <v>537.70000000000005</v>
      </c>
      <c r="D499" s="251">
        <f t="shared" si="10"/>
        <v>0.89064697609001442</v>
      </c>
      <c r="E499" s="251">
        <v>1.6446124763705189E-2</v>
      </c>
    </row>
    <row r="500" spans="2:5">
      <c r="B500" s="252">
        <v>44433</v>
      </c>
      <c r="C500" s="251">
        <v>284.39999999999998</v>
      </c>
      <c r="D500" s="251">
        <f t="shared" si="10"/>
        <v>-0.67624793670669936</v>
      </c>
      <c r="E500" s="251">
        <v>1.6440314510364422E-2</v>
      </c>
    </row>
    <row r="501" spans="2:5">
      <c r="B501" s="252">
        <v>45593</v>
      </c>
      <c r="C501" s="251">
        <v>878.45</v>
      </c>
      <c r="D501" s="251">
        <f t="shared" si="10"/>
        <v>0.8654703758759823</v>
      </c>
      <c r="E501" s="251">
        <v>1.6371630220988188E-2</v>
      </c>
    </row>
    <row r="502" spans="2:5">
      <c r="B502" s="252">
        <v>42733</v>
      </c>
      <c r="C502" s="251">
        <v>470.9</v>
      </c>
      <c r="D502" s="251">
        <f t="shared" si="10"/>
        <v>0.53838614831754306</v>
      </c>
      <c r="E502" s="251">
        <v>1.6294377900075437E-2</v>
      </c>
    </row>
    <row r="503" spans="2:5">
      <c r="B503" s="252">
        <v>44453</v>
      </c>
      <c r="C503" s="251">
        <v>306.10000000000002</v>
      </c>
      <c r="D503" s="251">
        <f t="shared" si="10"/>
        <v>-0.38036437246963556</v>
      </c>
      <c r="E503" s="251">
        <v>1.6268260292164789E-2</v>
      </c>
    </row>
    <row r="504" spans="2:5">
      <c r="B504" s="252">
        <v>42566</v>
      </c>
      <c r="C504" s="251">
        <v>494</v>
      </c>
      <c r="D504" s="251">
        <f t="shared" si="10"/>
        <v>-7.6376554174067537E-2</v>
      </c>
      <c r="E504" s="251">
        <v>1.6251800041143748E-2</v>
      </c>
    </row>
    <row r="505" spans="2:5">
      <c r="B505" s="252">
        <v>42643</v>
      </c>
      <c r="C505" s="251">
        <v>534.85</v>
      </c>
      <c r="D505" s="251">
        <f t="shared" si="10"/>
        <v>0.64316436251920128</v>
      </c>
      <c r="E505" s="251">
        <v>1.6245487364621069E-2</v>
      </c>
    </row>
    <row r="506" spans="2:5">
      <c r="B506" s="252">
        <v>42404</v>
      </c>
      <c r="C506" s="251">
        <v>325.5</v>
      </c>
      <c r="D506" s="251">
        <f t="shared" si="10"/>
        <v>0.76136363636363624</v>
      </c>
      <c r="E506" s="251">
        <v>1.6234779893849478E-2</v>
      </c>
    </row>
    <row r="507" spans="2:5">
      <c r="B507" s="252">
        <v>43536</v>
      </c>
      <c r="C507" s="251">
        <v>184.8</v>
      </c>
      <c r="D507" s="251">
        <f t="shared" si="10"/>
        <v>-0.71010855242517412</v>
      </c>
      <c r="E507" s="251">
        <v>1.6222161121803778E-2</v>
      </c>
    </row>
    <row r="508" spans="2:5">
      <c r="B508" s="252">
        <v>45132</v>
      </c>
      <c r="C508" s="251">
        <v>637.48</v>
      </c>
      <c r="D508" s="251">
        <f t="shared" si="10"/>
        <v>2.4393309954140814</v>
      </c>
      <c r="E508" s="251">
        <v>1.6212080151759217E-2</v>
      </c>
    </row>
    <row r="509" spans="2:5">
      <c r="B509" s="252">
        <v>43480</v>
      </c>
      <c r="C509" s="251">
        <v>185.35</v>
      </c>
      <c r="D509" s="251">
        <f t="shared" si="10"/>
        <v>0.36688790560471979</v>
      </c>
      <c r="E509" s="251">
        <v>1.6173245614035024E-2</v>
      </c>
    </row>
    <row r="510" spans="2:5">
      <c r="B510" s="252">
        <v>43677</v>
      </c>
      <c r="C510" s="251">
        <v>135.6</v>
      </c>
      <c r="D510" s="251">
        <f t="shared" si="10"/>
        <v>-0.24792013311148095</v>
      </c>
      <c r="E510" s="251">
        <v>1.6110902959910123E-2</v>
      </c>
    </row>
    <row r="511" spans="2:5">
      <c r="B511" s="252">
        <v>43525</v>
      </c>
      <c r="C511" s="251">
        <v>180.3</v>
      </c>
      <c r="D511" s="251">
        <f t="shared" si="10"/>
        <v>1.7207334273624888E-2</v>
      </c>
      <c r="E511" s="251">
        <v>1.6060862214708496E-2</v>
      </c>
    </row>
    <row r="512" spans="2:5">
      <c r="B512" s="252">
        <v>43433</v>
      </c>
      <c r="C512" s="251">
        <v>177.25</v>
      </c>
      <c r="D512" s="251">
        <f t="shared" si="10"/>
        <v>-0.82985361171106309</v>
      </c>
      <c r="E512" s="251">
        <v>1.6050444253367793E-2</v>
      </c>
    </row>
    <row r="513" spans="2:5">
      <c r="B513" s="252">
        <v>45512</v>
      </c>
      <c r="C513" s="267">
        <v>1041.75</v>
      </c>
      <c r="D513" s="251">
        <f t="shared" si="10"/>
        <v>2.9075393848462112</v>
      </c>
      <c r="E513" s="251">
        <v>1.6044084658148879E-2</v>
      </c>
    </row>
    <row r="514" spans="2:5">
      <c r="B514" s="252">
        <v>43357</v>
      </c>
      <c r="C514" s="251">
        <v>266.60000000000002</v>
      </c>
      <c r="D514" s="251">
        <f t="shared" si="10"/>
        <v>-0.11663353214049035</v>
      </c>
      <c r="E514" s="251">
        <v>1.6006097560975784E-2</v>
      </c>
    </row>
    <row r="515" spans="2:5">
      <c r="B515" s="252">
        <v>44286</v>
      </c>
      <c r="C515" s="251">
        <v>301.8</v>
      </c>
      <c r="D515" s="251">
        <f t="shared" si="10"/>
        <v>0.89453860640301308</v>
      </c>
      <c r="E515" s="251">
        <v>1.5990573977444873E-2</v>
      </c>
    </row>
    <row r="516" spans="2:5">
      <c r="B516" s="252">
        <v>43658</v>
      </c>
      <c r="C516" s="251">
        <v>159.30000000000001</v>
      </c>
      <c r="D516" s="251">
        <f t="shared" si="10"/>
        <v>-0.74575865426049759</v>
      </c>
      <c r="E516" s="251">
        <v>1.5943877551020409E-2</v>
      </c>
    </row>
    <row r="517" spans="2:5">
      <c r="B517" s="252">
        <v>45118</v>
      </c>
      <c r="C517" s="251">
        <v>626.57000000000005</v>
      </c>
      <c r="D517" s="251">
        <f t="shared" si="10"/>
        <v>-0.3995093106389504</v>
      </c>
      <c r="E517" s="251">
        <v>1.5922172679367734E-2</v>
      </c>
    </row>
    <row r="518" spans="2:5">
      <c r="B518" s="252">
        <v>45422</v>
      </c>
      <c r="C518" s="267">
        <v>1043.43</v>
      </c>
      <c r="D518" s="251">
        <f t="shared" si="10"/>
        <v>1.1695186609834702</v>
      </c>
      <c r="E518" s="251">
        <v>1.5869461509253894E-2</v>
      </c>
    </row>
    <row r="519" spans="2:5">
      <c r="B519" s="252">
        <v>42810</v>
      </c>
      <c r="C519" s="251">
        <v>480.95</v>
      </c>
      <c r="D519" s="251">
        <f t="shared" si="10"/>
        <v>1.1823364820230166E-2</v>
      </c>
      <c r="E519" s="251">
        <v>1.5841165909810963E-2</v>
      </c>
    </row>
    <row r="520" spans="2:5">
      <c r="B520" s="252">
        <v>45036</v>
      </c>
      <c r="C520" s="251">
        <v>475.33</v>
      </c>
      <c r="D520" s="251">
        <f t="shared" si="10"/>
        <v>-0.19278254224335575</v>
      </c>
      <c r="E520" s="251">
        <v>1.5749209334131133E-2</v>
      </c>
    </row>
    <row r="521" spans="2:5">
      <c r="B521" s="252">
        <v>45755</v>
      </c>
      <c r="C521" s="251">
        <v>588.85</v>
      </c>
      <c r="D521" s="251">
        <f t="shared" si="10"/>
        <v>-0.38622458020200334</v>
      </c>
      <c r="E521" s="251">
        <v>1.5696420871065153E-2</v>
      </c>
    </row>
    <row r="522" spans="2:5">
      <c r="B522" s="252">
        <v>45435</v>
      </c>
      <c r="C522" s="251">
        <v>959.39</v>
      </c>
      <c r="D522" s="251">
        <f t="shared" ref="D522:D585" si="11">(C522-C523)/C523</f>
        <v>-0.11589181219186297</v>
      </c>
      <c r="E522" s="251">
        <v>1.5668173493261578E-2</v>
      </c>
    </row>
    <row r="523" spans="2:5">
      <c r="B523" s="252">
        <v>45527</v>
      </c>
      <c r="C523" s="267">
        <v>1085.1500000000001</v>
      </c>
      <c r="D523" s="251">
        <f t="shared" si="11"/>
        <v>1.2889113881330554</v>
      </c>
      <c r="E523" s="251">
        <v>1.5630118395807052E-2</v>
      </c>
    </row>
    <row r="524" spans="2:5">
      <c r="B524" s="252">
        <v>44783</v>
      </c>
      <c r="C524" s="251">
        <v>474.09</v>
      </c>
      <c r="D524" s="251">
        <f t="shared" si="11"/>
        <v>5.0664107485604593</v>
      </c>
      <c r="E524" s="251">
        <v>1.5595210042629705E-2</v>
      </c>
    </row>
    <row r="525" spans="2:5">
      <c r="B525" s="252">
        <v>43950</v>
      </c>
      <c r="C525" s="251">
        <v>78.150000000000006</v>
      </c>
      <c r="D525" s="251">
        <f t="shared" si="11"/>
        <v>-0.82746440004415489</v>
      </c>
      <c r="E525" s="251">
        <v>1.559454191033142E-2</v>
      </c>
    </row>
    <row r="526" spans="2:5">
      <c r="B526" s="252">
        <v>42783</v>
      </c>
      <c r="C526" s="251">
        <v>452.95</v>
      </c>
      <c r="D526" s="251">
        <f t="shared" si="11"/>
        <v>1.274455002794855E-2</v>
      </c>
      <c r="E526" s="251">
        <v>1.558295964125558E-2</v>
      </c>
    </row>
    <row r="527" spans="2:5">
      <c r="B527" s="252">
        <v>42550</v>
      </c>
      <c r="C527" s="251">
        <v>447.25</v>
      </c>
      <c r="D527" s="251">
        <f t="shared" si="11"/>
        <v>-0.19912257140299047</v>
      </c>
      <c r="E527" s="251">
        <v>1.5554041780199871E-2</v>
      </c>
    </row>
    <row r="528" spans="2:5">
      <c r="B528" s="252">
        <v>42635</v>
      </c>
      <c r="C528" s="251">
        <v>558.45000000000005</v>
      </c>
      <c r="D528" s="251">
        <f t="shared" si="11"/>
        <v>0.27923491009048224</v>
      </c>
      <c r="E528" s="251">
        <v>1.5548281505728439E-2</v>
      </c>
    </row>
    <row r="529" spans="2:5">
      <c r="B529" s="252">
        <v>43038</v>
      </c>
      <c r="C529" s="251">
        <v>436.55</v>
      </c>
      <c r="D529" s="251">
        <f t="shared" si="11"/>
        <v>1.5551653497219786</v>
      </c>
      <c r="E529" s="251">
        <v>1.5468713654338299E-2</v>
      </c>
    </row>
    <row r="530" spans="2:5">
      <c r="B530" s="252">
        <v>43462</v>
      </c>
      <c r="C530" s="251">
        <v>170.85</v>
      </c>
      <c r="D530" s="251">
        <f t="shared" si="11"/>
        <v>-0.72979598291950021</v>
      </c>
      <c r="E530" s="251">
        <v>1.5453194650817202E-2</v>
      </c>
    </row>
    <row r="531" spans="2:5">
      <c r="B531" s="252">
        <v>45184</v>
      </c>
      <c r="C531" s="251">
        <v>632.29999999999995</v>
      </c>
      <c r="D531" s="251">
        <f t="shared" si="11"/>
        <v>-0.35267560069206277</v>
      </c>
      <c r="E531" s="251">
        <v>1.5449347979700658E-2</v>
      </c>
    </row>
    <row r="532" spans="2:5">
      <c r="B532" s="252">
        <v>45373</v>
      </c>
      <c r="C532" s="251">
        <v>976.79</v>
      </c>
      <c r="D532" s="251">
        <f t="shared" si="11"/>
        <v>2.0241176470588234</v>
      </c>
      <c r="E532" s="251">
        <v>1.544810952979948E-2</v>
      </c>
    </row>
    <row r="533" spans="2:5">
      <c r="B533" s="252">
        <v>44349</v>
      </c>
      <c r="C533" s="251">
        <v>323</v>
      </c>
      <c r="D533" s="251">
        <f t="shared" si="11"/>
        <v>-0.67277884712795055</v>
      </c>
      <c r="E533" s="251">
        <v>1.5403961018547553E-2</v>
      </c>
    </row>
    <row r="534" spans="2:5">
      <c r="B534" s="252">
        <v>45454</v>
      </c>
      <c r="C534" s="251">
        <v>987.1</v>
      </c>
      <c r="D534" s="251">
        <f t="shared" si="11"/>
        <v>4.5299719887955181</v>
      </c>
      <c r="E534" s="251">
        <v>1.5378285244046748E-2</v>
      </c>
    </row>
    <row r="535" spans="2:5">
      <c r="B535" s="252">
        <v>43502</v>
      </c>
      <c r="C535" s="251">
        <v>178.5</v>
      </c>
      <c r="D535" s="251">
        <f t="shared" si="11"/>
        <v>7.5949367088607556E-2</v>
      </c>
      <c r="E535" s="251">
        <v>1.5358361774743961E-2</v>
      </c>
    </row>
    <row r="536" spans="2:5">
      <c r="B536" s="252">
        <v>43796</v>
      </c>
      <c r="C536" s="251">
        <v>165.9</v>
      </c>
      <c r="D536" s="251">
        <f t="shared" si="11"/>
        <v>-0.5981396700821161</v>
      </c>
      <c r="E536" s="251">
        <v>1.5299877600979192E-2</v>
      </c>
    </row>
    <row r="537" spans="2:5">
      <c r="B537" s="252">
        <v>44840</v>
      </c>
      <c r="C537" s="251">
        <v>412.83</v>
      </c>
      <c r="D537" s="251">
        <f t="shared" si="11"/>
        <v>-0.59558189655172422</v>
      </c>
      <c r="E537" s="251">
        <v>1.5222309659649809E-2</v>
      </c>
    </row>
    <row r="538" spans="2:5">
      <c r="B538" s="252">
        <v>45484</v>
      </c>
      <c r="C538" s="267">
        <v>1020.8</v>
      </c>
      <c r="D538" s="251">
        <f t="shared" si="11"/>
        <v>8.5446470313230467</v>
      </c>
      <c r="E538" s="251">
        <v>1.5216310293386329E-2</v>
      </c>
    </row>
    <row r="539" spans="2:5">
      <c r="B539" s="252">
        <v>44021</v>
      </c>
      <c r="C539" s="251">
        <v>106.95</v>
      </c>
      <c r="D539" s="251">
        <f t="shared" si="11"/>
        <v>-0.81986458263154349</v>
      </c>
      <c r="E539" s="251">
        <v>1.518747033697208E-2</v>
      </c>
    </row>
    <row r="540" spans="2:5">
      <c r="B540" s="252">
        <v>45107</v>
      </c>
      <c r="C540" s="251">
        <v>593.72</v>
      </c>
      <c r="D540" s="251">
        <f t="shared" si="11"/>
        <v>9.9481481481481532E-2</v>
      </c>
      <c r="E540" s="251">
        <v>1.5183639969906291E-2</v>
      </c>
    </row>
    <row r="541" spans="2:5">
      <c r="B541" s="252">
        <v>42641</v>
      </c>
      <c r="C541" s="251">
        <v>540</v>
      </c>
      <c r="D541" s="251">
        <f t="shared" si="11"/>
        <v>1.8662420382165605</v>
      </c>
      <c r="E541" s="251">
        <v>1.5133001221919266E-2</v>
      </c>
    </row>
    <row r="542" spans="2:5">
      <c r="B542" s="252">
        <v>43853</v>
      </c>
      <c r="C542" s="251">
        <v>188.4</v>
      </c>
      <c r="D542" s="251">
        <f t="shared" si="11"/>
        <v>-0.73104925053533198</v>
      </c>
      <c r="E542" s="251">
        <v>1.5086206896551786E-2</v>
      </c>
    </row>
    <row r="543" spans="2:5">
      <c r="B543" s="252">
        <v>45862</v>
      </c>
      <c r="C543" s="251">
        <v>700.5</v>
      </c>
      <c r="D543" s="251">
        <f t="shared" si="11"/>
        <v>-1.8220042046250877E-2</v>
      </c>
      <c r="E543" s="251">
        <v>1.5070279669613065E-2</v>
      </c>
    </row>
    <row r="544" spans="2:5">
      <c r="B544" s="252">
        <v>45740</v>
      </c>
      <c r="C544" s="251">
        <v>713.5</v>
      </c>
      <c r="D544" s="251">
        <f t="shared" si="11"/>
        <v>1.2657986662432519</v>
      </c>
      <c r="E544" s="251">
        <v>1.5008179813642442E-2</v>
      </c>
    </row>
    <row r="545" spans="2:5">
      <c r="B545" s="252">
        <v>43237</v>
      </c>
      <c r="C545" s="251">
        <v>314.89999999999998</v>
      </c>
      <c r="D545" s="251">
        <f t="shared" si="11"/>
        <v>-0.56803840877914957</v>
      </c>
      <c r="E545" s="251">
        <v>1.4987912973408467E-2</v>
      </c>
    </row>
    <row r="546" spans="2:5">
      <c r="B546" s="252">
        <v>45803</v>
      </c>
      <c r="C546" s="251">
        <v>729</v>
      </c>
      <c r="D546" s="251">
        <f t="shared" si="11"/>
        <v>1.1463271014279406</v>
      </c>
      <c r="E546" s="251">
        <v>1.4966933518969718E-2</v>
      </c>
    </row>
    <row r="547" spans="2:5">
      <c r="B547" s="252">
        <v>44372</v>
      </c>
      <c r="C547" s="251">
        <v>339.65</v>
      </c>
      <c r="D547" s="251">
        <f t="shared" si="11"/>
        <v>9.5821906759154668E-2</v>
      </c>
      <c r="E547" s="251">
        <v>1.494098311668908E-2</v>
      </c>
    </row>
    <row r="548" spans="2:5">
      <c r="B548" s="252">
        <v>43259</v>
      </c>
      <c r="C548" s="251">
        <v>309.95</v>
      </c>
      <c r="D548" s="251">
        <f t="shared" si="11"/>
        <v>-0.33210507035576531</v>
      </c>
      <c r="E548" s="251">
        <v>1.4898493778650988E-2</v>
      </c>
    </row>
    <row r="549" spans="2:5">
      <c r="B549" s="252">
        <v>45028</v>
      </c>
      <c r="C549" s="251">
        <v>464.07</v>
      </c>
      <c r="D549" s="251">
        <f t="shared" si="11"/>
        <v>0.30375052675937636</v>
      </c>
      <c r="E549" s="251">
        <v>1.4826477727481406E-2</v>
      </c>
    </row>
    <row r="550" spans="2:5">
      <c r="B550" s="252">
        <v>44361</v>
      </c>
      <c r="C550" s="251">
        <v>355.95</v>
      </c>
      <c r="D550" s="251">
        <f t="shared" si="11"/>
        <v>-0.18973366719781476</v>
      </c>
      <c r="E550" s="251">
        <v>1.4825374198146796E-2</v>
      </c>
    </row>
    <row r="551" spans="2:5">
      <c r="B551" s="252">
        <v>42709</v>
      </c>
      <c r="C551" s="251">
        <v>439.3</v>
      </c>
      <c r="D551" s="251">
        <f t="shared" si="11"/>
        <v>-0.33815442561205272</v>
      </c>
      <c r="E551" s="251">
        <v>1.4784014784014863E-2</v>
      </c>
    </row>
    <row r="552" spans="2:5">
      <c r="B552" s="252">
        <v>45882</v>
      </c>
      <c r="C552" s="251">
        <v>663.75</v>
      </c>
      <c r="D552" s="251">
        <f t="shared" si="11"/>
        <v>2.5733512786002692</v>
      </c>
      <c r="E552" s="251">
        <v>1.4753095856902579E-2</v>
      </c>
    </row>
    <row r="553" spans="2:5">
      <c r="B553" s="252">
        <v>43475</v>
      </c>
      <c r="C553" s="251">
        <v>185.75</v>
      </c>
      <c r="D553" s="251">
        <f t="shared" si="11"/>
        <v>-0.72859438924605491</v>
      </c>
      <c r="E553" s="251">
        <v>1.4750068287353119E-2</v>
      </c>
    </row>
    <row r="554" spans="2:5">
      <c r="B554" s="252">
        <v>45853</v>
      </c>
      <c r="C554" s="251">
        <v>684.4</v>
      </c>
      <c r="D554" s="251">
        <f t="shared" si="11"/>
        <v>0.50881834215167532</v>
      </c>
      <c r="E554" s="251">
        <v>1.4677538917716794E-2</v>
      </c>
    </row>
    <row r="555" spans="2:5">
      <c r="B555" s="252">
        <v>44551</v>
      </c>
      <c r="C555" s="251">
        <v>453.6</v>
      </c>
      <c r="D555" s="251">
        <f t="shared" si="11"/>
        <v>-0.31433754062429137</v>
      </c>
      <c r="E555" s="251">
        <v>1.4651604965887509E-2</v>
      </c>
    </row>
    <row r="556" spans="2:5">
      <c r="B556" s="252">
        <v>45782</v>
      </c>
      <c r="C556" s="251">
        <v>661.55</v>
      </c>
      <c r="D556" s="251">
        <f t="shared" si="11"/>
        <v>0.16860978625684495</v>
      </c>
      <c r="E556" s="251">
        <v>1.4647239263803612E-2</v>
      </c>
    </row>
    <row r="557" spans="2:5">
      <c r="B557" s="252">
        <v>45103</v>
      </c>
      <c r="C557" s="251">
        <v>566.1</v>
      </c>
      <c r="D557" s="251">
        <f t="shared" si="11"/>
        <v>-0.27719611848825332</v>
      </c>
      <c r="E557" s="251">
        <v>1.4643414048357452E-2</v>
      </c>
    </row>
    <row r="558" spans="2:5">
      <c r="B558" s="252">
        <v>45615</v>
      </c>
      <c r="C558" s="251">
        <v>783.2</v>
      </c>
      <c r="D558" s="251">
        <f t="shared" si="11"/>
        <v>1.5603138280483821</v>
      </c>
      <c r="E558" s="251">
        <v>1.4639201969167079E-2</v>
      </c>
    </row>
    <row r="559" spans="2:5">
      <c r="B559" s="252">
        <v>44314</v>
      </c>
      <c r="C559" s="251">
        <v>305.89999999999998</v>
      </c>
      <c r="D559" s="251">
        <f t="shared" si="11"/>
        <v>1.2550681901953555</v>
      </c>
      <c r="E559" s="251">
        <v>1.4593698175787652E-2</v>
      </c>
    </row>
    <row r="560" spans="2:5">
      <c r="B560" s="252">
        <v>44131</v>
      </c>
      <c r="C560" s="251">
        <v>135.65</v>
      </c>
      <c r="D560" s="251">
        <f t="shared" si="11"/>
        <v>-0.22263610315186244</v>
      </c>
      <c r="E560" s="251">
        <v>1.4584891548242463E-2</v>
      </c>
    </row>
    <row r="561" spans="2:5">
      <c r="B561" s="252">
        <v>43775</v>
      </c>
      <c r="C561" s="251">
        <v>174.5</v>
      </c>
      <c r="D561" s="251">
        <f t="shared" si="11"/>
        <v>-0.66741632995349542</v>
      </c>
      <c r="E561" s="251">
        <v>1.4534883720930232E-2</v>
      </c>
    </row>
    <row r="562" spans="2:5">
      <c r="B562" s="252">
        <v>45077</v>
      </c>
      <c r="C562" s="251">
        <v>524.67999999999995</v>
      </c>
      <c r="D562" s="251">
        <f t="shared" si="11"/>
        <v>-0.46988633493306398</v>
      </c>
      <c r="E562" s="251">
        <v>1.4462490332559752E-2</v>
      </c>
    </row>
    <row r="563" spans="2:5">
      <c r="B563" s="252">
        <v>45379</v>
      </c>
      <c r="C563" s="251">
        <v>989.75</v>
      </c>
      <c r="D563" s="251">
        <f t="shared" si="11"/>
        <v>1.1492942453854507</v>
      </c>
      <c r="E563" s="251">
        <v>1.4462301668648286E-2</v>
      </c>
    </row>
    <row r="564" spans="2:5">
      <c r="B564" s="252">
        <v>42527</v>
      </c>
      <c r="C564" s="251">
        <v>460.5</v>
      </c>
      <c r="D564" s="251">
        <f t="shared" si="11"/>
        <v>5.1249857322223466E-2</v>
      </c>
      <c r="E564" s="251">
        <v>1.442890186143851E-2</v>
      </c>
    </row>
    <row r="565" spans="2:5">
      <c r="B565" s="252">
        <v>44895</v>
      </c>
      <c r="C565" s="251">
        <v>438.05</v>
      </c>
      <c r="D565" s="251">
        <f t="shared" si="11"/>
        <v>-0.2295312637410957</v>
      </c>
      <c r="E565" s="251">
        <v>1.4427307674494044E-2</v>
      </c>
    </row>
    <row r="566" spans="2:5">
      <c r="B566" s="252">
        <v>45091</v>
      </c>
      <c r="C566" s="251">
        <v>568.54999999999995</v>
      </c>
      <c r="D566" s="251">
        <f t="shared" si="11"/>
        <v>2.0485254691689008</v>
      </c>
      <c r="E566" s="251">
        <v>1.4416471889663902E-2</v>
      </c>
    </row>
    <row r="567" spans="2:5">
      <c r="B567" s="252">
        <v>44197</v>
      </c>
      <c r="C567" s="251">
        <v>186.5</v>
      </c>
      <c r="D567" s="251">
        <f t="shared" si="11"/>
        <v>0.32269503546099293</v>
      </c>
      <c r="E567" s="251">
        <v>1.4413924394887168E-2</v>
      </c>
    </row>
    <row r="568" spans="2:5">
      <c r="B568" s="252">
        <v>44144</v>
      </c>
      <c r="C568" s="251">
        <v>141</v>
      </c>
      <c r="D568" s="251">
        <f t="shared" si="11"/>
        <v>-0.20068027210884357</v>
      </c>
      <c r="E568" s="251">
        <v>1.4388489208633094E-2</v>
      </c>
    </row>
    <row r="569" spans="2:5">
      <c r="B569" s="252">
        <v>43454</v>
      </c>
      <c r="C569" s="251">
        <v>176.4</v>
      </c>
      <c r="D569" s="251">
        <f t="shared" si="11"/>
        <v>-0.42615484710474943</v>
      </c>
      <c r="E569" s="251">
        <v>1.437607820586544E-2</v>
      </c>
    </row>
    <row r="570" spans="2:5">
      <c r="B570" s="252">
        <v>44278</v>
      </c>
      <c r="C570" s="251">
        <v>307.39999999999998</v>
      </c>
      <c r="D570" s="251">
        <f t="shared" si="11"/>
        <v>-0.6889765771234887</v>
      </c>
      <c r="E570" s="251">
        <v>1.4354066985645821E-2</v>
      </c>
    </row>
    <row r="571" spans="2:5">
      <c r="B571" s="252">
        <v>45353</v>
      </c>
      <c r="C571" s="251">
        <v>988.35</v>
      </c>
      <c r="D571" s="251">
        <f t="shared" si="11"/>
        <v>1.0961823966065749</v>
      </c>
      <c r="E571" s="251">
        <v>1.43269122220056E-2</v>
      </c>
    </row>
    <row r="572" spans="2:5">
      <c r="B572" s="252">
        <v>42697</v>
      </c>
      <c r="C572" s="251">
        <v>471.5</v>
      </c>
      <c r="D572" s="251">
        <f t="shared" si="11"/>
        <v>0.28807539953558253</v>
      </c>
      <c r="E572" s="251">
        <v>1.4305690007529261E-2</v>
      </c>
    </row>
    <row r="573" spans="2:5">
      <c r="B573" s="252">
        <v>42447</v>
      </c>
      <c r="C573" s="251">
        <v>366.05</v>
      </c>
      <c r="D573" s="251">
        <f t="shared" si="11"/>
        <v>3.4749388753056234</v>
      </c>
      <c r="E573" s="251">
        <v>1.4269880853422096E-2</v>
      </c>
    </row>
    <row r="574" spans="2:5">
      <c r="B574" s="252">
        <v>43970</v>
      </c>
      <c r="C574" s="251">
        <v>81.8</v>
      </c>
      <c r="D574" s="251">
        <f t="shared" si="11"/>
        <v>-0.81808072945624366</v>
      </c>
      <c r="E574" s="251">
        <v>1.4259144451332813E-2</v>
      </c>
    </row>
    <row r="575" spans="2:5">
      <c r="B575" s="252">
        <v>42877</v>
      </c>
      <c r="C575" s="251">
        <v>449.65</v>
      </c>
      <c r="D575" s="251">
        <f t="shared" si="11"/>
        <v>6.5647588576845578E-2</v>
      </c>
      <c r="E575" s="251">
        <v>1.4209992105559838E-2</v>
      </c>
    </row>
    <row r="576" spans="2:5">
      <c r="B576" s="252">
        <v>43033</v>
      </c>
      <c r="C576" s="251">
        <v>421.95</v>
      </c>
      <c r="D576" s="251">
        <f t="shared" si="11"/>
        <v>-0.47338533541341654</v>
      </c>
      <c r="E576" s="251">
        <v>1.4180987862035758E-2</v>
      </c>
    </row>
    <row r="577" spans="2:5">
      <c r="B577" s="252">
        <v>45629</v>
      </c>
      <c r="C577" s="251">
        <v>801.25</v>
      </c>
      <c r="D577" s="251">
        <f t="shared" si="11"/>
        <v>0.24743118694731589</v>
      </c>
      <c r="E577" s="251">
        <v>1.4176317954559897E-2</v>
      </c>
    </row>
    <row r="578" spans="2:5">
      <c r="B578" s="252">
        <v>45138</v>
      </c>
      <c r="C578" s="251">
        <v>642.32000000000005</v>
      </c>
      <c r="D578" s="251">
        <f t="shared" si="11"/>
        <v>7.5358139534883728</v>
      </c>
      <c r="E578" s="251">
        <v>1.4162785189863468E-2</v>
      </c>
    </row>
    <row r="579" spans="2:5">
      <c r="B579" s="252">
        <v>43948</v>
      </c>
      <c r="C579" s="251">
        <v>75.25</v>
      </c>
      <c r="D579" s="251">
        <f t="shared" si="11"/>
        <v>-0.70507544581618653</v>
      </c>
      <c r="E579" s="251">
        <v>1.4150943396226376E-2</v>
      </c>
    </row>
    <row r="580" spans="2:5">
      <c r="B580" s="252">
        <v>43320</v>
      </c>
      <c r="C580" s="251">
        <v>255.15</v>
      </c>
      <c r="D580" s="251">
        <f t="shared" si="11"/>
        <v>-0.46272899557801639</v>
      </c>
      <c r="E580" s="251">
        <v>1.410969793322739E-2</v>
      </c>
    </row>
    <row r="581" spans="2:5">
      <c r="B581" s="252">
        <v>42835</v>
      </c>
      <c r="C581" s="251">
        <v>474.9</v>
      </c>
      <c r="D581" s="251">
        <f t="shared" si="11"/>
        <v>-0.38671143539743014</v>
      </c>
      <c r="E581" s="251">
        <v>1.409352978859698E-2</v>
      </c>
    </row>
    <row r="582" spans="2:5">
      <c r="B582" s="252">
        <v>45673</v>
      </c>
      <c r="C582" s="251">
        <v>774.35</v>
      </c>
      <c r="D582" s="251">
        <f t="shared" si="11"/>
        <v>-7.3356070125052297E-2</v>
      </c>
      <c r="E582" s="251">
        <v>1.4078051335777894E-2</v>
      </c>
    </row>
    <row r="583" spans="2:5">
      <c r="B583" s="252">
        <v>45601</v>
      </c>
      <c r="C583" s="251">
        <v>835.65</v>
      </c>
      <c r="D583" s="251">
        <f t="shared" si="11"/>
        <v>0.31704203375939727</v>
      </c>
      <c r="E583" s="251">
        <v>1.4015289406625353E-2</v>
      </c>
    </row>
    <row r="584" spans="2:5">
      <c r="B584" s="252">
        <v>45232</v>
      </c>
      <c r="C584" s="251">
        <v>634.49</v>
      </c>
      <c r="D584" s="251">
        <f t="shared" si="11"/>
        <v>2.5537829930983132E-2</v>
      </c>
      <c r="E584" s="251">
        <v>1.3934832286622924E-2</v>
      </c>
    </row>
    <row r="585" spans="2:5">
      <c r="B585" s="252">
        <v>45126</v>
      </c>
      <c r="C585" s="251">
        <v>618.69000000000005</v>
      </c>
      <c r="D585" s="251">
        <f t="shared" si="11"/>
        <v>-0.10639127608868341</v>
      </c>
      <c r="E585" s="251">
        <v>1.3880239913473874E-2</v>
      </c>
    </row>
    <row r="586" spans="2:5">
      <c r="B586" s="252">
        <v>45867</v>
      </c>
      <c r="C586" s="251">
        <v>692.35</v>
      </c>
      <c r="D586" s="251">
        <f t="shared" ref="D586:D649" si="12">(C586-C587)/C587</f>
        <v>-0.26083103794333051</v>
      </c>
      <c r="E586" s="251">
        <v>1.3838043637428681E-2</v>
      </c>
    </row>
    <row r="587" spans="2:5">
      <c r="B587" s="252">
        <v>45328</v>
      </c>
      <c r="C587" s="251">
        <v>936.66</v>
      </c>
      <c r="D587" s="251">
        <f t="shared" si="12"/>
        <v>0.96777310924369742</v>
      </c>
      <c r="E587" s="251">
        <v>1.3756155636127412E-2</v>
      </c>
    </row>
    <row r="588" spans="2:5">
      <c r="B588" s="252">
        <v>42880</v>
      </c>
      <c r="C588" s="251">
        <v>476</v>
      </c>
      <c r="D588" s="251">
        <f t="shared" si="12"/>
        <v>0.38271604938271603</v>
      </c>
      <c r="E588" s="251">
        <v>1.3736556277286739E-2</v>
      </c>
    </row>
    <row r="589" spans="2:5">
      <c r="B589" s="252">
        <v>44378</v>
      </c>
      <c r="C589" s="251">
        <v>344.25</v>
      </c>
      <c r="D589" s="251">
        <f t="shared" si="12"/>
        <v>-0.45361479247678754</v>
      </c>
      <c r="E589" s="251">
        <v>1.3692579505300286E-2</v>
      </c>
    </row>
    <row r="590" spans="2:5">
      <c r="B590" s="252">
        <v>45768</v>
      </c>
      <c r="C590" s="251">
        <v>630.04999999999995</v>
      </c>
      <c r="D590" s="251">
        <f t="shared" si="12"/>
        <v>0.34885463498180247</v>
      </c>
      <c r="E590" s="251">
        <v>1.3675488697610812E-2</v>
      </c>
    </row>
    <row r="591" spans="2:5">
      <c r="B591" s="252">
        <v>42895</v>
      </c>
      <c r="C591" s="251">
        <v>467.1</v>
      </c>
      <c r="D591" s="251">
        <f t="shared" si="12"/>
        <v>-0.40736135605262819</v>
      </c>
      <c r="E591" s="251">
        <v>1.3671875000000024E-2</v>
      </c>
    </row>
    <row r="592" spans="2:5">
      <c r="B592" s="252">
        <v>45292</v>
      </c>
      <c r="C592" s="251">
        <v>788.17</v>
      </c>
      <c r="D592" s="251">
        <f t="shared" si="12"/>
        <v>0.54512840619486358</v>
      </c>
      <c r="E592" s="251">
        <v>1.365828564079481E-2</v>
      </c>
    </row>
    <row r="593" spans="2:5">
      <c r="B593" s="252">
        <v>42578</v>
      </c>
      <c r="C593" s="251">
        <v>510.1</v>
      </c>
      <c r="D593" s="251">
        <f t="shared" si="12"/>
        <v>0.35358896112511606</v>
      </c>
      <c r="E593" s="251">
        <v>1.3611525086934969E-2</v>
      </c>
    </row>
    <row r="594" spans="2:5">
      <c r="B594" s="252">
        <v>43145</v>
      </c>
      <c r="C594" s="251">
        <v>376.85</v>
      </c>
      <c r="D594" s="251">
        <f t="shared" si="12"/>
        <v>-0.31344507196210597</v>
      </c>
      <c r="E594" s="251">
        <v>1.3582571274878998E-2</v>
      </c>
    </row>
    <row r="595" spans="2:5">
      <c r="B595" s="252">
        <v>42760</v>
      </c>
      <c r="C595" s="251">
        <v>548.9</v>
      </c>
      <c r="D595" s="251">
        <f t="shared" si="12"/>
        <v>-0.44201602081893226</v>
      </c>
      <c r="E595" s="251">
        <v>1.357215400240056E-2</v>
      </c>
    </row>
    <row r="596" spans="2:5">
      <c r="B596" s="252">
        <v>45405</v>
      </c>
      <c r="C596" s="251">
        <v>983.72</v>
      </c>
      <c r="D596" s="251">
        <f t="shared" si="12"/>
        <v>0.23375222615195523</v>
      </c>
      <c r="E596" s="251">
        <v>1.3569625470094352E-2</v>
      </c>
    </row>
    <row r="597" spans="2:5">
      <c r="B597" s="252">
        <v>45300</v>
      </c>
      <c r="C597" s="251">
        <v>797.34</v>
      </c>
      <c r="D597" s="251">
        <f t="shared" si="12"/>
        <v>1.5057825267127594</v>
      </c>
      <c r="E597" s="251">
        <v>1.3563501849568527E-2</v>
      </c>
    </row>
    <row r="598" spans="2:5">
      <c r="B598" s="252">
        <v>44295</v>
      </c>
      <c r="C598" s="251">
        <v>318.2</v>
      </c>
      <c r="D598" s="251">
        <f t="shared" si="12"/>
        <v>-0.50917784976091318</v>
      </c>
      <c r="E598" s="251">
        <v>1.353718745023093E-2</v>
      </c>
    </row>
    <row r="599" spans="2:5">
      <c r="B599" s="252">
        <v>45723</v>
      </c>
      <c r="C599" s="251">
        <v>648.29999999999995</v>
      </c>
      <c r="D599" s="251">
        <f t="shared" si="12"/>
        <v>0.48675610595115226</v>
      </c>
      <c r="E599" s="251">
        <v>1.3523020401782189E-2</v>
      </c>
    </row>
    <row r="600" spans="2:5">
      <c r="B600" s="252">
        <v>44679</v>
      </c>
      <c r="C600" s="251">
        <v>436.05</v>
      </c>
      <c r="D600" s="251">
        <f t="shared" si="12"/>
        <v>2.2086092715231787</v>
      </c>
      <c r="E600" s="251">
        <v>1.3480534572922746E-2</v>
      </c>
    </row>
    <row r="601" spans="2:5">
      <c r="B601" s="252">
        <v>44139</v>
      </c>
      <c r="C601" s="251">
        <v>135.9</v>
      </c>
      <c r="D601" s="251">
        <f t="shared" si="12"/>
        <v>-0.21784172661870499</v>
      </c>
      <c r="E601" s="251">
        <v>1.3422818791946393E-2</v>
      </c>
    </row>
    <row r="602" spans="2:5">
      <c r="B602" s="252">
        <v>44161</v>
      </c>
      <c r="C602" s="251">
        <v>173.75</v>
      </c>
      <c r="D602" s="251">
        <f t="shared" si="12"/>
        <v>-0.58948611931482575</v>
      </c>
      <c r="E602" s="251">
        <v>1.3414989792942617E-2</v>
      </c>
    </row>
    <row r="603" spans="2:5">
      <c r="B603" s="252">
        <v>42338</v>
      </c>
      <c r="C603" s="251">
        <v>423.25</v>
      </c>
      <c r="D603" s="251">
        <f t="shared" si="12"/>
        <v>-0.15222834251377065</v>
      </c>
      <c r="E603" s="251">
        <v>1.3408356279181188E-2</v>
      </c>
    </row>
    <row r="604" spans="2:5">
      <c r="B604" s="252">
        <v>42570</v>
      </c>
      <c r="C604" s="251">
        <v>499.25</v>
      </c>
      <c r="D604" s="251">
        <f t="shared" si="12"/>
        <v>0.48123423824358397</v>
      </c>
      <c r="E604" s="251">
        <v>1.3396934943672025E-2</v>
      </c>
    </row>
    <row r="605" spans="2:5">
      <c r="B605" s="252">
        <v>42396</v>
      </c>
      <c r="C605" s="251">
        <v>337.05</v>
      </c>
      <c r="D605" s="251">
        <f t="shared" si="12"/>
        <v>5.9239472030169778E-2</v>
      </c>
      <c r="E605" s="251">
        <v>1.3379434756464186E-2</v>
      </c>
    </row>
    <row r="606" spans="2:5">
      <c r="B606" s="252">
        <v>42419</v>
      </c>
      <c r="C606" s="251">
        <v>318.2</v>
      </c>
      <c r="D606" s="251">
        <f t="shared" si="12"/>
        <v>-0.23693045563549164</v>
      </c>
      <c r="E606" s="251">
        <v>1.3375796178343913E-2</v>
      </c>
    </row>
    <row r="607" spans="2:5">
      <c r="B607" s="252">
        <v>42482</v>
      </c>
      <c r="C607" s="251">
        <v>417</v>
      </c>
      <c r="D607" s="251">
        <f t="shared" si="12"/>
        <v>-0.58430942531027263</v>
      </c>
      <c r="E607" s="251">
        <v>1.3365735115431349E-2</v>
      </c>
    </row>
    <row r="608" spans="2:5">
      <c r="B608" s="252">
        <v>45495</v>
      </c>
      <c r="C608" s="267">
        <v>1003.15</v>
      </c>
      <c r="D608" s="251">
        <f t="shared" si="12"/>
        <v>0.47889607996343864</v>
      </c>
      <c r="E608" s="251">
        <v>1.3282828282828259E-2</v>
      </c>
    </row>
    <row r="609" spans="2:5">
      <c r="B609" s="252">
        <v>45246</v>
      </c>
      <c r="C609" s="251">
        <v>678.31</v>
      </c>
      <c r="D609" s="251">
        <f t="shared" si="12"/>
        <v>1.349125541125541</v>
      </c>
      <c r="E609" s="251">
        <v>1.3189340981059818E-2</v>
      </c>
    </row>
    <row r="610" spans="2:5">
      <c r="B610" s="252">
        <v>42276</v>
      </c>
      <c r="C610" s="251">
        <v>288.75</v>
      </c>
      <c r="D610" s="251">
        <f t="shared" si="12"/>
        <v>0.7846106304079109</v>
      </c>
      <c r="E610" s="251">
        <v>1.3157894736842105E-2</v>
      </c>
    </row>
    <row r="611" spans="2:5">
      <c r="B611" s="252">
        <v>43810</v>
      </c>
      <c r="C611" s="251">
        <v>161.80000000000001</v>
      </c>
      <c r="D611" s="251">
        <f t="shared" si="12"/>
        <v>-0.78498338870431905</v>
      </c>
      <c r="E611" s="251">
        <v>1.3149655604258128E-2</v>
      </c>
    </row>
    <row r="612" spans="2:5">
      <c r="B612" s="252">
        <v>45680</v>
      </c>
      <c r="C612" s="251">
        <v>752.5</v>
      </c>
      <c r="D612" s="251">
        <f t="shared" si="12"/>
        <v>2.6648900732844771E-3</v>
      </c>
      <c r="E612" s="251">
        <v>1.3126893301918546E-2</v>
      </c>
    </row>
    <row r="613" spans="2:5">
      <c r="B613" s="252">
        <v>45653</v>
      </c>
      <c r="C613" s="251">
        <v>750.5</v>
      </c>
      <c r="D613" s="251">
        <f t="shared" si="12"/>
        <v>-7.1634442918815905E-2</v>
      </c>
      <c r="E613" s="251">
        <v>1.3093952483801357E-2</v>
      </c>
    </row>
    <row r="614" spans="2:5">
      <c r="B614" s="252">
        <v>45315</v>
      </c>
      <c r="C614" s="251">
        <v>808.41</v>
      </c>
      <c r="D614" s="251">
        <f t="shared" si="12"/>
        <v>1.3903311649911294</v>
      </c>
      <c r="E614" s="251">
        <v>1.3057807741951602E-2</v>
      </c>
    </row>
    <row r="615" spans="2:5">
      <c r="B615" s="252">
        <v>43181</v>
      </c>
      <c r="C615" s="251">
        <v>338.2</v>
      </c>
      <c r="D615" s="251">
        <f t="shared" si="12"/>
        <v>-0.16932750405266001</v>
      </c>
      <c r="E615" s="251">
        <v>1.3029803804103537E-2</v>
      </c>
    </row>
    <row r="616" spans="2:5">
      <c r="B616" s="252">
        <v>44949</v>
      </c>
      <c r="C616" s="251">
        <v>407.14</v>
      </c>
      <c r="D616" s="251">
        <f t="shared" si="12"/>
        <v>1.273255164712451</v>
      </c>
      <c r="E616" s="251">
        <v>1.3012863576422486E-2</v>
      </c>
    </row>
    <row r="617" spans="2:5">
      <c r="B617" s="252">
        <v>43607</v>
      </c>
      <c r="C617" s="251">
        <v>179.1</v>
      </c>
      <c r="D617" s="251">
        <f t="shared" si="12"/>
        <v>-0.33654380440822373</v>
      </c>
      <c r="E617" s="251">
        <v>1.300904977375556E-2</v>
      </c>
    </row>
    <row r="618" spans="2:5">
      <c r="B618" s="252">
        <v>43349</v>
      </c>
      <c r="C618" s="251">
        <v>269.95</v>
      </c>
      <c r="D618" s="251">
        <f t="shared" si="12"/>
        <v>0.76842450049131983</v>
      </c>
      <c r="E618" s="251">
        <v>1.2945590994371439E-2</v>
      </c>
    </row>
    <row r="619" spans="2:5">
      <c r="B619" s="252">
        <v>43507</v>
      </c>
      <c r="C619" s="251">
        <v>152.65</v>
      </c>
      <c r="D619" s="251">
        <f t="shared" si="12"/>
        <v>-0.77870397216584519</v>
      </c>
      <c r="E619" s="251">
        <v>1.2939615129396266E-2</v>
      </c>
    </row>
    <row r="620" spans="2:5">
      <c r="B620" s="252">
        <v>45708</v>
      </c>
      <c r="C620" s="251">
        <v>689.8</v>
      </c>
      <c r="D620" s="251">
        <f t="shared" si="12"/>
        <v>1.6653786707882532</v>
      </c>
      <c r="E620" s="251">
        <v>1.2922173274596115E-2</v>
      </c>
    </row>
    <row r="621" spans="2:5">
      <c r="B621" s="252">
        <v>43339</v>
      </c>
      <c r="C621" s="251">
        <v>258.8</v>
      </c>
      <c r="D621" s="251">
        <f t="shared" si="12"/>
        <v>-0.40134166088364559</v>
      </c>
      <c r="E621" s="251">
        <v>1.2915851272015701E-2</v>
      </c>
    </row>
    <row r="622" spans="2:5">
      <c r="B622" s="252">
        <v>42865</v>
      </c>
      <c r="C622" s="251">
        <v>432.3</v>
      </c>
      <c r="D622" s="251">
        <f t="shared" si="12"/>
        <v>2.1405739193606972</v>
      </c>
      <c r="E622" s="251">
        <v>1.2886597938144329E-2</v>
      </c>
    </row>
    <row r="623" spans="2:5">
      <c r="B623" s="252">
        <v>44140</v>
      </c>
      <c r="C623" s="251">
        <v>137.65</v>
      </c>
      <c r="D623" s="251">
        <f t="shared" si="12"/>
        <v>-0.70012853190423285</v>
      </c>
      <c r="E623" s="251">
        <v>1.2877115526122147E-2</v>
      </c>
    </row>
    <row r="624" spans="2:5">
      <c r="B624" s="252">
        <v>44796</v>
      </c>
      <c r="C624" s="251">
        <v>459.03</v>
      </c>
      <c r="D624" s="251">
        <f t="shared" si="12"/>
        <v>7.9931487296602613E-3</v>
      </c>
      <c r="E624" s="251">
        <v>1.2864077669902878E-2</v>
      </c>
    </row>
    <row r="625" spans="2:5">
      <c r="B625" s="252">
        <v>44817</v>
      </c>
      <c r="C625" s="251">
        <v>455.39</v>
      </c>
      <c r="D625" s="251">
        <f t="shared" si="12"/>
        <v>0.17915587778353184</v>
      </c>
      <c r="E625" s="251">
        <v>1.2855585952269684E-2</v>
      </c>
    </row>
    <row r="626" spans="2:5">
      <c r="B626" s="252">
        <v>42293</v>
      </c>
      <c r="C626" s="251">
        <v>386.2</v>
      </c>
      <c r="D626" s="251">
        <f t="shared" si="12"/>
        <v>-7.3660981986519949E-2</v>
      </c>
      <c r="E626" s="251">
        <v>1.2850773669026953E-2</v>
      </c>
    </row>
    <row r="627" spans="2:5">
      <c r="B627" s="252">
        <v>44937</v>
      </c>
      <c r="C627" s="251">
        <v>416.91</v>
      </c>
      <c r="D627" s="251">
        <f t="shared" si="12"/>
        <v>-0.37621006957432479</v>
      </c>
      <c r="E627" s="251">
        <v>1.2827053421762335E-2</v>
      </c>
    </row>
    <row r="628" spans="2:5">
      <c r="B628" s="252">
        <v>45771</v>
      </c>
      <c r="C628" s="251">
        <v>668.35</v>
      </c>
      <c r="D628" s="251">
        <f t="shared" si="12"/>
        <v>0.19241748438893849</v>
      </c>
      <c r="E628" s="251">
        <v>1.2804970450068261E-2</v>
      </c>
    </row>
    <row r="629" spans="2:5">
      <c r="B629" s="252">
        <v>42627</v>
      </c>
      <c r="C629" s="251">
        <v>560.5</v>
      </c>
      <c r="D629" s="251">
        <f t="shared" si="12"/>
        <v>0.20896423795349639</v>
      </c>
      <c r="E629" s="251">
        <v>1.2738278073899998E-2</v>
      </c>
    </row>
    <row r="630" spans="2:5">
      <c r="B630" s="252">
        <v>44799</v>
      </c>
      <c r="C630" s="251">
        <v>463.62</v>
      </c>
      <c r="D630" s="251">
        <f t="shared" si="12"/>
        <v>0.11850422195416165</v>
      </c>
      <c r="E630" s="251">
        <v>1.2735096878481364E-2</v>
      </c>
    </row>
    <row r="631" spans="2:5">
      <c r="B631" s="252">
        <v>44739</v>
      </c>
      <c r="C631" s="251">
        <v>414.5</v>
      </c>
      <c r="D631" s="251">
        <f t="shared" si="12"/>
        <v>-7.218802462227196E-2</v>
      </c>
      <c r="E631" s="251">
        <v>1.2704617639872925E-2</v>
      </c>
    </row>
    <row r="632" spans="2:5">
      <c r="B632" s="252">
        <v>44655</v>
      </c>
      <c r="C632" s="251">
        <v>446.75</v>
      </c>
      <c r="D632" s="251">
        <f t="shared" si="12"/>
        <v>0.14199897750511251</v>
      </c>
      <c r="E632" s="251">
        <v>1.2694094979032127E-2</v>
      </c>
    </row>
    <row r="633" spans="2:5">
      <c r="B633" s="252">
        <v>42306</v>
      </c>
      <c r="C633" s="251">
        <v>391.2</v>
      </c>
      <c r="D633" s="251">
        <f t="shared" si="12"/>
        <v>-7.8857519602533635E-2</v>
      </c>
      <c r="E633" s="251">
        <v>1.2684442143411797E-2</v>
      </c>
    </row>
    <row r="634" spans="2:5">
      <c r="B634" s="252">
        <v>44986</v>
      </c>
      <c r="C634" s="251">
        <v>424.69</v>
      </c>
      <c r="D634" s="251">
        <f t="shared" si="12"/>
        <v>-0.53609621287426135</v>
      </c>
      <c r="E634" s="251">
        <v>1.258911327817642E-2</v>
      </c>
    </row>
    <row r="635" spans="2:5">
      <c r="B635" s="252">
        <v>45336</v>
      </c>
      <c r="C635" s="251">
        <v>915.47</v>
      </c>
      <c r="D635" s="251">
        <f t="shared" si="12"/>
        <v>2.0622846629871217</v>
      </c>
      <c r="E635" s="251">
        <v>1.256484277355633E-2</v>
      </c>
    </row>
    <row r="636" spans="2:5">
      <c r="B636" s="252">
        <v>44448</v>
      </c>
      <c r="C636" s="251">
        <v>298.95</v>
      </c>
      <c r="D636" s="251">
        <f t="shared" si="12"/>
        <v>1.3076032419915087</v>
      </c>
      <c r="E636" s="251">
        <v>1.2531752751905127E-2</v>
      </c>
    </row>
    <row r="637" spans="2:5">
      <c r="B637" s="252">
        <v>43721</v>
      </c>
      <c r="C637" s="251">
        <v>129.55000000000001</v>
      </c>
      <c r="D637" s="251">
        <f t="shared" si="12"/>
        <v>-0.28916323731138538</v>
      </c>
      <c r="E637" s="251">
        <v>1.2504884720594049E-2</v>
      </c>
    </row>
    <row r="638" spans="2:5">
      <c r="B638" s="252">
        <v>43542</v>
      </c>
      <c r="C638" s="251">
        <v>182.25</v>
      </c>
      <c r="D638" s="251">
        <f t="shared" si="12"/>
        <v>-0.81803386716721915</v>
      </c>
      <c r="E638" s="251">
        <v>1.2500000000000001E-2</v>
      </c>
    </row>
    <row r="639" spans="2:5">
      <c r="B639" s="252">
        <v>45384</v>
      </c>
      <c r="C639" s="267">
        <v>1001.56</v>
      </c>
      <c r="D639" s="251">
        <f t="shared" si="12"/>
        <v>1.4914427860696515</v>
      </c>
      <c r="E639" s="251">
        <v>1.2494945410432572E-2</v>
      </c>
    </row>
    <row r="640" spans="2:5">
      <c r="B640" s="252">
        <v>43076</v>
      </c>
      <c r="C640" s="251">
        <v>402</v>
      </c>
      <c r="D640" s="251">
        <f t="shared" si="12"/>
        <v>-0.59882241405119507</v>
      </c>
      <c r="E640" s="251">
        <v>1.2466943709860191E-2</v>
      </c>
    </row>
    <row r="641" spans="2:5">
      <c r="B641" s="252">
        <v>45474</v>
      </c>
      <c r="C641" s="267">
        <v>1002.05</v>
      </c>
      <c r="D641" s="251">
        <f t="shared" si="12"/>
        <v>2.1912420382165605</v>
      </c>
      <c r="E641" s="251">
        <v>1.242738065167967E-2</v>
      </c>
    </row>
    <row r="642" spans="2:5">
      <c r="B642" s="252">
        <v>42418</v>
      </c>
      <c r="C642" s="251">
        <v>314</v>
      </c>
      <c r="D642" s="251">
        <f t="shared" si="12"/>
        <v>-0.28162891786776484</v>
      </c>
      <c r="E642" s="251">
        <v>1.2413348379816292E-2</v>
      </c>
    </row>
    <row r="643" spans="2:5">
      <c r="B643" s="252">
        <v>42922</v>
      </c>
      <c r="C643" s="251">
        <v>437.1</v>
      </c>
      <c r="D643" s="251">
        <f t="shared" si="12"/>
        <v>0.12611103954656716</v>
      </c>
      <c r="E643" s="251">
        <v>1.2391430225825183E-2</v>
      </c>
    </row>
    <row r="644" spans="2:5">
      <c r="B644" s="252">
        <v>42983</v>
      </c>
      <c r="C644" s="251">
        <v>388.15</v>
      </c>
      <c r="D644" s="251">
        <f t="shared" si="12"/>
        <v>-0.1122927387078331</v>
      </c>
      <c r="E644" s="251">
        <v>1.2389149713093376E-2</v>
      </c>
    </row>
    <row r="645" spans="2:5">
      <c r="B645" s="252">
        <v>42871</v>
      </c>
      <c r="C645" s="251">
        <v>437.25</v>
      </c>
      <c r="D645" s="251">
        <f t="shared" si="12"/>
        <v>-0.13833875258646169</v>
      </c>
      <c r="E645" s="251">
        <v>1.2387126649687481E-2</v>
      </c>
    </row>
    <row r="646" spans="2:5">
      <c r="B646" s="252">
        <v>44602</v>
      </c>
      <c r="C646" s="251">
        <v>507.45</v>
      </c>
      <c r="D646" s="251">
        <f t="shared" si="12"/>
        <v>-1.091511548582003E-2</v>
      </c>
      <c r="E646" s="251">
        <v>1.2369077306733145E-2</v>
      </c>
    </row>
    <row r="647" spans="2:5">
      <c r="B647" s="252">
        <v>42774</v>
      </c>
      <c r="C647" s="251">
        <v>513.04999999999995</v>
      </c>
      <c r="D647" s="251">
        <f t="shared" si="12"/>
        <v>0.15721213488214714</v>
      </c>
      <c r="E647" s="251">
        <v>1.2332280978689707E-2</v>
      </c>
    </row>
    <row r="648" spans="2:5">
      <c r="B648" s="252">
        <v>42874</v>
      </c>
      <c r="C648" s="251">
        <v>443.35</v>
      </c>
      <c r="D648" s="251">
        <f t="shared" si="12"/>
        <v>-0.56318045223902657</v>
      </c>
      <c r="E648" s="251">
        <v>1.2330174677474676E-2</v>
      </c>
    </row>
    <row r="649" spans="2:5">
      <c r="B649" s="252">
        <v>45482</v>
      </c>
      <c r="C649" s="267">
        <v>1014.95</v>
      </c>
      <c r="D649" s="251">
        <f t="shared" si="12"/>
        <v>0.35462128795462133</v>
      </c>
      <c r="E649" s="251">
        <v>1.2317973269499325E-2</v>
      </c>
    </row>
    <row r="650" spans="2:5">
      <c r="B650" s="252">
        <v>45658</v>
      </c>
      <c r="C650" s="251">
        <v>749.25</v>
      </c>
      <c r="D650" s="251">
        <f t="shared" ref="D650:D713" si="13">(C650-C651)/C651</f>
        <v>3.7799043062200957</v>
      </c>
      <c r="E650" s="251">
        <v>1.2294805107072922E-2</v>
      </c>
    </row>
    <row r="651" spans="2:5">
      <c r="B651" s="252">
        <v>43668</v>
      </c>
      <c r="C651" s="251">
        <v>156.75</v>
      </c>
      <c r="D651" s="251">
        <f t="shared" si="13"/>
        <v>-0.6275395033860045</v>
      </c>
      <c r="E651" s="251">
        <v>1.2269938650306785E-2</v>
      </c>
    </row>
    <row r="652" spans="2:5">
      <c r="B652" s="252">
        <v>44481</v>
      </c>
      <c r="C652" s="251">
        <v>420.85</v>
      </c>
      <c r="D652" s="251">
        <f t="shared" si="13"/>
        <v>-0.24068561118628773</v>
      </c>
      <c r="E652" s="251">
        <v>1.2266987372218936E-2</v>
      </c>
    </row>
    <row r="653" spans="2:5">
      <c r="B653" s="252">
        <v>42661</v>
      </c>
      <c r="C653" s="251">
        <v>554.25</v>
      </c>
      <c r="D653" s="251">
        <f t="shared" si="13"/>
        <v>-0.18820944708897841</v>
      </c>
      <c r="E653" s="251">
        <v>1.2236325449730702E-2</v>
      </c>
    </row>
    <row r="654" spans="2:5">
      <c r="B654" s="252">
        <v>45834</v>
      </c>
      <c r="C654" s="251">
        <v>682.75</v>
      </c>
      <c r="D654" s="251">
        <f t="shared" si="13"/>
        <v>-0.26540998246236935</v>
      </c>
      <c r="E654" s="251">
        <v>1.2231282431430689E-2</v>
      </c>
    </row>
    <row r="655" spans="2:5">
      <c r="B655" s="252">
        <v>45344</v>
      </c>
      <c r="C655" s="251">
        <v>929.43</v>
      </c>
      <c r="D655" s="251">
        <f t="shared" si="13"/>
        <v>5.9724681170292557</v>
      </c>
      <c r="E655" s="251">
        <v>1.2208403214915731E-2</v>
      </c>
    </row>
    <row r="656" spans="2:5">
      <c r="B656" s="252">
        <v>44104</v>
      </c>
      <c r="C656" s="251">
        <v>133.30000000000001</v>
      </c>
      <c r="D656" s="251">
        <f t="shared" si="13"/>
        <v>0.14126712328767135</v>
      </c>
      <c r="E656" s="251">
        <v>1.2148823082764031E-2</v>
      </c>
    </row>
    <row r="657" spans="2:5">
      <c r="B657" s="252">
        <v>44049</v>
      </c>
      <c r="C657" s="251">
        <v>116.8</v>
      </c>
      <c r="D657" s="251">
        <f t="shared" si="13"/>
        <v>-0.81545267814820677</v>
      </c>
      <c r="E657" s="251">
        <v>1.2131715771230428E-2</v>
      </c>
    </row>
    <row r="658" spans="2:5">
      <c r="B658" s="252">
        <v>45180</v>
      </c>
      <c r="C658" s="251">
        <v>632.9</v>
      </c>
      <c r="D658" s="251">
        <f t="shared" si="13"/>
        <v>1.0970841616964875</v>
      </c>
      <c r="E658" s="251">
        <v>1.2121793641655354E-2</v>
      </c>
    </row>
    <row r="659" spans="2:5">
      <c r="B659" s="252">
        <v>42426</v>
      </c>
      <c r="C659" s="251">
        <v>301.8</v>
      </c>
      <c r="D659" s="251">
        <f t="shared" si="13"/>
        <v>-0.53711656441717792</v>
      </c>
      <c r="E659" s="251">
        <v>1.2072434607645953E-2</v>
      </c>
    </row>
    <row r="660" spans="2:5">
      <c r="B660" s="252">
        <v>45779</v>
      </c>
      <c r="C660" s="251">
        <v>652</v>
      </c>
      <c r="D660" s="251">
        <f t="shared" si="13"/>
        <v>0.61526074569552835</v>
      </c>
      <c r="E660" s="251">
        <v>1.2029491656965464E-2</v>
      </c>
    </row>
    <row r="661" spans="2:5">
      <c r="B661" s="252">
        <v>43073</v>
      </c>
      <c r="C661" s="251">
        <v>403.65</v>
      </c>
      <c r="D661" s="251">
        <f t="shared" si="13"/>
        <v>-0.20423854115327753</v>
      </c>
      <c r="E661" s="251">
        <v>1.1907746302331412E-2</v>
      </c>
    </row>
    <row r="662" spans="2:5">
      <c r="B662" s="252">
        <v>44573</v>
      </c>
      <c r="C662" s="251">
        <v>507.25</v>
      </c>
      <c r="D662" s="251">
        <f t="shared" si="13"/>
        <v>0.54226208574034673</v>
      </c>
      <c r="E662" s="251">
        <v>1.1869140235387968E-2</v>
      </c>
    </row>
    <row r="663" spans="2:5">
      <c r="B663" s="252">
        <v>44237</v>
      </c>
      <c r="C663" s="251">
        <v>328.9</v>
      </c>
      <c r="D663" s="251">
        <f t="shared" si="13"/>
        <v>-0.65522302007442745</v>
      </c>
      <c r="E663" s="251">
        <v>1.184433164128585E-2</v>
      </c>
    </row>
    <row r="664" spans="2:5">
      <c r="B664" s="252">
        <v>45430</v>
      </c>
      <c r="C664" s="251">
        <v>953.95</v>
      </c>
      <c r="D664" s="251">
        <f t="shared" si="13"/>
        <v>1.8219198343440322</v>
      </c>
      <c r="E664" s="251">
        <v>1.1837206588954149E-2</v>
      </c>
    </row>
    <row r="665" spans="2:5">
      <c r="B665" s="252">
        <v>42263</v>
      </c>
      <c r="C665" s="251">
        <v>338.05</v>
      </c>
      <c r="D665" s="251">
        <f t="shared" si="13"/>
        <v>1.7152610441767069</v>
      </c>
      <c r="E665" s="251">
        <v>1.1822807542651866E-2</v>
      </c>
    </row>
    <row r="666" spans="2:5">
      <c r="B666" s="252">
        <v>43734</v>
      </c>
      <c r="C666" s="251">
        <v>124.5</v>
      </c>
      <c r="D666" s="251">
        <f t="shared" si="13"/>
        <v>-0.6750619861672974</v>
      </c>
      <c r="E666" s="251">
        <v>1.1783827712312091E-2</v>
      </c>
    </row>
    <row r="667" spans="2:5">
      <c r="B667" s="252">
        <v>42297</v>
      </c>
      <c r="C667" s="251">
        <v>383.15</v>
      </c>
      <c r="D667" s="251">
        <f t="shared" si="13"/>
        <v>-8.838924577682615E-2</v>
      </c>
      <c r="E667" s="251">
        <v>1.1750726168471056E-2</v>
      </c>
    </row>
    <row r="668" spans="2:5">
      <c r="B668" s="252">
        <v>44911</v>
      </c>
      <c r="C668" s="251">
        <v>420.3</v>
      </c>
      <c r="D668" s="251">
        <f t="shared" si="13"/>
        <v>1.6567904220582956E-2</v>
      </c>
      <c r="E668" s="251">
        <v>1.1747147465215914E-2</v>
      </c>
    </row>
    <row r="669" spans="2:5">
      <c r="B669" s="252">
        <v>43055</v>
      </c>
      <c r="C669" s="251">
        <v>413.45</v>
      </c>
      <c r="D669" s="251">
        <f t="shared" si="13"/>
        <v>2.5040287591421757E-2</v>
      </c>
      <c r="E669" s="251">
        <v>1.1745992903462649E-2</v>
      </c>
    </row>
    <row r="670" spans="2:5">
      <c r="B670" s="252">
        <v>42499</v>
      </c>
      <c r="C670" s="251">
        <v>403.35</v>
      </c>
      <c r="D670" s="251">
        <f t="shared" si="13"/>
        <v>1.2113486842105263</v>
      </c>
      <c r="E670" s="251">
        <v>1.1662904439428228E-2</v>
      </c>
    </row>
    <row r="671" spans="2:5">
      <c r="B671" s="252">
        <v>43479</v>
      </c>
      <c r="C671" s="251">
        <v>182.4</v>
      </c>
      <c r="D671" s="251">
        <f t="shared" si="13"/>
        <v>-0.54840307006684819</v>
      </c>
      <c r="E671" s="251">
        <v>1.1647254575707122E-2</v>
      </c>
    </row>
    <row r="672" spans="2:5">
      <c r="B672" s="252">
        <v>42517</v>
      </c>
      <c r="C672" s="251">
        <v>403.9</v>
      </c>
      <c r="D672" s="251">
        <f t="shared" si="13"/>
        <v>0.17720781113378009</v>
      </c>
      <c r="E672" s="251">
        <v>1.1646837820914158E-2</v>
      </c>
    </row>
    <row r="673" spans="2:5">
      <c r="B673" s="252">
        <v>43193</v>
      </c>
      <c r="C673" s="251">
        <v>343.1</v>
      </c>
      <c r="D673" s="251">
        <f t="shared" si="13"/>
        <v>-0.3245132203256354</v>
      </c>
      <c r="E673" s="251">
        <v>1.1646763968745527E-2</v>
      </c>
    </row>
    <row r="674" spans="2:5">
      <c r="B674" s="252">
        <v>45056</v>
      </c>
      <c r="C674" s="251">
        <v>507.93</v>
      </c>
      <c r="D674" s="251">
        <f t="shared" si="13"/>
        <v>4.8248853211009175</v>
      </c>
      <c r="E674" s="251">
        <v>1.161123282214695E-2</v>
      </c>
    </row>
    <row r="675" spans="2:5">
      <c r="B675" s="252">
        <v>43964</v>
      </c>
      <c r="C675" s="251">
        <v>87.2</v>
      </c>
      <c r="D675" s="251">
        <f t="shared" si="13"/>
        <v>-0.8065661047027507</v>
      </c>
      <c r="E675" s="251">
        <v>1.1600928074245939E-2</v>
      </c>
    </row>
    <row r="676" spans="2:5">
      <c r="B676" s="252">
        <v>42851</v>
      </c>
      <c r="C676" s="251">
        <v>450.8</v>
      </c>
      <c r="D676" s="251">
        <f t="shared" si="13"/>
        <v>-7.3666906400904078E-2</v>
      </c>
      <c r="E676" s="251">
        <v>1.1556153932458284E-2</v>
      </c>
    </row>
    <row r="677" spans="2:5">
      <c r="B677" s="252">
        <v>42739</v>
      </c>
      <c r="C677" s="251">
        <v>486.65</v>
      </c>
      <c r="D677" s="251">
        <f t="shared" si="13"/>
        <v>-7.6337616489836252E-2</v>
      </c>
      <c r="E677" s="251">
        <v>1.1536063188526199E-2</v>
      </c>
    </row>
    <row r="678" spans="2:5">
      <c r="B678" s="252">
        <v>45069</v>
      </c>
      <c r="C678" s="251">
        <v>526.87</v>
      </c>
      <c r="D678" s="251">
        <f t="shared" si="13"/>
        <v>-0.23647561770886161</v>
      </c>
      <c r="E678" s="251">
        <v>1.1480350937818001E-2</v>
      </c>
    </row>
    <row r="679" spans="2:5">
      <c r="B679" s="252">
        <v>45736</v>
      </c>
      <c r="C679" s="251">
        <v>690.05</v>
      </c>
      <c r="D679" s="251">
        <f t="shared" si="13"/>
        <v>0.53477458241587139</v>
      </c>
      <c r="E679" s="251">
        <v>1.1432759252473368E-2</v>
      </c>
    </row>
    <row r="680" spans="2:5">
      <c r="B680" s="252">
        <v>44816</v>
      </c>
      <c r="C680" s="251">
        <v>449.61</v>
      </c>
      <c r="D680" s="251">
        <f t="shared" si="13"/>
        <v>-0.18230426479949077</v>
      </c>
      <c r="E680" s="251">
        <v>1.1427800148471511E-2</v>
      </c>
    </row>
    <row r="681" spans="2:5">
      <c r="B681" s="252">
        <v>42615</v>
      </c>
      <c r="C681" s="251">
        <v>549.85</v>
      </c>
      <c r="D681" s="251">
        <f t="shared" si="13"/>
        <v>-0.46371793621379104</v>
      </c>
      <c r="E681" s="251">
        <v>1.1404396210797472E-2</v>
      </c>
    </row>
    <row r="682" spans="2:5">
      <c r="B682" s="252">
        <v>45511</v>
      </c>
      <c r="C682" s="267">
        <v>1025.3</v>
      </c>
      <c r="D682" s="251">
        <f t="shared" si="13"/>
        <v>4.2471852610030707</v>
      </c>
      <c r="E682" s="251">
        <v>1.1393341553637439E-2</v>
      </c>
    </row>
    <row r="683" spans="2:5">
      <c r="B683" s="252">
        <v>44202</v>
      </c>
      <c r="C683" s="251">
        <v>195.4</v>
      </c>
      <c r="D683" s="251">
        <f t="shared" si="13"/>
        <v>-0.37160315163209517</v>
      </c>
      <c r="E683" s="251">
        <v>1.1387163561076694E-2</v>
      </c>
    </row>
    <row r="684" spans="2:5">
      <c r="B684" s="252">
        <v>44390</v>
      </c>
      <c r="C684" s="251">
        <v>310.95</v>
      </c>
      <c r="D684" s="251">
        <f t="shared" si="13"/>
        <v>-0.2797915460335843</v>
      </c>
      <c r="E684" s="251">
        <v>1.1383964872336966E-2</v>
      </c>
    </row>
    <row r="685" spans="2:5">
      <c r="B685" s="252">
        <v>42921</v>
      </c>
      <c r="C685" s="251">
        <v>431.75</v>
      </c>
      <c r="D685" s="251">
        <f t="shared" si="13"/>
        <v>-6.1106882679134548E-2</v>
      </c>
      <c r="E685" s="251">
        <v>1.1360974467088366E-2</v>
      </c>
    </row>
    <row r="686" spans="2:5">
      <c r="B686" s="252">
        <v>42703</v>
      </c>
      <c r="C686" s="251">
        <v>459.85</v>
      </c>
      <c r="D686" s="251">
        <f t="shared" si="13"/>
        <v>1.7751961375980692</v>
      </c>
      <c r="E686" s="251">
        <v>1.1326149109302913E-2</v>
      </c>
    </row>
    <row r="687" spans="2:5">
      <c r="B687" s="252">
        <v>43865</v>
      </c>
      <c r="C687" s="251">
        <v>165.7</v>
      </c>
      <c r="D687" s="251">
        <f t="shared" si="13"/>
        <v>-0.80354496413539622</v>
      </c>
      <c r="E687" s="251">
        <v>1.1290814769606312E-2</v>
      </c>
    </row>
    <row r="688" spans="2:5">
      <c r="B688" s="252">
        <v>45597</v>
      </c>
      <c r="C688" s="251">
        <v>843.45</v>
      </c>
      <c r="D688" s="251">
        <f t="shared" si="13"/>
        <v>4.2177544076708946</v>
      </c>
      <c r="E688" s="251">
        <v>1.1270307535519563E-2</v>
      </c>
    </row>
    <row r="689" spans="2:5">
      <c r="B689" s="252">
        <v>43511</v>
      </c>
      <c r="C689" s="251">
        <v>161.65</v>
      </c>
      <c r="D689" s="251">
        <f t="shared" si="13"/>
        <v>-0.61525645602760926</v>
      </c>
      <c r="E689" s="251">
        <v>1.1260556771973797E-2</v>
      </c>
    </row>
    <row r="690" spans="2:5">
      <c r="B690" s="252">
        <v>43020</v>
      </c>
      <c r="C690" s="251">
        <v>420.15</v>
      </c>
      <c r="D690" s="251">
        <f t="shared" si="13"/>
        <v>-0.2230954142011834</v>
      </c>
      <c r="E690" s="251">
        <v>1.1191335740072148E-2</v>
      </c>
    </row>
    <row r="691" spans="2:5">
      <c r="B691" s="252">
        <v>42646</v>
      </c>
      <c r="C691" s="251">
        <v>540.79999999999995</v>
      </c>
      <c r="D691" s="251">
        <f t="shared" si="13"/>
        <v>0.27306967984934072</v>
      </c>
      <c r="E691" s="251">
        <v>1.1124614377862824E-2</v>
      </c>
    </row>
    <row r="692" spans="2:5">
      <c r="B692" s="252">
        <v>43021</v>
      </c>
      <c r="C692" s="251">
        <v>424.8</v>
      </c>
      <c r="D692" s="251">
        <f t="shared" si="13"/>
        <v>-0.21861491768601116</v>
      </c>
      <c r="E692" s="251">
        <v>1.1067475901463845E-2</v>
      </c>
    </row>
    <row r="693" spans="2:5">
      <c r="B693" s="252">
        <v>42614</v>
      </c>
      <c r="C693" s="251">
        <v>543.65</v>
      </c>
      <c r="D693" s="251">
        <f t="shared" si="13"/>
        <v>0.4152023948978264</v>
      </c>
      <c r="E693" s="251">
        <v>1.1065649990701006E-2</v>
      </c>
    </row>
    <row r="694" spans="2:5">
      <c r="B694" s="252">
        <v>42971</v>
      </c>
      <c r="C694" s="251">
        <v>384.15</v>
      </c>
      <c r="D694" s="251">
        <f t="shared" si="13"/>
        <v>1.2014326647564468</v>
      </c>
      <c r="E694" s="251">
        <v>1.1054086063955753E-2</v>
      </c>
    </row>
    <row r="695" spans="2:5">
      <c r="B695" s="252">
        <v>43619</v>
      </c>
      <c r="C695" s="251">
        <v>174.5</v>
      </c>
      <c r="D695" s="251">
        <f t="shared" si="13"/>
        <v>-0.75990643918547052</v>
      </c>
      <c r="E695" s="251">
        <v>1.1008111239860983E-2</v>
      </c>
    </row>
    <row r="696" spans="2:5">
      <c r="B696" s="252">
        <v>45798</v>
      </c>
      <c r="C696" s="251">
        <v>726.8</v>
      </c>
      <c r="D696" s="251">
        <f t="shared" si="13"/>
        <v>6.94526191877574E-2</v>
      </c>
      <c r="E696" s="251">
        <v>1.0989010989010957E-2</v>
      </c>
    </row>
    <row r="697" spans="2:5">
      <c r="B697" s="252">
        <v>45251</v>
      </c>
      <c r="C697" s="251">
        <v>679.6</v>
      </c>
      <c r="D697" s="251">
        <f t="shared" si="13"/>
        <v>4.2418048592364057</v>
      </c>
      <c r="E697" s="251">
        <v>1.0963509513113078E-2</v>
      </c>
    </row>
    <row r="698" spans="2:5">
      <c r="B698" s="252">
        <v>44124</v>
      </c>
      <c r="C698" s="251">
        <v>129.65</v>
      </c>
      <c r="D698" s="251">
        <f t="shared" si="13"/>
        <v>-0.58873909595559082</v>
      </c>
      <c r="E698" s="251">
        <v>1.0916179337232013E-2</v>
      </c>
    </row>
    <row r="699" spans="2:5">
      <c r="B699" s="252">
        <v>44341</v>
      </c>
      <c r="C699" s="251">
        <v>315.25</v>
      </c>
      <c r="D699" s="251">
        <f t="shared" si="13"/>
        <v>0.77856135401974613</v>
      </c>
      <c r="E699" s="251">
        <v>1.0902677569344162E-2</v>
      </c>
    </row>
    <row r="700" spans="2:5">
      <c r="B700" s="252">
        <v>43403</v>
      </c>
      <c r="C700" s="251">
        <v>177.25</v>
      </c>
      <c r="D700" s="251">
        <f t="shared" si="13"/>
        <v>2.6346265199768452E-2</v>
      </c>
      <c r="E700" s="251">
        <v>1.0835471913316257E-2</v>
      </c>
    </row>
    <row r="701" spans="2:5">
      <c r="B701" s="252">
        <v>43465</v>
      </c>
      <c r="C701" s="251">
        <v>172.7</v>
      </c>
      <c r="D701" s="251">
        <f t="shared" si="13"/>
        <v>0.15595716198125825</v>
      </c>
      <c r="E701" s="251">
        <v>1.0828211881767599E-2</v>
      </c>
    </row>
    <row r="702" spans="2:5">
      <c r="B702" s="252">
        <v>44081</v>
      </c>
      <c r="C702" s="251">
        <v>149.4</v>
      </c>
      <c r="D702" s="251">
        <f t="shared" si="13"/>
        <v>-0.81463099905702518</v>
      </c>
      <c r="E702" s="251">
        <v>1.0825439783491165E-2</v>
      </c>
    </row>
    <row r="703" spans="2:5">
      <c r="B703" s="252">
        <v>45301</v>
      </c>
      <c r="C703" s="251">
        <v>805.96</v>
      </c>
      <c r="D703" s="251">
        <f t="shared" si="13"/>
        <v>1.3852027226990236</v>
      </c>
      <c r="E703" s="251">
        <v>1.0810946396769263E-2</v>
      </c>
    </row>
    <row r="704" spans="2:5">
      <c r="B704" s="252">
        <v>44369</v>
      </c>
      <c r="C704" s="251">
        <v>337.9</v>
      </c>
      <c r="D704" s="251">
        <f t="shared" si="13"/>
        <v>-0.65184689093812787</v>
      </c>
      <c r="E704" s="251">
        <v>1.0768770565360353E-2</v>
      </c>
    </row>
    <row r="705" spans="2:5">
      <c r="B705" s="252">
        <v>45404</v>
      </c>
      <c r="C705" s="251">
        <v>970.55</v>
      </c>
      <c r="D705" s="251">
        <f t="shared" si="13"/>
        <v>1.0173560590313862</v>
      </c>
      <c r="E705" s="251">
        <v>1.0736899108556137E-2</v>
      </c>
    </row>
    <row r="706" spans="2:5">
      <c r="B706" s="252">
        <v>42881</v>
      </c>
      <c r="C706" s="251">
        <v>481.1</v>
      </c>
      <c r="D706" s="251">
        <f t="shared" si="13"/>
        <v>9.6524216524216583E-2</v>
      </c>
      <c r="E706" s="251">
        <v>1.0714285714285761E-2</v>
      </c>
    </row>
    <row r="707" spans="2:5">
      <c r="B707" s="252">
        <v>44965</v>
      </c>
      <c r="C707" s="251">
        <v>438.75</v>
      </c>
      <c r="D707" s="251">
        <f t="shared" si="13"/>
        <v>1.8288578921716515E-2</v>
      </c>
      <c r="E707" s="251">
        <v>1.0688535163898519E-2</v>
      </c>
    </row>
    <row r="708" spans="2:5">
      <c r="B708" s="252">
        <v>44826</v>
      </c>
      <c r="C708" s="251">
        <v>430.87</v>
      </c>
      <c r="D708" s="251">
        <f t="shared" si="13"/>
        <v>-0.37323441704851268</v>
      </c>
      <c r="E708" s="251">
        <v>1.0649027748457817E-2</v>
      </c>
    </row>
    <row r="709" spans="2:5">
      <c r="B709" s="252">
        <v>45859</v>
      </c>
      <c r="C709" s="251">
        <v>687.45</v>
      </c>
      <c r="D709" s="251">
        <f t="shared" si="13"/>
        <v>6.1944852089287128E-2</v>
      </c>
      <c r="E709" s="251">
        <v>1.058434399117978E-2</v>
      </c>
    </row>
    <row r="710" spans="2:5">
      <c r="B710" s="252">
        <v>45239</v>
      </c>
      <c r="C710" s="251">
        <v>647.35</v>
      </c>
      <c r="D710" s="251">
        <f t="shared" si="13"/>
        <v>0.56206264176439358</v>
      </c>
      <c r="E710" s="251">
        <v>1.0584323337027916E-2</v>
      </c>
    </row>
    <row r="711" spans="2:5">
      <c r="B711" s="252">
        <v>45001</v>
      </c>
      <c r="C711" s="251">
        <v>414.42</v>
      </c>
      <c r="D711" s="251">
        <f t="shared" si="13"/>
        <v>0.60721349621873177</v>
      </c>
      <c r="E711" s="251">
        <v>1.0583300819352399E-2</v>
      </c>
    </row>
    <row r="712" spans="2:5">
      <c r="B712" s="252">
        <v>43321</v>
      </c>
      <c r="C712" s="251">
        <v>257.85000000000002</v>
      </c>
      <c r="D712" s="251">
        <f t="shared" si="13"/>
        <v>-0.37877948297877462</v>
      </c>
      <c r="E712" s="251">
        <v>1.0582010582010649E-2</v>
      </c>
    </row>
    <row r="713" spans="2:5">
      <c r="B713" s="252">
        <v>44748</v>
      </c>
      <c r="C713" s="251">
        <v>415.07</v>
      </c>
      <c r="D713" s="251">
        <f t="shared" si="13"/>
        <v>1.3978625072212594</v>
      </c>
      <c r="E713" s="251">
        <v>1.0566552236262204E-2</v>
      </c>
    </row>
    <row r="714" spans="2:5">
      <c r="B714" s="252">
        <v>43550</v>
      </c>
      <c r="C714" s="251">
        <v>173.1</v>
      </c>
      <c r="D714" s="251">
        <f t="shared" ref="D714:D777" si="14">(C714-C715)/C715</f>
        <v>-0.58510102825915011</v>
      </c>
      <c r="E714" s="251">
        <v>1.0507880910682912E-2</v>
      </c>
    </row>
    <row r="715" spans="2:5">
      <c r="B715" s="252">
        <v>44908</v>
      </c>
      <c r="C715" s="251">
        <v>417.21</v>
      </c>
      <c r="D715" s="251">
        <f t="shared" si="14"/>
        <v>-0.2475245739020652</v>
      </c>
      <c r="E715" s="251">
        <v>1.0487308661112148E-2</v>
      </c>
    </row>
    <row r="716" spans="2:5">
      <c r="B716" s="252">
        <v>42632</v>
      </c>
      <c r="C716" s="251">
        <v>554.45000000000005</v>
      </c>
      <c r="D716" s="251">
        <f t="shared" si="14"/>
        <v>0.44992154811715501</v>
      </c>
      <c r="E716" s="251">
        <v>1.0479314743940222E-2</v>
      </c>
    </row>
    <row r="717" spans="2:5">
      <c r="B717" s="252">
        <v>42362</v>
      </c>
      <c r="C717" s="251">
        <v>382.4</v>
      </c>
      <c r="D717" s="251">
        <f t="shared" si="14"/>
        <v>1.1351200446677834</v>
      </c>
      <c r="E717" s="251">
        <v>1.0437310080591858E-2</v>
      </c>
    </row>
    <row r="718" spans="2:5">
      <c r="B718" s="252">
        <v>43404</v>
      </c>
      <c r="C718" s="251">
        <v>179.1</v>
      </c>
      <c r="D718" s="251">
        <f t="shared" si="14"/>
        <v>-0.63155729273811967</v>
      </c>
      <c r="E718" s="251">
        <v>1.0437235543018304E-2</v>
      </c>
    </row>
    <row r="719" spans="2:5">
      <c r="B719" s="252">
        <v>42565</v>
      </c>
      <c r="C719" s="251">
        <v>486.1</v>
      </c>
      <c r="D719" s="251">
        <f t="shared" si="14"/>
        <v>0.42802585193889559</v>
      </c>
      <c r="E719" s="251">
        <v>1.0392849719393056E-2</v>
      </c>
    </row>
    <row r="720" spans="2:5">
      <c r="B720" s="252">
        <v>43220</v>
      </c>
      <c r="C720" s="251">
        <v>340.4</v>
      </c>
      <c r="D720" s="251">
        <f t="shared" si="14"/>
        <v>-0.30088313822140073</v>
      </c>
      <c r="E720" s="251">
        <v>1.0388839418224993E-2</v>
      </c>
    </row>
    <row r="721" spans="2:5">
      <c r="B721" s="252">
        <v>44489</v>
      </c>
      <c r="C721" s="251">
        <v>486.9</v>
      </c>
      <c r="D721" s="251">
        <f t="shared" si="14"/>
        <v>4.1274593669803149E-2</v>
      </c>
      <c r="E721" s="251">
        <v>1.0375596596804317E-2</v>
      </c>
    </row>
    <row r="722" spans="2:5">
      <c r="B722" s="252">
        <v>42803</v>
      </c>
      <c r="C722" s="251">
        <v>467.6</v>
      </c>
      <c r="D722" s="251">
        <f t="shared" si="14"/>
        <v>1.232513726426355</v>
      </c>
      <c r="E722" s="251">
        <v>1.0371650821089047E-2</v>
      </c>
    </row>
    <row r="723" spans="2:5">
      <c r="B723" s="252">
        <v>43588</v>
      </c>
      <c r="C723" s="251">
        <v>209.45</v>
      </c>
      <c r="D723" s="251">
        <f t="shared" si="14"/>
        <v>0.30133581857719793</v>
      </c>
      <c r="E723" s="251">
        <v>1.0371442354076109E-2</v>
      </c>
    </row>
    <row r="724" spans="2:5">
      <c r="B724" s="252">
        <v>43661</v>
      </c>
      <c r="C724" s="251">
        <v>160.94999999999999</v>
      </c>
      <c r="D724" s="251">
        <f t="shared" si="14"/>
        <v>5.9927560092196214E-2</v>
      </c>
      <c r="E724" s="251">
        <v>1.0357815442561062E-2</v>
      </c>
    </row>
    <row r="725" spans="2:5">
      <c r="B725" s="252">
        <v>44077</v>
      </c>
      <c r="C725" s="251">
        <v>151.85</v>
      </c>
      <c r="D725" s="251">
        <f t="shared" si="14"/>
        <v>-0.43644460938949714</v>
      </c>
      <c r="E725" s="251">
        <v>1.0312707917498222E-2</v>
      </c>
    </row>
    <row r="726" spans="2:5">
      <c r="B726" s="252">
        <v>43284</v>
      </c>
      <c r="C726" s="251">
        <v>269.45</v>
      </c>
      <c r="D726" s="251">
        <f t="shared" si="14"/>
        <v>9.9347205222358195E-2</v>
      </c>
      <c r="E726" s="251">
        <v>1.0311211098612674E-2</v>
      </c>
    </row>
    <row r="727" spans="2:5">
      <c r="B727" s="252">
        <v>44210</v>
      </c>
      <c r="C727" s="251">
        <v>245.1</v>
      </c>
      <c r="D727" s="251">
        <f t="shared" si="14"/>
        <v>-0.12401715511079348</v>
      </c>
      <c r="E727" s="251">
        <v>1.0305028854080791E-2</v>
      </c>
    </row>
    <row r="728" spans="2:5">
      <c r="B728" s="252">
        <v>44432</v>
      </c>
      <c r="C728" s="251">
        <v>279.8</v>
      </c>
      <c r="D728" s="251">
        <f t="shared" si="14"/>
        <v>-0.34717685487634159</v>
      </c>
      <c r="E728" s="251">
        <v>1.0290666185232073E-2</v>
      </c>
    </row>
    <row r="729" spans="2:5">
      <c r="B729" s="252">
        <v>43061</v>
      </c>
      <c r="C729" s="251">
        <v>428.6</v>
      </c>
      <c r="D729" s="251">
        <f t="shared" si="14"/>
        <v>6.69406928948919E-3</v>
      </c>
      <c r="E729" s="251">
        <v>1.0253388332351262E-2</v>
      </c>
    </row>
    <row r="730" spans="2:5">
      <c r="B730" s="252">
        <v>44705</v>
      </c>
      <c r="C730" s="251">
        <v>425.75</v>
      </c>
      <c r="D730" s="251">
        <f t="shared" si="14"/>
        <v>-6.50049412539805E-2</v>
      </c>
      <c r="E730" s="251">
        <v>1.0202871040455598E-2</v>
      </c>
    </row>
    <row r="731" spans="2:5">
      <c r="B731" s="252">
        <v>42852</v>
      </c>
      <c r="C731" s="251">
        <v>455.35</v>
      </c>
      <c r="D731" s="251">
        <f t="shared" si="14"/>
        <v>-0.28704515563349398</v>
      </c>
      <c r="E731" s="251">
        <v>1.0093167701863378E-2</v>
      </c>
    </row>
    <row r="732" spans="2:5">
      <c r="B732" s="252">
        <v>45187</v>
      </c>
      <c r="C732" s="251">
        <v>638.67999999999995</v>
      </c>
      <c r="D732" s="251">
        <f t="shared" si="14"/>
        <v>-0.35235004816711457</v>
      </c>
      <c r="E732" s="251">
        <v>1.0090147082081283E-2</v>
      </c>
    </row>
    <row r="733" spans="2:5">
      <c r="B733" s="252">
        <v>45547</v>
      </c>
      <c r="C733" s="251">
        <v>986.15</v>
      </c>
      <c r="D733" s="251">
        <f t="shared" si="14"/>
        <v>2.924194190210903</v>
      </c>
      <c r="E733" s="251">
        <v>1.0089111953293069E-2</v>
      </c>
    </row>
    <row r="734" spans="2:5">
      <c r="B734" s="252">
        <v>43328</v>
      </c>
      <c r="C734" s="251">
        <v>251.3</v>
      </c>
      <c r="D734" s="251">
        <f t="shared" si="14"/>
        <v>-0.50555828824397442</v>
      </c>
      <c r="E734" s="251">
        <v>1.004823151125402E-2</v>
      </c>
    </row>
    <row r="735" spans="2:5">
      <c r="B735" s="252">
        <v>42583</v>
      </c>
      <c r="C735" s="251">
        <v>508.25</v>
      </c>
      <c r="D735" s="251">
        <f t="shared" si="14"/>
        <v>0.68322569961914226</v>
      </c>
      <c r="E735" s="251">
        <v>1.0035771065182853E-2</v>
      </c>
    </row>
    <row r="736" spans="2:5">
      <c r="B736" s="252">
        <v>44460</v>
      </c>
      <c r="C736" s="251">
        <v>301.95</v>
      </c>
      <c r="D736" s="251">
        <f t="shared" si="14"/>
        <v>2.1338868707836016</v>
      </c>
      <c r="E736" s="251">
        <v>1.0035122930255895E-2</v>
      </c>
    </row>
    <row r="737" spans="2:5">
      <c r="B737" s="252">
        <v>44000</v>
      </c>
      <c r="C737" s="251">
        <v>96.35</v>
      </c>
      <c r="D737" s="251">
        <f t="shared" si="14"/>
        <v>-0.55843263061411552</v>
      </c>
      <c r="E737" s="251">
        <v>9.9580712788258762E-3</v>
      </c>
    </row>
    <row r="738" spans="2:5">
      <c r="B738" s="252">
        <v>43566</v>
      </c>
      <c r="C738" s="251">
        <v>218.2</v>
      </c>
      <c r="D738" s="251">
        <f t="shared" si="14"/>
        <v>0.12939958592132506</v>
      </c>
      <c r="E738" s="251">
        <v>9.9514001388566406E-3</v>
      </c>
    </row>
    <row r="739" spans="2:5">
      <c r="B739" s="252">
        <v>44201</v>
      </c>
      <c r="C739" s="251">
        <v>193.2</v>
      </c>
      <c r="D739" s="251">
        <f t="shared" si="14"/>
        <v>-0.79507631604068774</v>
      </c>
      <c r="E739" s="251">
        <v>9.9320439100887455E-3</v>
      </c>
    </row>
    <row r="740" spans="2:5">
      <c r="B740" s="252">
        <v>45429</v>
      </c>
      <c r="C740" s="251">
        <v>942.79</v>
      </c>
      <c r="D740" s="251">
        <f t="shared" si="14"/>
        <v>0.92523994282213595</v>
      </c>
      <c r="E740" s="251">
        <v>9.9301568257776831E-3</v>
      </c>
    </row>
    <row r="741" spans="2:5">
      <c r="B741" s="252">
        <v>44504</v>
      </c>
      <c r="C741" s="251">
        <v>489.7</v>
      </c>
      <c r="D741" s="251">
        <f t="shared" si="14"/>
        <v>0.64965470776486423</v>
      </c>
      <c r="E741" s="251">
        <v>9.8989482367498691E-3</v>
      </c>
    </row>
    <row r="742" spans="2:5">
      <c r="B742" s="252">
        <v>44410</v>
      </c>
      <c r="C742" s="251">
        <v>296.85000000000002</v>
      </c>
      <c r="D742" s="251">
        <f t="shared" si="14"/>
        <v>-0.37732049587817001</v>
      </c>
      <c r="E742" s="251">
        <v>9.8656234053411604E-3</v>
      </c>
    </row>
    <row r="743" spans="2:5">
      <c r="B743" s="252">
        <v>45042</v>
      </c>
      <c r="C743" s="251">
        <v>476.73</v>
      </c>
      <c r="D743" s="251">
        <f t="shared" si="14"/>
        <v>0.49632768361581914</v>
      </c>
      <c r="E743" s="251">
        <v>9.8286343705650259E-3</v>
      </c>
    </row>
    <row r="744" spans="2:5">
      <c r="B744" s="252">
        <v>44343</v>
      </c>
      <c r="C744" s="251">
        <v>318.60000000000002</v>
      </c>
      <c r="D744" s="251">
        <f t="shared" si="14"/>
        <v>-0.25351452671040298</v>
      </c>
      <c r="E744" s="251">
        <v>9.8256735340729717E-3</v>
      </c>
    </row>
    <row r="745" spans="2:5">
      <c r="B745" s="252">
        <v>42864</v>
      </c>
      <c r="C745" s="251">
        <v>426.8</v>
      </c>
      <c r="D745" s="251">
        <f t="shared" si="14"/>
        <v>2.0705035971223023</v>
      </c>
      <c r="E745" s="251">
        <v>9.818999171891718E-3</v>
      </c>
    </row>
    <row r="746" spans="2:5">
      <c r="B746" s="252">
        <v>44141</v>
      </c>
      <c r="C746" s="251">
        <v>139</v>
      </c>
      <c r="D746" s="251">
        <f t="shared" si="14"/>
        <v>-0.49177330895795246</v>
      </c>
      <c r="E746" s="251">
        <v>9.8074827460951277E-3</v>
      </c>
    </row>
    <row r="747" spans="2:5">
      <c r="B747" s="252">
        <v>43290</v>
      </c>
      <c r="C747" s="251">
        <v>273.5</v>
      </c>
      <c r="D747" s="251">
        <f t="shared" si="14"/>
        <v>-0.39497843158942597</v>
      </c>
      <c r="E747" s="251">
        <v>9.7840132914896703E-3</v>
      </c>
    </row>
    <row r="748" spans="2:5">
      <c r="B748" s="252">
        <v>44762</v>
      </c>
      <c r="C748" s="251">
        <v>452.05</v>
      </c>
      <c r="D748" s="251">
        <f t="shared" si="14"/>
        <v>-0.26816040408619213</v>
      </c>
      <c r="E748" s="251">
        <v>9.783992673174426E-3</v>
      </c>
    </row>
    <row r="749" spans="2:5">
      <c r="B749" s="252">
        <v>45204</v>
      </c>
      <c r="C749" s="251">
        <v>617.69000000000005</v>
      </c>
      <c r="D749" s="251">
        <f t="shared" si="14"/>
        <v>0.31311649659863966</v>
      </c>
      <c r="E749" s="251">
        <v>9.7758741887495997E-3</v>
      </c>
    </row>
    <row r="750" spans="2:5">
      <c r="B750" s="252">
        <v>42828</v>
      </c>
      <c r="C750" s="251">
        <v>470.4</v>
      </c>
      <c r="D750" s="251">
        <f t="shared" si="14"/>
        <v>2.127659574468075E-2</v>
      </c>
      <c r="E750" s="251">
        <v>9.7670924117204128E-3</v>
      </c>
    </row>
    <row r="751" spans="2:5">
      <c r="B751" s="252">
        <v>42935</v>
      </c>
      <c r="C751" s="251">
        <v>460.6</v>
      </c>
      <c r="D751" s="251">
        <f t="shared" si="14"/>
        <v>-0.32695258274274858</v>
      </c>
      <c r="E751" s="251">
        <v>9.7555628630933804E-3</v>
      </c>
    </row>
    <row r="752" spans="2:5">
      <c r="B752" s="252">
        <v>45700</v>
      </c>
      <c r="C752" s="251">
        <v>684.35</v>
      </c>
      <c r="D752" s="251">
        <f t="shared" si="14"/>
        <v>-0.31439534347856574</v>
      </c>
      <c r="E752" s="251">
        <v>9.7381040206566179E-3</v>
      </c>
    </row>
    <row r="753" spans="2:5">
      <c r="B753" s="252">
        <v>45407</v>
      </c>
      <c r="C753" s="251">
        <v>998.17</v>
      </c>
      <c r="D753" s="251">
        <f t="shared" si="14"/>
        <v>1.1484502798105896</v>
      </c>
      <c r="E753" s="251">
        <v>9.6803560590733723E-3</v>
      </c>
    </row>
    <row r="754" spans="2:5">
      <c r="B754" s="252">
        <v>42937</v>
      </c>
      <c r="C754" s="251">
        <v>464.6</v>
      </c>
      <c r="D754" s="251">
        <f t="shared" si="14"/>
        <v>3.4395604395604398</v>
      </c>
      <c r="E754" s="251">
        <v>9.67075953493436E-3</v>
      </c>
    </row>
    <row r="755" spans="2:5">
      <c r="B755" s="252">
        <v>44043</v>
      </c>
      <c r="C755" s="251">
        <v>104.65</v>
      </c>
      <c r="D755" s="251">
        <f t="shared" si="14"/>
        <v>-0.76501627933086347</v>
      </c>
      <c r="E755" s="251">
        <v>9.6478533526290402E-3</v>
      </c>
    </row>
    <row r="756" spans="2:5">
      <c r="B756" s="252">
        <v>42711</v>
      </c>
      <c r="C756" s="251">
        <v>445.35</v>
      </c>
      <c r="D756" s="251">
        <f t="shared" si="14"/>
        <v>2.2382920110192835E-2</v>
      </c>
      <c r="E756" s="251">
        <v>9.6350034005894345E-3</v>
      </c>
    </row>
    <row r="757" spans="2:5">
      <c r="B757" s="252">
        <v>42951</v>
      </c>
      <c r="C757" s="251">
        <v>435.6</v>
      </c>
      <c r="D757" s="251">
        <f t="shared" si="14"/>
        <v>-0.39314572304263018</v>
      </c>
      <c r="E757" s="251">
        <v>9.6187275466451134E-3</v>
      </c>
    </row>
    <row r="758" spans="2:5">
      <c r="B758" s="252">
        <v>45817</v>
      </c>
      <c r="C758" s="251">
        <v>717.8</v>
      </c>
      <c r="D758" s="251">
        <f t="shared" si="14"/>
        <v>3.2050380785002925</v>
      </c>
      <c r="E758" s="251">
        <v>9.5639943741208933E-3</v>
      </c>
    </row>
    <row r="759" spans="2:5">
      <c r="B759" s="252">
        <v>44158</v>
      </c>
      <c r="C759" s="251">
        <v>170.7</v>
      </c>
      <c r="D759" s="251">
        <f t="shared" si="14"/>
        <v>-0.62355276215679789</v>
      </c>
      <c r="E759" s="251">
        <v>9.4618568894145137E-3</v>
      </c>
    </row>
    <row r="760" spans="2:5">
      <c r="B760" s="252">
        <v>42523</v>
      </c>
      <c r="C760" s="251">
        <v>453.45</v>
      </c>
      <c r="D760" s="251">
        <f t="shared" si="14"/>
        <v>0.10247994164843174</v>
      </c>
      <c r="E760" s="251">
        <v>9.4612644701691905E-3</v>
      </c>
    </row>
    <row r="761" spans="2:5">
      <c r="B761" s="252">
        <v>42319</v>
      </c>
      <c r="C761" s="251">
        <v>411.3</v>
      </c>
      <c r="D761" s="251">
        <f t="shared" si="14"/>
        <v>2.0671140939597321</v>
      </c>
      <c r="E761" s="251">
        <v>9.4490121487299621E-3</v>
      </c>
    </row>
    <row r="762" spans="2:5">
      <c r="B762" s="252">
        <v>44138</v>
      </c>
      <c r="C762" s="251">
        <v>134.1</v>
      </c>
      <c r="D762" s="251">
        <f t="shared" si="14"/>
        <v>-0.59772011399430036</v>
      </c>
      <c r="E762" s="251">
        <v>9.4091080165600305E-3</v>
      </c>
    </row>
    <row r="763" spans="2:5">
      <c r="B763" s="252">
        <v>44469</v>
      </c>
      <c r="C763" s="251">
        <v>333.35</v>
      </c>
      <c r="D763" s="251">
        <f t="shared" si="14"/>
        <v>-0.25657894736842096</v>
      </c>
      <c r="E763" s="251">
        <v>9.3868281604845508E-3</v>
      </c>
    </row>
    <row r="764" spans="2:5">
      <c r="B764" s="252">
        <v>42535</v>
      </c>
      <c r="C764" s="251">
        <v>448.4</v>
      </c>
      <c r="D764" s="251">
        <f t="shared" si="14"/>
        <v>0.30805134189031497</v>
      </c>
      <c r="E764" s="251">
        <v>9.3415869442880755E-3</v>
      </c>
    </row>
    <row r="765" spans="2:5">
      <c r="B765" s="252">
        <v>44375</v>
      </c>
      <c r="C765" s="251">
        <v>342.8</v>
      </c>
      <c r="D765" s="251">
        <f t="shared" si="14"/>
        <v>-0.33040335970309598</v>
      </c>
      <c r="E765" s="251">
        <v>9.2742529074047817E-3</v>
      </c>
    </row>
    <row r="766" spans="2:5">
      <c r="B766" s="252">
        <v>44574</v>
      </c>
      <c r="C766" s="251">
        <v>511.95</v>
      </c>
      <c r="D766" s="251">
        <f t="shared" si="14"/>
        <v>-0.10394861203486547</v>
      </c>
      <c r="E766" s="251">
        <v>9.2656481025135302E-3</v>
      </c>
    </row>
    <row r="767" spans="2:5">
      <c r="B767" s="252">
        <v>45104</v>
      </c>
      <c r="C767" s="251">
        <v>571.34</v>
      </c>
      <c r="D767" s="251">
        <f t="shared" si="14"/>
        <v>0.6863636363636364</v>
      </c>
      <c r="E767" s="251">
        <v>9.2563151386680954E-3</v>
      </c>
    </row>
    <row r="768" spans="2:5">
      <c r="B768" s="252">
        <v>43179</v>
      </c>
      <c r="C768" s="251">
        <v>338.8</v>
      </c>
      <c r="D768" s="251">
        <f t="shared" si="14"/>
        <v>-0.22568849274368644</v>
      </c>
      <c r="E768" s="251">
        <v>9.2344355078940212E-3</v>
      </c>
    </row>
    <row r="769" spans="2:5">
      <c r="B769" s="252">
        <v>43109</v>
      </c>
      <c r="C769" s="251">
        <v>437.55</v>
      </c>
      <c r="D769" s="251">
        <f t="shared" si="14"/>
        <v>9.524405506883607E-2</v>
      </c>
      <c r="E769" s="251">
        <v>9.2261561526928836E-3</v>
      </c>
    </row>
    <row r="770" spans="2:5">
      <c r="B770" s="252">
        <v>43131</v>
      </c>
      <c r="C770" s="251">
        <v>399.5</v>
      </c>
      <c r="D770" s="251">
        <f t="shared" si="14"/>
        <v>-5.3093150035553399E-2</v>
      </c>
      <c r="E770" s="251">
        <v>9.220664393078129E-3</v>
      </c>
    </row>
    <row r="771" spans="2:5">
      <c r="B771" s="252">
        <v>43122</v>
      </c>
      <c r="C771" s="251">
        <v>421.9</v>
      </c>
      <c r="D771" s="251">
        <f t="shared" si="14"/>
        <v>1.4803057025279247</v>
      </c>
      <c r="E771" s="251">
        <v>9.209424709962841E-3</v>
      </c>
    </row>
    <row r="772" spans="2:5">
      <c r="B772" s="252">
        <v>43787</v>
      </c>
      <c r="C772" s="251">
        <v>170.1</v>
      </c>
      <c r="D772" s="251">
        <f t="shared" si="14"/>
        <v>-0.76277804895056123</v>
      </c>
      <c r="E772" s="251">
        <v>9.1960842479975255E-3</v>
      </c>
    </row>
    <row r="773" spans="2:5">
      <c r="B773" s="252">
        <v>45693</v>
      </c>
      <c r="C773" s="251">
        <v>717.05</v>
      </c>
      <c r="D773" s="251">
        <f t="shared" si="14"/>
        <v>-1.0214645593208766E-2</v>
      </c>
      <c r="E773" s="251">
        <v>9.1478432200408147E-3</v>
      </c>
    </row>
    <row r="774" spans="2:5">
      <c r="B774" s="252">
        <v>45806</v>
      </c>
      <c r="C774" s="251">
        <v>724.45</v>
      </c>
      <c r="D774" s="251">
        <f t="shared" si="14"/>
        <v>-0.27742868541791338</v>
      </c>
      <c r="E774" s="251">
        <v>9.0535552615084603E-3</v>
      </c>
    </row>
    <row r="775" spans="2:5">
      <c r="B775" s="252">
        <v>45481</v>
      </c>
      <c r="C775" s="267">
        <v>1002.6</v>
      </c>
      <c r="D775" s="251">
        <f t="shared" si="14"/>
        <v>0.27484264733930952</v>
      </c>
      <c r="E775" s="251">
        <v>9.0071956926483631E-3</v>
      </c>
    </row>
    <row r="776" spans="2:5">
      <c r="B776" s="252">
        <v>45625</v>
      </c>
      <c r="C776" s="251">
        <v>786.45</v>
      </c>
      <c r="D776" s="251">
        <f t="shared" si="14"/>
        <v>3.665974488282409</v>
      </c>
      <c r="E776" s="251">
        <v>8.9806915132465189E-3</v>
      </c>
    </row>
    <row r="777" spans="2:5">
      <c r="B777" s="252">
        <v>43784</v>
      </c>
      <c r="C777" s="251">
        <v>168.55</v>
      </c>
      <c r="D777" s="251">
        <f t="shared" si="14"/>
        <v>-0.72882310353149382</v>
      </c>
      <c r="E777" s="251">
        <v>8.9793475007482783E-3</v>
      </c>
    </row>
    <row r="778" spans="2:5">
      <c r="B778" s="252">
        <v>45764</v>
      </c>
      <c r="C778" s="251">
        <v>621.54999999999995</v>
      </c>
      <c r="D778" s="251">
        <f t="shared" ref="D778:D841" si="15">(C778-C779)/C779</f>
        <v>-0.33549649332877185</v>
      </c>
      <c r="E778" s="251">
        <v>8.927846765684604E-3</v>
      </c>
    </row>
    <row r="779" spans="2:5">
      <c r="B779" s="252">
        <v>45449</v>
      </c>
      <c r="C779" s="251">
        <v>935.36</v>
      </c>
      <c r="D779" s="251">
        <f t="shared" si="15"/>
        <v>0.15030622033106233</v>
      </c>
      <c r="E779" s="251">
        <v>8.9203852916113664E-3</v>
      </c>
    </row>
    <row r="780" spans="2:5">
      <c r="B780" s="252">
        <v>45302</v>
      </c>
      <c r="C780" s="251">
        <v>813.14</v>
      </c>
      <c r="D780" s="251">
        <f t="shared" si="15"/>
        <v>1.0310220801278849</v>
      </c>
      <c r="E780" s="251">
        <v>8.9086307012754343E-3</v>
      </c>
    </row>
    <row r="781" spans="2:5">
      <c r="B781" s="252">
        <v>44858</v>
      </c>
      <c r="C781" s="251">
        <v>400.36</v>
      </c>
      <c r="D781" s="251">
        <f t="shared" si="15"/>
        <v>1.2728356514334374</v>
      </c>
      <c r="E781" s="251">
        <v>8.8954968122370529E-3</v>
      </c>
    </row>
    <row r="782" spans="2:5">
      <c r="B782" s="252">
        <v>43826</v>
      </c>
      <c r="C782" s="251">
        <v>176.15</v>
      </c>
      <c r="D782" s="251">
        <f t="shared" si="15"/>
        <v>0.34774292272379509</v>
      </c>
      <c r="E782" s="251">
        <v>8.8774341351661595E-3</v>
      </c>
    </row>
    <row r="783" spans="2:5">
      <c r="B783" s="252">
        <v>43679</v>
      </c>
      <c r="C783" s="251">
        <v>130.69999999999999</v>
      </c>
      <c r="D783" s="251">
        <f t="shared" si="15"/>
        <v>-0.71648590021691971</v>
      </c>
      <c r="E783" s="251">
        <v>8.8768815129291953E-3</v>
      </c>
    </row>
    <row r="784" spans="2:5">
      <c r="B784" s="252">
        <v>42928</v>
      </c>
      <c r="C784" s="251">
        <v>461</v>
      </c>
      <c r="D784" s="251">
        <f t="shared" si="15"/>
        <v>-0.37715327974059309</v>
      </c>
      <c r="E784" s="251">
        <v>8.8631141262720467E-3</v>
      </c>
    </row>
    <row r="785" spans="2:5">
      <c r="B785" s="252">
        <v>45657</v>
      </c>
      <c r="C785" s="251">
        <v>740.15</v>
      </c>
      <c r="D785" s="251">
        <f t="shared" si="15"/>
        <v>1.4050365556458164</v>
      </c>
      <c r="E785" s="251">
        <v>8.8598105363592999E-3</v>
      </c>
    </row>
    <row r="786" spans="2:5">
      <c r="B786" s="252">
        <v>44292</v>
      </c>
      <c r="C786" s="251">
        <v>307.75</v>
      </c>
      <c r="D786" s="251">
        <f t="shared" si="15"/>
        <v>-0.54370227592853437</v>
      </c>
      <c r="E786" s="251">
        <v>8.8510080314702123E-3</v>
      </c>
    </row>
    <row r="787" spans="2:5">
      <c r="B787" s="252">
        <v>45744</v>
      </c>
      <c r="C787" s="251">
        <v>674.45</v>
      </c>
      <c r="D787" s="251">
        <f t="shared" si="15"/>
        <v>0.60335195530726271</v>
      </c>
      <c r="E787" s="251">
        <v>8.8250691795678585E-3</v>
      </c>
    </row>
    <row r="788" spans="2:5">
      <c r="B788" s="252">
        <v>44707</v>
      </c>
      <c r="C788" s="251">
        <v>420.65</v>
      </c>
      <c r="D788" s="251">
        <f t="shared" si="15"/>
        <v>-0.41460936847671803</v>
      </c>
      <c r="E788" s="251">
        <v>8.7529976019184112E-3</v>
      </c>
    </row>
    <row r="789" spans="2:5">
      <c r="B789" s="252">
        <v>45271</v>
      </c>
      <c r="C789" s="251">
        <v>718.58</v>
      </c>
      <c r="D789" s="251">
        <f t="shared" si="15"/>
        <v>4.6577337605592802E-2</v>
      </c>
      <c r="E789" s="251">
        <v>8.7457008493016328E-3</v>
      </c>
    </row>
    <row r="790" spans="2:5">
      <c r="B790" s="252">
        <v>45705</v>
      </c>
      <c r="C790" s="251">
        <v>686.6</v>
      </c>
      <c r="D790" s="251">
        <f t="shared" si="15"/>
        <v>0.58983027299881907</v>
      </c>
      <c r="E790" s="251">
        <v>8.7416440167487636E-3</v>
      </c>
    </row>
    <row r="791" spans="2:5">
      <c r="B791" s="252">
        <v>44980</v>
      </c>
      <c r="C791" s="251">
        <v>431.87</v>
      </c>
      <c r="D791" s="251">
        <f t="shared" si="15"/>
        <v>5.1469335086309707E-2</v>
      </c>
      <c r="E791" s="251">
        <v>8.7356644009997184E-3</v>
      </c>
    </row>
    <row r="792" spans="2:5">
      <c r="B792" s="252">
        <v>44747</v>
      </c>
      <c r="C792" s="251">
        <v>410.73</v>
      </c>
      <c r="D792" s="251">
        <f t="shared" si="15"/>
        <v>0.1906943035222497</v>
      </c>
      <c r="E792" s="251">
        <v>8.693730199661142E-3</v>
      </c>
    </row>
    <row r="793" spans="2:5">
      <c r="B793" s="252">
        <v>44474</v>
      </c>
      <c r="C793" s="251">
        <v>344.95</v>
      </c>
      <c r="D793" s="251">
        <f t="shared" si="15"/>
        <v>-0.16843450171158575</v>
      </c>
      <c r="E793" s="251">
        <v>8.625730994152014E-3</v>
      </c>
    </row>
    <row r="794" spans="2:5">
      <c r="B794" s="252">
        <v>45007</v>
      </c>
      <c r="C794" s="251">
        <v>414.82</v>
      </c>
      <c r="D794" s="251">
        <f t="shared" si="15"/>
        <v>-0.11374610092723157</v>
      </c>
      <c r="E794" s="251">
        <v>8.6072748492511692E-3</v>
      </c>
    </row>
    <row r="795" spans="2:5">
      <c r="B795" s="252">
        <v>45029</v>
      </c>
      <c r="C795" s="251">
        <v>468.06</v>
      </c>
      <c r="D795" s="251">
        <f t="shared" si="15"/>
        <v>3.4135785007072137</v>
      </c>
      <c r="E795" s="251">
        <v>8.5978408429762954E-3</v>
      </c>
    </row>
    <row r="796" spans="2:5">
      <c r="B796" s="252">
        <v>44035</v>
      </c>
      <c r="C796" s="251">
        <v>106.05</v>
      </c>
      <c r="D796" s="251">
        <f t="shared" si="15"/>
        <v>-0.74952171756536523</v>
      </c>
      <c r="E796" s="251">
        <v>8.5592011412267376E-3</v>
      </c>
    </row>
    <row r="797" spans="2:5">
      <c r="B797" s="252">
        <v>44887</v>
      </c>
      <c r="C797" s="251">
        <v>423.39</v>
      </c>
      <c r="D797" s="251">
        <f t="shared" si="15"/>
        <v>-0.1062819267952886</v>
      </c>
      <c r="E797" s="251">
        <v>8.5516912815625894E-3</v>
      </c>
    </row>
    <row r="798" spans="2:5">
      <c r="B798" s="252">
        <v>45040</v>
      </c>
      <c r="C798" s="251">
        <v>473.74</v>
      </c>
      <c r="D798" s="251">
        <f t="shared" si="15"/>
        <v>-7.8971926277315502E-2</v>
      </c>
      <c r="E798" s="251">
        <v>8.4938797232570716E-3</v>
      </c>
    </row>
    <row r="799" spans="2:5">
      <c r="B799" s="252">
        <v>45058</v>
      </c>
      <c r="C799" s="251">
        <v>514.36</v>
      </c>
      <c r="D799" s="251">
        <f t="shared" si="15"/>
        <v>-0.22190454579835103</v>
      </c>
      <c r="E799" s="251">
        <v>8.4896966845088347E-3</v>
      </c>
    </row>
    <row r="800" spans="2:5">
      <c r="B800" s="252">
        <v>45733</v>
      </c>
      <c r="C800" s="251">
        <v>661.05</v>
      </c>
      <c r="D800" s="251">
        <f t="shared" si="15"/>
        <v>-0.37774744669835741</v>
      </c>
      <c r="E800" s="251">
        <v>8.4668192219678941E-3</v>
      </c>
    </row>
    <row r="801" spans="2:5">
      <c r="B801" s="252">
        <v>45518</v>
      </c>
      <c r="C801" s="267">
        <v>1062.3499999999999</v>
      </c>
      <c r="D801" s="251">
        <f t="shared" si="15"/>
        <v>1.4449379761110215</v>
      </c>
      <c r="E801" s="251">
        <v>8.4484313446294215E-3</v>
      </c>
    </row>
    <row r="802" spans="2:5">
      <c r="B802" s="252">
        <v>44995</v>
      </c>
      <c r="C802" s="251">
        <v>434.51</v>
      </c>
      <c r="D802" s="251">
        <f t="shared" si="15"/>
        <v>-0.11819381024860479</v>
      </c>
      <c r="E802" s="251">
        <v>8.4480237658690234E-3</v>
      </c>
    </row>
    <row r="803" spans="2:5">
      <c r="B803" s="252">
        <v>44525</v>
      </c>
      <c r="C803" s="251">
        <v>492.75</v>
      </c>
      <c r="D803" s="251">
        <f t="shared" si="15"/>
        <v>0.10847411873214413</v>
      </c>
      <c r="E803" s="251">
        <v>8.3904635219482718E-3</v>
      </c>
    </row>
    <row r="804" spans="2:5">
      <c r="B804" s="252">
        <v>44813</v>
      </c>
      <c r="C804" s="251">
        <v>444.53</v>
      </c>
      <c r="D804" s="251">
        <f t="shared" si="15"/>
        <v>1.5293314366998576</v>
      </c>
      <c r="E804" s="251">
        <v>8.3703838127211633E-3</v>
      </c>
    </row>
    <row r="805" spans="2:5">
      <c r="B805" s="252">
        <v>43521</v>
      </c>
      <c r="C805" s="251">
        <v>175.75</v>
      </c>
      <c r="D805" s="251">
        <f t="shared" si="15"/>
        <v>-9.8024121118809315E-2</v>
      </c>
      <c r="E805" s="251">
        <v>8.3189902467010243E-3</v>
      </c>
    </row>
    <row r="806" spans="2:5">
      <c r="B806" s="252">
        <v>43411</v>
      </c>
      <c r="C806" s="251">
        <v>194.85</v>
      </c>
      <c r="D806" s="251">
        <f t="shared" si="15"/>
        <v>-0.47592791823561059</v>
      </c>
      <c r="E806" s="251">
        <v>8.2794307891332179E-3</v>
      </c>
    </row>
    <row r="807" spans="2:5">
      <c r="B807" s="252">
        <v>43143</v>
      </c>
      <c r="C807" s="251">
        <v>371.8</v>
      </c>
      <c r="D807" s="251">
        <f t="shared" si="15"/>
        <v>1.102346621430591</v>
      </c>
      <c r="E807" s="251">
        <v>8.2711864406779974E-3</v>
      </c>
    </row>
    <row r="808" spans="2:5">
      <c r="B808" s="252">
        <v>43602</v>
      </c>
      <c r="C808" s="251">
        <v>176.85</v>
      </c>
      <c r="D808" s="251">
        <f t="shared" si="15"/>
        <v>-0.58037726895242614</v>
      </c>
      <c r="E808" s="251">
        <v>8.2668187001139603E-3</v>
      </c>
    </row>
    <row r="809" spans="2:5">
      <c r="B809" s="252">
        <v>44704</v>
      </c>
      <c r="C809" s="251">
        <v>421.45</v>
      </c>
      <c r="D809" s="251">
        <f t="shared" si="15"/>
        <v>-6.7794735677947429E-2</v>
      </c>
      <c r="E809" s="251">
        <v>8.2535885167463845E-3</v>
      </c>
    </row>
    <row r="810" spans="2:5">
      <c r="B810" s="252">
        <v>42536</v>
      </c>
      <c r="C810" s="251">
        <v>452.1</v>
      </c>
      <c r="D810" s="251">
        <f t="shared" si="15"/>
        <v>-0.27544593490071639</v>
      </c>
      <c r="E810" s="251">
        <v>8.2515611061553199E-3</v>
      </c>
    </row>
    <row r="811" spans="2:5">
      <c r="B811" s="252">
        <v>45182</v>
      </c>
      <c r="C811" s="251">
        <v>623.97</v>
      </c>
      <c r="D811" s="251">
        <f t="shared" si="15"/>
        <v>0.91607554122524204</v>
      </c>
      <c r="E811" s="251">
        <v>8.2082437913038528E-3</v>
      </c>
    </row>
    <row r="812" spans="2:5">
      <c r="B812" s="252">
        <v>44350</v>
      </c>
      <c r="C812" s="251">
        <v>325.64999999999998</v>
      </c>
      <c r="D812" s="251">
        <f t="shared" si="15"/>
        <v>-0.23005083343184776</v>
      </c>
      <c r="E812" s="251">
        <v>8.204334365325007E-3</v>
      </c>
    </row>
    <row r="813" spans="2:5">
      <c r="B813" s="252">
        <v>45019</v>
      </c>
      <c r="C813" s="251">
        <v>422.95</v>
      </c>
      <c r="D813" s="251">
        <f t="shared" si="15"/>
        <v>0.43106073422432745</v>
      </c>
      <c r="E813" s="251">
        <v>8.2000429072012528E-3</v>
      </c>
    </row>
    <row r="814" spans="2:5">
      <c r="B814" s="252">
        <v>44442</v>
      </c>
      <c r="C814" s="251">
        <v>295.55</v>
      </c>
      <c r="D814" s="251">
        <f t="shared" si="15"/>
        <v>-0.33251276028727578</v>
      </c>
      <c r="E814" s="251">
        <v>8.1869350162034251E-3</v>
      </c>
    </row>
    <row r="815" spans="2:5">
      <c r="B815" s="252">
        <v>44972</v>
      </c>
      <c r="C815" s="251">
        <v>442.78</v>
      </c>
      <c r="D815" s="251">
        <f t="shared" si="15"/>
        <v>0.10034791252485088</v>
      </c>
      <c r="E815" s="251">
        <v>8.1511839708560668E-3</v>
      </c>
    </row>
    <row r="816" spans="2:5">
      <c r="B816" s="252">
        <v>42346</v>
      </c>
      <c r="C816" s="251">
        <v>402.4</v>
      </c>
      <c r="D816" s="251">
        <f t="shared" si="15"/>
        <v>1.1651869787463007</v>
      </c>
      <c r="E816" s="251">
        <v>8.1423023925842417E-3</v>
      </c>
    </row>
    <row r="817" spans="2:5">
      <c r="B817" s="252">
        <v>43389</v>
      </c>
      <c r="C817" s="251">
        <v>185.85</v>
      </c>
      <c r="D817" s="251">
        <f t="shared" si="15"/>
        <v>-0.52988642400020236</v>
      </c>
      <c r="E817" s="251">
        <v>8.1366965012205049E-3</v>
      </c>
    </row>
    <row r="818" spans="2:5">
      <c r="B818" s="252">
        <v>44846</v>
      </c>
      <c r="C818" s="251">
        <v>395.33</v>
      </c>
      <c r="D818" s="251">
        <f t="shared" si="15"/>
        <v>-0.17484867459820505</v>
      </c>
      <c r="E818" s="251">
        <v>8.1348497985413316E-3</v>
      </c>
    </row>
    <row r="819" spans="2:5">
      <c r="B819" s="252">
        <v>44532</v>
      </c>
      <c r="C819" s="251">
        <v>479.1</v>
      </c>
      <c r="D819" s="251">
        <f t="shared" si="15"/>
        <v>9.9231386945049904E-2</v>
      </c>
      <c r="E819" s="251">
        <v>8.1009994739611214E-3</v>
      </c>
    </row>
    <row r="820" spans="2:5">
      <c r="B820" s="252">
        <v>44719</v>
      </c>
      <c r="C820" s="251">
        <v>435.85</v>
      </c>
      <c r="D820" s="251">
        <f t="shared" si="15"/>
        <v>1.7974967907573811</v>
      </c>
      <c r="E820" s="251">
        <v>8.0952931652596271E-3</v>
      </c>
    </row>
    <row r="821" spans="2:5">
      <c r="B821" s="252">
        <v>43655</v>
      </c>
      <c r="C821" s="251">
        <v>155.80000000000001</v>
      </c>
      <c r="D821" s="251">
        <f t="shared" si="15"/>
        <v>-0.53754823389729889</v>
      </c>
      <c r="E821" s="251">
        <v>8.0879974118408283E-3</v>
      </c>
    </row>
    <row r="822" spans="2:5">
      <c r="B822" s="252">
        <v>42398</v>
      </c>
      <c r="C822" s="251">
        <v>336.9</v>
      </c>
      <c r="D822" s="251">
        <f t="shared" si="15"/>
        <v>-0.16804543770835909</v>
      </c>
      <c r="E822" s="251">
        <v>8.0789946140035571E-3</v>
      </c>
    </row>
    <row r="823" spans="2:5">
      <c r="B823" s="252">
        <v>42996</v>
      </c>
      <c r="C823" s="251">
        <v>404.95</v>
      </c>
      <c r="D823" s="251">
        <f t="shared" si="15"/>
        <v>-6.0113728675873349E-2</v>
      </c>
      <c r="E823" s="251">
        <v>7.9651524579962378E-3</v>
      </c>
    </row>
    <row r="824" spans="2:5">
      <c r="B824" s="252">
        <v>42867</v>
      </c>
      <c r="C824" s="251">
        <v>430.85</v>
      </c>
      <c r="D824" s="251">
        <f t="shared" si="15"/>
        <v>0.23629842180774754</v>
      </c>
      <c r="E824" s="251">
        <v>7.9541466838227489E-3</v>
      </c>
    </row>
    <row r="825" spans="2:5">
      <c r="B825" s="252">
        <v>44258</v>
      </c>
      <c r="C825" s="251">
        <v>348.5</v>
      </c>
      <c r="D825" s="251">
        <f t="shared" si="15"/>
        <v>2.4318069916297391</v>
      </c>
      <c r="E825" s="251">
        <v>7.9537237888647871E-3</v>
      </c>
    </row>
    <row r="826" spans="2:5">
      <c r="B826" s="252">
        <v>44014</v>
      </c>
      <c r="C826" s="251">
        <v>101.55</v>
      </c>
      <c r="D826" s="251">
        <f t="shared" si="15"/>
        <v>-0.7568887505685763</v>
      </c>
      <c r="E826" s="251">
        <v>7.9404466501240417E-3</v>
      </c>
    </row>
    <row r="827" spans="2:5">
      <c r="B827" s="252">
        <v>45002</v>
      </c>
      <c r="C827" s="251">
        <v>417.71</v>
      </c>
      <c r="D827" s="251">
        <f t="shared" si="15"/>
        <v>-4.1509866911427329E-2</v>
      </c>
      <c r="E827" s="251">
        <v>7.938806042179343E-3</v>
      </c>
    </row>
    <row r="828" spans="2:5">
      <c r="B828" s="252">
        <v>44880</v>
      </c>
      <c r="C828" s="251">
        <v>435.8</v>
      </c>
      <c r="D828" s="251">
        <f t="shared" si="15"/>
        <v>1.5329845975007264</v>
      </c>
      <c r="E828" s="251">
        <v>7.9330203298101313E-3</v>
      </c>
    </row>
    <row r="829" spans="2:5">
      <c r="B829" s="252">
        <v>44159</v>
      </c>
      <c r="C829" s="251">
        <v>172.05</v>
      </c>
      <c r="D829" s="251">
        <f t="shared" si="15"/>
        <v>-7.0753443154199264E-2</v>
      </c>
      <c r="E829" s="251">
        <v>7.908611599297146E-3</v>
      </c>
    </row>
    <row r="830" spans="2:5">
      <c r="B830" s="252">
        <v>43830</v>
      </c>
      <c r="C830" s="251">
        <v>185.15</v>
      </c>
      <c r="D830" s="251">
        <f t="shared" si="15"/>
        <v>-0.53829081569038173</v>
      </c>
      <c r="E830" s="251">
        <v>7.893304300490022E-3</v>
      </c>
    </row>
    <row r="831" spans="2:5">
      <c r="B831" s="252">
        <v>44833</v>
      </c>
      <c r="C831" s="251">
        <v>401.01</v>
      </c>
      <c r="D831" s="251">
        <f t="shared" si="15"/>
        <v>-0.50876483774943959</v>
      </c>
      <c r="E831" s="251">
        <v>7.8920250333023006E-3</v>
      </c>
    </row>
    <row r="832" spans="2:5">
      <c r="B832" s="252">
        <v>45307</v>
      </c>
      <c r="C832" s="251">
        <v>816.33</v>
      </c>
      <c r="D832" s="251">
        <f t="shared" si="15"/>
        <v>0.72421586228746448</v>
      </c>
      <c r="E832" s="251">
        <v>7.8770294462621095E-3</v>
      </c>
    </row>
    <row r="833" spans="2:5">
      <c r="B833" s="252">
        <v>42809</v>
      </c>
      <c r="C833" s="251">
        <v>473.45</v>
      </c>
      <c r="D833" s="251">
        <f t="shared" si="15"/>
        <v>-0.21780002643404703</v>
      </c>
      <c r="E833" s="251">
        <v>7.8765300691857124E-3</v>
      </c>
    </row>
    <row r="834" spans="2:5">
      <c r="B834" s="252">
        <v>45167</v>
      </c>
      <c r="C834" s="251">
        <v>605.28</v>
      </c>
      <c r="D834" s="251">
        <f t="shared" si="15"/>
        <v>0.22427184466019418</v>
      </c>
      <c r="E834" s="251">
        <v>7.876113562567677E-3</v>
      </c>
    </row>
    <row r="835" spans="2:5">
      <c r="B835" s="252">
        <v>44588</v>
      </c>
      <c r="C835" s="251">
        <v>494.4</v>
      </c>
      <c r="D835" s="251">
        <f t="shared" si="15"/>
        <v>5.9830508474576272</v>
      </c>
      <c r="E835" s="251">
        <v>7.8483335032106128E-3</v>
      </c>
    </row>
    <row r="836" spans="2:5">
      <c r="B836" s="252">
        <v>43916</v>
      </c>
      <c r="C836" s="251">
        <v>70.8</v>
      </c>
      <c r="D836" s="251">
        <f t="shared" si="15"/>
        <v>-0.84571802135541507</v>
      </c>
      <c r="E836" s="251">
        <v>7.8291814946618819E-3</v>
      </c>
    </row>
    <row r="837" spans="2:5">
      <c r="B837" s="252">
        <v>42853</v>
      </c>
      <c r="C837" s="251">
        <v>458.9</v>
      </c>
      <c r="D837" s="251">
        <f t="shared" si="15"/>
        <v>0.18288439231859774</v>
      </c>
      <c r="E837" s="251">
        <v>7.7962007247171505E-3</v>
      </c>
    </row>
    <row r="838" spans="2:5">
      <c r="B838" s="252">
        <v>42310</v>
      </c>
      <c r="C838" s="251">
        <v>387.95</v>
      </c>
      <c r="D838" s="251">
        <f t="shared" si="15"/>
        <v>3.6129607609988112</v>
      </c>
      <c r="E838" s="251">
        <v>7.7932198986881418E-3</v>
      </c>
    </row>
    <row r="839" spans="2:5">
      <c r="B839" s="252">
        <v>43972</v>
      </c>
      <c r="C839" s="251">
        <v>84.1</v>
      </c>
      <c r="D839" s="251">
        <f t="shared" si="15"/>
        <v>-0.79308648050190678</v>
      </c>
      <c r="E839" s="251">
        <v>7.7890952666266203E-3</v>
      </c>
    </row>
    <row r="840" spans="2:5">
      <c r="B840" s="252">
        <v>44861</v>
      </c>
      <c r="C840" s="251">
        <v>406.45</v>
      </c>
      <c r="D840" s="251">
        <f t="shared" si="15"/>
        <v>1.4950890116635971</v>
      </c>
      <c r="E840" s="251">
        <v>7.7855743720710779E-3</v>
      </c>
    </row>
    <row r="841" spans="2:5">
      <c r="B841" s="252">
        <v>43514</v>
      </c>
      <c r="C841" s="251">
        <v>162.9</v>
      </c>
      <c r="D841" s="251">
        <f t="shared" si="15"/>
        <v>-0.5783070152731038</v>
      </c>
      <c r="E841" s="251">
        <v>7.7327559542220842E-3</v>
      </c>
    </row>
    <row r="842" spans="2:5">
      <c r="B842" s="252">
        <v>42305</v>
      </c>
      <c r="C842" s="251">
        <v>386.3</v>
      </c>
      <c r="D842" s="251">
        <f t="shared" ref="D842:D905" si="16">(C842-C843)/C843</f>
        <v>-0.61113348097443121</v>
      </c>
      <c r="E842" s="251">
        <v>7.6953175948871484E-3</v>
      </c>
    </row>
    <row r="843" spans="2:5">
      <c r="B843" s="252">
        <v>45457</v>
      </c>
      <c r="C843" s="251">
        <v>993.4</v>
      </c>
      <c r="D843" s="251">
        <f t="shared" si="16"/>
        <v>0.62052821324285079</v>
      </c>
      <c r="E843" s="251">
        <v>7.658365877161794E-3</v>
      </c>
    </row>
    <row r="844" spans="2:5">
      <c r="B844" s="252">
        <v>45176</v>
      </c>
      <c r="C844" s="251">
        <v>613.01</v>
      </c>
      <c r="D844" s="251">
        <f t="shared" si="16"/>
        <v>-9.0205143956417662E-3</v>
      </c>
      <c r="E844" s="251">
        <v>7.6269375544487502E-3</v>
      </c>
    </row>
    <row r="845" spans="2:5">
      <c r="B845" s="252">
        <v>45159</v>
      </c>
      <c r="C845" s="251">
        <v>618.59</v>
      </c>
      <c r="D845" s="251">
        <f t="shared" si="16"/>
        <v>0.31293643213414002</v>
      </c>
      <c r="E845" s="251">
        <v>7.62326725415788E-3</v>
      </c>
    </row>
    <row r="846" spans="2:5">
      <c r="B846" s="252">
        <v>44557</v>
      </c>
      <c r="C846" s="251">
        <v>471.15</v>
      </c>
      <c r="D846" s="251">
        <f t="shared" si="16"/>
        <v>-0.54009468495290158</v>
      </c>
      <c r="E846" s="251">
        <v>7.5919589392642308E-3</v>
      </c>
    </row>
    <row r="847" spans="2:5">
      <c r="B847" s="252">
        <v>45488</v>
      </c>
      <c r="C847" s="267">
        <v>1024.45</v>
      </c>
      <c r="D847" s="251">
        <f t="shared" si="16"/>
        <v>4.901209677419355</v>
      </c>
      <c r="E847" s="251">
        <v>7.573149741824485E-3</v>
      </c>
    </row>
    <row r="848" spans="2:5">
      <c r="B848" s="252">
        <v>43494</v>
      </c>
      <c r="C848" s="251">
        <v>173.6</v>
      </c>
      <c r="D848" s="251">
        <f t="shared" si="16"/>
        <v>-0.83868419829949359</v>
      </c>
      <c r="E848" s="251">
        <v>7.5449796865930518E-3</v>
      </c>
    </row>
    <row r="849" spans="2:5">
      <c r="B849" s="252">
        <v>45516</v>
      </c>
      <c r="C849" s="267">
        <v>1076.1500000000001</v>
      </c>
      <c r="D849" s="251">
        <f t="shared" si="16"/>
        <v>0.51752097581611811</v>
      </c>
      <c r="E849" s="251">
        <v>7.5367474955530221E-3</v>
      </c>
    </row>
    <row r="850" spans="2:5">
      <c r="B850" s="252">
        <v>45812</v>
      </c>
      <c r="C850" s="251">
        <v>709.15</v>
      </c>
      <c r="D850" s="251">
        <f t="shared" si="16"/>
        <v>1.3544156706507304</v>
      </c>
      <c r="E850" s="251">
        <v>7.5300134971939391E-3</v>
      </c>
    </row>
    <row r="851" spans="2:5">
      <c r="B851" s="252">
        <v>44452</v>
      </c>
      <c r="C851" s="251">
        <v>301.2</v>
      </c>
      <c r="D851" s="251">
        <f t="shared" si="16"/>
        <v>-0.22759328118989613</v>
      </c>
      <c r="E851" s="251">
        <v>7.526342197691922E-3</v>
      </c>
    </row>
    <row r="852" spans="2:5">
      <c r="B852" s="252">
        <v>42503</v>
      </c>
      <c r="C852" s="251">
        <v>389.95</v>
      </c>
      <c r="D852" s="251">
        <f t="shared" si="16"/>
        <v>-5.1793313069908843E-2</v>
      </c>
      <c r="E852" s="251">
        <v>7.4925720191189177E-3</v>
      </c>
    </row>
    <row r="853" spans="2:5">
      <c r="B853" s="252">
        <v>43004</v>
      </c>
      <c r="C853" s="251">
        <v>411.25</v>
      </c>
      <c r="D853" s="251">
        <f t="shared" si="16"/>
        <v>0.1884120791793093</v>
      </c>
      <c r="E853" s="251">
        <v>7.4718275355218312E-3</v>
      </c>
    </row>
    <row r="854" spans="2:5">
      <c r="B854" s="252">
        <v>42437</v>
      </c>
      <c r="C854" s="251">
        <v>346.05</v>
      </c>
      <c r="D854" s="251">
        <f t="shared" si="16"/>
        <v>-0.22034471105103076</v>
      </c>
      <c r="E854" s="251">
        <v>7.4235807860262336E-3</v>
      </c>
    </row>
    <row r="855" spans="2:5">
      <c r="B855" s="252">
        <v>42849</v>
      </c>
      <c r="C855" s="251">
        <v>443.85</v>
      </c>
      <c r="D855" s="251">
        <f t="shared" si="16"/>
        <v>0.10051821179737676</v>
      </c>
      <c r="E855" s="251">
        <v>7.3763050385837487E-3</v>
      </c>
    </row>
    <row r="856" spans="2:5">
      <c r="B856" s="252">
        <v>44859</v>
      </c>
      <c r="C856" s="251">
        <v>403.31</v>
      </c>
      <c r="D856" s="251">
        <f t="shared" si="16"/>
        <v>-3.4820274733164243E-2</v>
      </c>
      <c r="E856" s="251">
        <v>7.3683684683784308E-3</v>
      </c>
    </row>
    <row r="857" spans="2:5">
      <c r="B857" s="252">
        <v>45008</v>
      </c>
      <c r="C857" s="251">
        <v>417.86</v>
      </c>
      <c r="D857" s="251">
        <f t="shared" si="16"/>
        <v>-0.36067931456548347</v>
      </c>
      <c r="E857" s="251">
        <v>7.3284798225736955E-3</v>
      </c>
    </row>
    <row r="858" spans="2:5">
      <c r="B858" s="252">
        <v>45873</v>
      </c>
      <c r="C858" s="251">
        <v>653.6</v>
      </c>
      <c r="D858" s="251">
        <f t="shared" si="16"/>
        <v>1.2058724265946676</v>
      </c>
      <c r="E858" s="251">
        <v>7.3206442166910681E-3</v>
      </c>
    </row>
    <row r="859" spans="2:5">
      <c r="B859" s="252">
        <v>43248</v>
      </c>
      <c r="C859" s="251">
        <v>296.3</v>
      </c>
      <c r="D859" s="251">
        <f t="shared" si="16"/>
        <v>-0.17327008928571419</v>
      </c>
      <c r="E859" s="251">
        <v>7.3091959884413879E-3</v>
      </c>
    </row>
    <row r="860" spans="2:5">
      <c r="B860" s="252">
        <v>43202</v>
      </c>
      <c r="C860" s="251">
        <v>358.4</v>
      </c>
      <c r="D860" s="251">
        <f t="shared" si="16"/>
        <v>-0.64331210191082799</v>
      </c>
      <c r="E860" s="251">
        <v>7.3074761101741591E-3</v>
      </c>
    </row>
    <row r="861" spans="2:5">
      <c r="B861" s="252">
        <v>45412</v>
      </c>
      <c r="C861" s="267">
        <v>1004.8</v>
      </c>
      <c r="D861" s="251">
        <f t="shared" si="16"/>
        <v>1.3773808115461967</v>
      </c>
      <c r="E861" s="251">
        <v>7.2980992862298226E-3</v>
      </c>
    </row>
    <row r="862" spans="2:5">
      <c r="B862" s="252">
        <v>42863</v>
      </c>
      <c r="C862" s="251">
        <v>422.65</v>
      </c>
      <c r="D862" s="251">
        <f t="shared" si="16"/>
        <v>1.6341539420380182</v>
      </c>
      <c r="E862" s="251">
        <v>7.268827454718671E-3</v>
      </c>
    </row>
    <row r="863" spans="2:5">
      <c r="B863" s="252">
        <v>43641</v>
      </c>
      <c r="C863" s="251">
        <v>160.44999999999999</v>
      </c>
      <c r="D863" s="251">
        <f t="shared" si="16"/>
        <v>-0.54904440697020807</v>
      </c>
      <c r="E863" s="251">
        <v>7.2190834902697877E-3</v>
      </c>
    </row>
    <row r="864" spans="2:5">
      <c r="B864" s="252">
        <v>43201</v>
      </c>
      <c r="C864" s="251">
        <v>355.8</v>
      </c>
      <c r="D864" s="251">
        <f t="shared" si="16"/>
        <v>-0.26214719727919367</v>
      </c>
      <c r="E864" s="251">
        <v>7.2186836518047031E-3</v>
      </c>
    </row>
    <row r="865" spans="2:5">
      <c r="B865" s="252">
        <v>45049</v>
      </c>
      <c r="C865" s="251">
        <v>482.21</v>
      </c>
      <c r="D865" s="251">
        <f t="shared" si="16"/>
        <v>-4.8989251553101333E-2</v>
      </c>
      <c r="E865" s="251">
        <v>7.1850784301439059E-3</v>
      </c>
    </row>
    <row r="866" spans="2:5">
      <c r="B866" s="252">
        <v>44512</v>
      </c>
      <c r="C866" s="251">
        <v>507.05</v>
      </c>
      <c r="D866" s="251">
        <f t="shared" si="16"/>
        <v>0.84080595389362878</v>
      </c>
      <c r="E866" s="251">
        <v>7.1506604429437343E-3</v>
      </c>
    </row>
    <row r="867" spans="2:5">
      <c r="B867" s="252">
        <v>43291</v>
      </c>
      <c r="C867" s="251">
        <v>275.45</v>
      </c>
      <c r="D867" s="251">
        <f t="shared" si="16"/>
        <v>0.3901085036588442</v>
      </c>
      <c r="E867" s="251">
        <v>7.1297989031078191E-3</v>
      </c>
    </row>
    <row r="868" spans="2:5">
      <c r="B868" s="252">
        <v>44204</v>
      </c>
      <c r="C868" s="251">
        <v>198.15</v>
      </c>
      <c r="D868" s="251">
        <f t="shared" si="16"/>
        <v>-0.58729067733066742</v>
      </c>
      <c r="E868" s="251">
        <v>7.1156289707751241E-3</v>
      </c>
    </row>
    <row r="869" spans="2:5">
      <c r="B869" s="252">
        <v>45043</v>
      </c>
      <c r="C869" s="251">
        <v>480.12</v>
      </c>
      <c r="D869" s="251">
        <f t="shared" si="16"/>
        <v>0.64706689536878215</v>
      </c>
      <c r="E869" s="251">
        <v>7.1109433012396667E-3</v>
      </c>
    </row>
    <row r="870" spans="2:5">
      <c r="B870" s="252">
        <v>44321</v>
      </c>
      <c r="C870" s="251">
        <v>291.5</v>
      </c>
      <c r="D870" s="251">
        <f t="shared" si="16"/>
        <v>-0.63406979663570173</v>
      </c>
      <c r="E870" s="251">
        <v>7.0823976507169168E-3</v>
      </c>
    </row>
    <row r="871" spans="2:5">
      <c r="B871" s="252">
        <v>45621</v>
      </c>
      <c r="C871" s="251">
        <v>796.6</v>
      </c>
      <c r="D871" s="251">
        <f t="shared" si="16"/>
        <v>3.6598420590816034</v>
      </c>
      <c r="E871" s="251">
        <v>7.0796460176991436E-3</v>
      </c>
    </row>
    <row r="872" spans="2:5">
      <c r="B872" s="252">
        <v>43873</v>
      </c>
      <c r="C872" s="251">
        <v>170.95</v>
      </c>
      <c r="D872" s="251">
        <f t="shared" si="16"/>
        <v>-0.56468041762159416</v>
      </c>
      <c r="E872" s="251">
        <v>7.0692194403533942E-3</v>
      </c>
    </row>
    <row r="873" spans="2:5">
      <c r="B873" s="252">
        <v>42506</v>
      </c>
      <c r="C873" s="251">
        <v>392.7</v>
      </c>
      <c r="D873" s="251">
        <f t="shared" si="16"/>
        <v>-0.11081423784077529</v>
      </c>
      <c r="E873" s="251">
        <v>7.052186177715092E-3</v>
      </c>
    </row>
    <row r="874" spans="2:5">
      <c r="B874" s="252">
        <v>44977</v>
      </c>
      <c r="C874" s="251">
        <v>441.64</v>
      </c>
      <c r="D874" s="251">
        <f t="shared" si="16"/>
        <v>-0.16514177693761817</v>
      </c>
      <c r="E874" s="251">
        <v>7.045946870368202E-3</v>
      </c>
    </row>
    <row r="875" spans="2:5">
      <c r="B875" s="252">
        <v>42612</v>
      </c>
      <c r="C875" s="251">
        <v>529</v>
      </c>
      <c r="D875" s="251">
        <f t="shared" si="16"/>
        <v>1.9577858540676545</v>
      </c>
      <c r="E875" s="251">
        <v>7.0435941366838867E-3</v>
      </c>
    </row>
    <row r="876" spans="2:5">
      <c r="B876" s="252">
        <v>44176</v>
      </c>
      <c r="C876" s="251">
        <v>178.85</v>
      </c>
      <c r="D876" s="251">
        <f t="shared" si="16"/>
        <v>-2.7948574622700597E-4</v>
      </c>
      <c r="E876" s="251">
        <v>7.0382882882882884E-3</v>
      </c>
    </row>
    <row r="877" spans="2:5">
      <c r="B877" s="252">
        <v>44180</v>
      </c>
      <c r="C877" s="251">
        <v>178.9</v>
      </c>
      <c r="D877" s="251">
        <f t="shared" si="16"/>
        <v>-0.60994222173770851</v>
      </c>
      <c r="E877" s="251">
        <v>7.0363073459048693E-3</v>
      </c>
    </row>
    <row r="878" spans="2:5">
      <c r="B878" s="252">
        <v>42787</v>
      </c>
      <c r="C878" s="251">
        <v>458.65</v>
      </c>
      <c r="D878" s="251">
        <f t="shared" si="16"/>
        <v>2.1784476784476778</v>
      </c>
      <c r="E878" s="251">
        <v>7.0260182237347427E-3</v>
      </c>
    </row>
    <row r="879" spans="2:5">
      <c r="B879" s="252">
        <v>44085</v>
      </c>
      <c r="C879" s="251">
        <v>144.30000000000001</v>
      </c>
      <c r="D879" s="251">
        <f t="shared" si="16"/>
        <v>-0.72080874528393146</v>
      </c>
      <c r="E879" s="251">
        <v>6.9783670621074659E-3</v>
      </c>
    </row>
    <row r="880" spans="2:5">
      <c r="B880" s="252">
        <v>45072</v>
      </c>
      <c r="C880" s="251">
        <v>516.85</v>
      </c>
      <c r="D880" s="251">
        <f t="shared" si="16"/>
        <v>-0.33715934594421287</v>
      </c>
      <c r="E880" s="251">
        <v>6.9748865119723365E-3</v>
      </c>
    </row>
    <row r="881" spans="2:5">
      <c r="B881" s="252">
        <v>45674</v>
      </c>
      <c r="C881" s="251">
        <v>779.75</v>
      </c>
      <c r="D881" s="251">
        <f t="shared" si="16"/>
        <v>0.61285318330368599</v>
      </c>
      <c r="E881" s="251">
        <v>6.9735907535351934E-3</v>
      </c>
    </row>
    <row r="882" spans="2:5">
      <c r="B882" s="252">
        <v>45044</v>
      </c>
      <c r="C882" s="251">
        <v>483.46</v>
      </c>
      <c r="D882" s="251">
        <f t="shared" si="16"/>
        <v>0.17492952269855147</v>
      </c>
      <c r="E882" s="251">
        <v>6.956594184787084E-3</v>
      </c>
    </row>
    <row r="883" spans="2:5">
      <c r="B883" s="252">
        <v>44865</v>
      </c>
      <c r="C883" s="251">
        <v>411.48</v>
      </c>
      <c r="D883" s="251">
        <f t="shared" si="16"/>
        <v>-0.40239634013506637</v>
      </c>
      <c r="E883" s="251">
        <v>6.9498825371966328E-3</v>
      </c>
    </row>
    <row r="884" spans="2:5">
      <c r="B884" s="252">
        <v>45840</v>
      </c>
      <c r="C884" s="251">
        <v>688.55</v>
      </c>
      <c r="D884" s="251">
        <f t="shared" si="16"/>
        <v>5.3553668426287206E-2</v>
      </c>
      <c r="E884" s="251">
        <v>6.9464755776542852E-3</v>
      </c>
    </row>
    <row r="885" spans="2:5">
      <c r="B885" s="252">
        <v>45242</v>
      </c>
      <c r="C885" s="251">
        <v>653.54999999999995</v>
      </c>
      <c r="D885" s="251">
        <f t="shared" si="16"/>
        <v>2.3217280813214738</v>
      </c>
      <c r="E885" s="251">
        <v>6.9332100762653113E-3</v>
      </c>
    </row>
    <row r="886" spans="2:5">
      <c r="B886" s="252">
        <v>44203</v>
      </c>
      <c r="C886" s="251">
        <v>196.75</v>
      </c>
      <c r="D886" s="251">
        <f t="shared" si="16"/>
        <v>1.062368972746331</v>
      </c>
      <c r="E886" s="251">
        <v>6.9089048106448017E-3</v>
      </c>
    </row>
    <row r="887" spans="2:5">
      <c r="B887" s="252">
        <v>43999</v>
      </c>
      <c r="C887" s="251">
        <v>95.4</v>
      </c>
      <c r="D887" s="251">
        <f t="shared" si="16"/>
        <v>-0.84686506789945104</v>
      </c>
      <c r="E887" s="251">
        <v>6.860158311345706E-3</v>
      </c>
    </row>
    <row r="888" spans="2:5">
      <c r="B888" s="252">
        <v>45121</v>
      </c>
      <c r="C888" s="251">
        <v>622.98</v>
      </c>
      <c r="D888" s="251">
        <f t="shared" si="16"/>
        <v>2.684092253104672</v>
      </c>
      <c r="E888" s="251">
        <v>6.8526360021980296E-3</v>
      </c>
    </row>
    <row r="889" spans="2:5">
      <c r="B889" s="252">
        <v>44155</v>
      </c>
      <c r="C889" s="251">
        <v>169.1</v>
      </c>
      <c r="D889" s="251">
        <f t="shared" si="16"/>
        <v>-0.76451091800356508</v>
      </c>
      <c r="E889" s="251">
        <v>6.8472759749925918E-3</v>
      </c>
    </row>
    <row r="890" spans="2:5">
      <c r="B890" s="252">
        <v>45273</v>
      </c>
      <c r="C890" s="251">
        <v>718.08</v>
      </c>
      <c r="D890" s="251">
        <f t="shared" si="16"/>
        <v>4.4133433848473427</v>
      </c>
      <c r="E890" s="251">
        <v>6.8424004486819902E-3</v>
      </c>
    </row>
    <row r="891" spans="2:5">
      <c r="B891" s="252">
        <v>43761</v>
      </c>
      <c r="C891" s="251">
        <v>132.65</v>
      </c>
      <c r="D891" s="251">
        <f t="shared" si="16"/>
        <v>-0.28239112794157417</v>
      </c>
      <c r="E891" s="251">
        <v>6.8311195445920738E-3</v>
      </c>
    </row>
    <row r="892" spans="2:5">
      <c r="B892" s="252">
        <v>44168</v>
      </c>
      <c r="C892" s="251">
        <v>184.85</v>
      </c>
      <c r="D892" s="251">
        <f t="shared" si="16"/>
        <v>-8.0493694660584928E-3</v>
      </c>
      <c r="E892" s="251">
        <v>6.8082788671023969E-3</v>
      </c>
    </row>
    <row r="893" spans="2:5">
      <c r="B893" s="252">
        <v>43594</v>
      </c>
      <c r="C893" s="251">
        <v>186.35</v>
      </c>
      <c r="D893" s="251">
        <f t="shared" si="16"/>
        <v>-0.53999012589484086</v>
      </c>
      <c r="E893" s="251">
        <v>6.7531064289573202E-3</v>
      </c>
    </row>
    <row r="894" spans="2:5">
      <c r="B894" s="252">
        <v>43084</v>
      </c>
      <c r="C894" s="251">
        <v>405.1</v>
      </c>
      <c r="D894" s="251">
        <f t="shared" si="16"/>
        <v>-0.1309664271157352</v>
      </c>
      <c r="E894" s="251">
        <v>6.7097415506959385E-3</v>
      </c>
    </row>
    <row r="895" spans="2:5">
      <c r="B895" s="252">
        <v>42529</v>
      </c>
      <c r="C895" s="251">
        <v>466.15</v>
      </c>
      <c r="D895" s="251">
        <f t="shared" si="16"/>
        <v>-0.57327901867447828</v>
      </c>
      <c r="E895" s="251">
        <v>6.694741388618866E-3</v>
      </c>
    </row>
    <row r="896" spans="2:5">
      <c r="B896" s="252">
        <v>45530</v>
      </c>
      <c r="C896" s="267">
        <v>1092.4000000000001</v>
      </c>
      <c r="D896" s="251">
        <f t="shared" si="16"/>
        <v>1.8960763520678687</v>
      </c>
      <c r="E896" s="251">
        <v>6.6811039948394225E-3</v>
      </c>
    </row>
    <row r="897" spans="2:5">
      <c r="B897" s="252">
        <v>42451</v>
      </c>
      <c r="C897" s="251">
        <v>377.2</v>
      </c>
      <c r="D897" s="251">
        <f t="shared" si="16"/>
        <v>-0.11517710532488863</v>
      </c>
      <c r="E897" s="251">
        <v>6.6720042700827327E-3</v>
      </c>
    </row>
    <row r="898" spans="2:5">
      <c r="B898" s="252">
        <v>44686</v>
      </c>
      <c r="C898" s="251">
        <v>426.3</v>
      </c>
      <c r="D898" s="251">
        <f t="shared" si="16"/>
        <v>1.6427839107317387E-2</v>
      </c>
      <c r="E898" s="251">
        <v>6.611570247933911E-3</v>
      </c>
    </row>
    <row r="899" spans="2:5">
      <c r="B899" s="252">
        <v>44985</v>
      </c>
      <c r="C899" s="251">
        <v>419.41</v>
      </c>
      <c r="D899" s="251">
        <f t="shared" si="16"/>
        <v>-0.32768542711956783</v>
      </c>
      <c r="E899" s="251">
        <v>6.6001056016896263E-3</v>
      </c>
    </row>
    <row r="900" spans="2:5">
      <c r="B900" s="252">
        <v>45128</v>
      </c>
      <c r="C900" s="251">
        <v>623.83000000000004</v>
      </c>
      <c r="D900" s="251">
        <f t="shared" si="16"/>
        <v>0.31748680042238658</v>
      </c>
      <c r="E900" s="251">
        <v>6.5995417433117624E-3</v>
      </c>
    </row>
    <row r="901" spans="2:5">
      <c r="B901" s="252">
        <v>42830</v>
      </c>
      <c r="C901" s="251">
        <v>473.5</v>
      </c>
      <c r="D901" s="251">
        <f t="shared" si="16"/>
        <v>6.9621396945875103E-2</v>
      </c>
      <c r="E901" s="251">
        <v>6.5901360544218177E-3</v>
      </c>
    </row>
    <row r="902" spans="2:5">
      <c r="B902" s="252">
        <v>44769</v>
      </c>
      <c r="C902" s="251">
        <v>442.68</v>
      </c>
      <c r="D902" s="251">
        <f t="shared" si="16"/>
        <v>0.1559733646690169</v>
      </c>
      <c r="E902" s="251">
        <v>6.5713181291070424E-3</v>
      </c>
    </row>
    <row r="903" spans="2:5">
      <c r="B903" s="252">
        <v>42355</v>
      </c>
      <c r="C903" s="251">
        <v>382.95</v>
      </c>
      <c r="D903" s="251">
        <f t="shared" si="16"/>
        <v>3.5400118553645528</v>
      </c>
      <c r="E903" s="251">
        <v>6.5711657247995801E-3</v>
      </c>
    </row>
    <row r="904" spans="2:5">
      <c r="B904" s="252">
        <v>43966</v>
      </c>
      <c r="C904" s="251">
        <v>84.35</v>
      </c>
      <c r="D904" s="251">
        <f t="shared" si="16"/>
        <v>-0.67768437141765381</v>
      </c>
      <c r="E904" s="251">
        <v>6.5632458233889877E-3</v>
      </c>
    </row>
    <row r="905" spans="2:5">
      <c r="B905" s="252">
        <v>43341</v>
      </c>
      <c r="C905" s="251">
        <v>261.7</v>
      </c>
      <c r="D905" s="251">
        <f t="shared" si="16"/>
        <v>-0.73382019386270947</v>
      </c>
      <c r="E905" s="251">
        <v>6.5384615384614948E-3</v>
      </c>
    </row>
    <row r="906" spans="2:5">
      <c r="B906" s="252">
        <v>45377</v>
      </c>
      <c r="C906" s="251">
        <v>983.17</v>
      </c>
      <c r="D906" s="251">
        <f t="shared" ref="D906:D969" si="17">(C906-C907)/C907</f>
        <v>1.1061459694522395</v>
      </c>
      <c r="E906" s="251">
        <v>6.5315983988370029E-3</v>
      </c>
    </row>
    <row r="907" spans="2:5">
      <c r="B907" s="252">
        <v>44781</v>
      </c>
      <c r="C907" s="251">
        <v>466.81</v>
      </c>
      <c r="D907" s="251">
        <f t="shared" si="17"/>
        <v>0.56937300386619605</v>
      </c>
      <c r="E907" s="251">
        <v>6.4464663015825303E-3</v>
      </c>
    </row>
    <row r="908" spans="2:5">
      <c r="B908" s="252">
        <v>44445</v>
      </c>
      <c r="C908" s="251">
        <v>297.45</v>
      </c>
      <c r="D908" s="251">
        <f t="shared" si="17"/>
        <v>0.80491504854368912</v>
      </c>
      <c r="E908" s="251">
        <v>6.4286922686515894E-3</v>
      </c>
    </row>
    <row r="909" spans="2:5">
      <c r="B909" s="252">
        <v>43516</v>
      </c>
      <c r="C909" s="251">
        <v>164.8</v>
      </c>
      <c r="D909" s="251">
        <f t="shared" si="17"/>
        <v>0.23445692883895139</v>
      </c>
      <c r="E909" s="251">
        <v>6.4122137404580845E-3</v>
      </c>
    </row>
    <row r="910" spans="2:5">
      <c r="B910" s="252">
        <v>43762</v>
      </c>
      <c r="C910" s="251">
        <v>133.5</v>
      </c>
      <c r="D910" s="251">
        <f t="shared" si="17"/>
        <v>-0.8197894168466523</v>
      </c>
      <c r="E910" s="251">
        <v>6.4078401809272087E-3</v>
      </c>
    </row>
    <row r="911" spans="2:5">
      <c r="B911" s="252">
        <v>45652</v>
      </c>
      <c r="C911" s="251">
        <v>740.8</v>
      </c>
      <c r="D911" s="251">
        <f t="shared" si="17"/>
        <v>1.1361014994232985</v>
      </c>
      <c r="E911" s="251">
        <v>6.3850020377665146E-3</v>
      </c>
    </row>
    <row r="912" spans="2:5">
      <c r="B912" s="252">
        <v>42261</v>
      </c>
      <c r="C912" s="251">
        <v>346.8</v>
      </c>
      <c r="D912" s="251">
        <f t="shared" si="17"/>
        <v>-8.3751651254953735E-2</v>
      </c>
      <c r="E912" s="251">
        <v>6.3842135809634021E-3</v>
      </c>
    </row>
    <row r="913" spans="2:5">
      <c r="B913" s="252">
        <v>42977</v>
      </c>
      <c r="C913" s="251">
        <v>378.5</v>
      </c>
      <c r="D913" s="251">
        <f t="shared" si="17"/>
        <v>-0.12747810050714617</v>
      </c>
      <c r="E913" s="251">
        <v>6.3812815740493939E-3</v>
      </c>
    </row>
    <row r="914" spans="2:5">
      <c r="B914" s="252">
        <v>44669</v>
      </c>
      <c r="C914" s="251">
        <v>433.8</v>
      </c>
      <c r="D914" s="251">
        <f t="shared" si="17"/>
        <v>1.7438330170777991</v>
      </c>
      <c r="E914" s="251">
        <v>6.3797703282681825E-3</v>
      </c>
    </row>
    <row r="915" spans="2:5">
      <c r="B915" s="252">
        <v>43445</v>
      </c>
      <c r="C915" s="251">
        <v>158.1</v>
      </c>
      <c r="D915" s="251">
        <f t="shared" si="17"/>
        <v>-0.48826670982359605</v>
      </c>
      <c r="E915" s="251">
        <v>6.3653723742838958E-3</v>
      </c>
    </row>
    <row r="916" spans="2:5">
      <c r="B916" s="252">
        <v>44274</v>
      </c>
      <c r="C916" s="251">
        <v>308.95</v>
      </c>
      <c r="D916" s="251">
        <f t="shared" si="17"/>
        <v>-0.31971815479467136</v>
      </c>
      <c r="E916" s="251">
        <v>6.3517915309445885E-3</v>
      </c>
    </row>
    <row r="917" spans="2:5">
      <c r="B917" s="252">
        <v>42933</v>
      </c>
      <c r="C917" s="251">
        <v>454.15</v>
      </c>
      <c r="D917" s="251">
        <f t="shared" si="17"/>
        <v>-0.34484997114829785</v>
      </c>
      <c r="E917" s="251">
        <v>6.3150897407488714E-3</v>
      </c>
    </row>
    <row r="918" spans="2:5">
      <c r="B918" s="252">
        <v>45846</v>
      </c>
      <c r="C918" s="251">
        <v>693.2</v>
      </c>
      <c r="D918" s="251">
        <f t="shared" si="17"/>
        <v>4.4262230919765173</v>
      </c>
      <c r="E918" s="251">
        <v>6.3148726137766172E-3</v>
      </c>
    </row>
    <row r="919" spans="2:5">
      <c r="B919" s="252">
        <v>44120</v>
      </c>
      <c r="C919" s="251">
        <v>127.75</v>
      </c>
      <c r="D919" s="251">
        <f t="shared" si="17"/>
        <v>-0.74556861183031264</v>
      </c>
      <c r="E919" s="251">
        <v>6.3016935801496424E-3</v>
      </c>
    </row>
    <row r="920" spans="2:5">
      <c r="B920" s="252">
        <v>45055</v>
      </c>
      <c r="C920" s="251">
        <v>502.1</v>
      </c>
      <c r="D920" s="251">
        <f t="shared" si="17"/>
        <v>0.20378806041716613</v>
      </c>
      <c r="E920" s="251">
        <v>6.2930896264230462E-3</v>
      </c>
    </row>
    <row r="921" spans="2:5">
      <c r="B921" s="252">
        <v>44740</v>
      </c>
      <c r="C921" s="251">
        <v>417.1</v>
      </c>
      <c r="D921" s="251">
        <f t="shared" si="17"/>
        <v>0.10402329274748547</v>
      </c>
      <c r="E921" s="251">
        <v>6.272617611580272E-3</v>
      </c>
    </row>
    <row r="922" spans="2:5">
      <c r="B922" s="252">
        <v>43138</v>
      </c>
      <c r="C922" s="251">
        <v>377.8</v>
      </c>
      <c r="D922" s="251">
        <f t="shared" si="17"/>
        <v>-0.28154416658742987</v>
      </c>
      <c r="E922" s="251">
        <v>6.2591556798509062E-3</v>
      </c>
    </row>
    <row r="923" spans="2:5">
      <c r="B923" s="252">
        <v>42772</v>
      </c>
      <c r="C923" s="251">
        <v>525.85</v>
      </c>
      <c r="D923" s="251">
        <f t="shared" si="17"/>
        <v>0.32199512280966397</v>
      </c>
      <c r="E923" s="251">
        <v>6.2189054726368154E-3</v>
      </c>
    </row>
    <row r="924" spans="2:5">
      <c r="B924" s="252">
        <v>44847</v>
      </c>
      <c r="C924" s="251">
        <v>397.77</v>
      </c>
      <c r="D924" s="251">
        <f t="shared" si="17"/>
        <v>-0.13678385416666672</v>
      </c>
      <c r="E924" s="251">
        <v>6.1720587863304021E-3</v>
      </c>
    </row>
    <row r="925" spans="2:5">
      <c r="B925" s="252">
        <v>42894</v>
      </c>
      <c r="C925" s="251">
        <v>460.8</v>
      </c>
      <c r="D925" s="251">
        <f t="shared" si="17"/>
        <v>-0.32915999417673603</v>
      </c>
      <c r="E925" s="251">
        <v>6.1135371179039553E-3</v>
      </c>
    </row>
    <row r="926" spans="2:5">
      <c r="B926" s="252">
        <v>45835</v>
      </c>
      <c r="C926" s="251">
        <v>686.9</v>
      </c>
      <c r="D926" s="251">
        <f t="shared" si="17"/>
        <v>5.3838289962825279</v>
      </c>
      <c r="E926" s="251">
        <v>6.0783595752471288E-3</v>
      </c>
    </row>
    <row r="927" spans="2:5">
      <c r="B927" s="252">
        <v>44022</v>
      </c>
      <c r="C927" s="251">
        <v>107.6</v>
      </c>
      <c r="D927" s="251">
        <f t="shared" si="17"/>
        <v>-0.89347378425471247</v>
      </c>
      <c r="E927" s="251">
        <v>6.0776063581111867E-3</v>
      </c>
    </row>
    <row r="928" spans="2:5">
      <c r="B928" s="252">
        <v>45390</v>
      </c>
      <c r="C928" s="267">
        <v>1010.08</v>
      </c>
      <c r="D928" s="251">
        <f t="shared" si="17"/>
        <v>1.8123173067231144E-2</v>
      </c>
      <c r="E928" s="251">
        <v>6.0557768924303194E-3</v>
      </c>
    </row>
    <row r="929" spans="2:5">
      <c r="B929" s="252">
        <v>45548</v>
      </c>
      <c r="C929" s="251">
        <v>992.1</v>
      </c>
      <c r="D929" s="251">
        <f t="shared" si="17"/>
        <v>1.4684630887512129</v>
      </c>
      <c r="E929" s="251">
        <v>6.0335648734979926E-3</v>
      </c>
    </row>
    <row r="930" spans="2:5">
      <c r="B930" s="252">
        <v>44946</v>
      </c>
      <c r="C930" s="251">
        <v>401.91</v>
      </c>
      <c r="D930" s="251">
        <f t="shared" si="17"/>
        <v>-0.12963163479654363</v>
      </c>
      <c r="E930" s="251">
        <v>5.9821786143373131E-3</v>
      </c>
    </row>
    <row r="931" spans="2:5">
      <c r="B931" s="252">
        <v>44797</v>
      </c>
      <c r="C931" s="251">
        <v>461.77</v>
      </c>
      <c r="D931" s="251">
        <f t="shared" si="17"/>
        <v>9.2688121154756165E-2</v>
      </c>
      <c r="E931" s="251">
        <v>5.9691087728471108E-3</v>
      </c>
    </row>
    <row r="932" spans="2:5">
      <c r="B932" s="252">
        <v>43089</v>
      </c>
      <c r="C932" s="251">
        <v>422.6</v>
      </c>
      <c r="D932" s="251">
        <f t="shared" si="17"/>
        <v>-0.12848009898948229</v>
      </c>
      <c r="E932" s="251">
        <v>5.9509640561771007E-3</v>
      </c>
    </row>
    <row r="933" spans="2:5">
      <c r="B933" s="252">
        <v>42542</v>
      </c>
      <c r="C933" s="251">
        <v>484.9</v>
      </c>
      <c r="D933" s="251">
        <f t="shared" si="17"/>
        <v>-2.4934647094309339E-2</v>
      </c>
      <c r="E933" s="251">
        <v>5.9122497666216486E-3</v>
      </c>
    </row>
    <row r="934" spans="2:5">
      <c r="B934" s="252">
        <v>44589</v>
      </c>
      <c r="C934" s="251">
        <v>497.3</v>
      </c>
      <c r="D934" s="251">
        <f t="shared" si="17"/>
        <v>0.23289369297897658</v>
      </c>
      <c r="E934" s="251">
        <v>5.865695792880328E-3</v>
      </c>
    </row>
    <row r="935" spans="2:5">
      <c r="B935" s="252">
        <v>44834</v>
      </c>
      <c r="C935" s="251">
        <v>403.36</v>
      </c>
      <c r="D935" s="251">
        <f t="shared" si="17"/>
        <v>-0.22318728935965332</v>
      </c>
      <c r="E935" s="251">
        <v>5.8602029874567285E-3</v>
      </c>
    </row>
    <row r="936" spans="2:5">
      <c r="B936" s="252">
        <v>42746</v>
      </c>
      <c r="C936" s="251">
        <v>519.25</v>
      </c>
      <c r="D936" s="251">
        <f t="shared" si="17"/>
        <v>-1.1541790901221944E-3</v>
      </c>
      <c r="E936" s="251">
        <v>5.8111380145278446E-3</v>
      </c>
    </row>
    <row r="937" spans="2:5">
      <c r="B937" s="252">
        <v>45075</v>
      </c>
      <c r="C937" s="251">
        <v>519.85</v>
      </c>
      <c r="D937" s="251">
        <f t="shared" si="17"/>
        <v>-0.23121857438627627</v>
      </c>
      <c r="E937" s="251">
        <v>5.8043919899390534E-3</v>
      </c>
    </row>
    <row r="938" spans="2:5">
      <c r="B938" s="252">
        <v>45828</v>
      </c>
      <c r="C938" s="251">
        <v>676.2</v>
      </c>
      <c r="D938" s="251">
        <f t="shared" si="17"/>
        <v>2.872852233676976</v>
      </c>
      <c r="E938" s="251">
        <v>5.8009817045962982E-3</v>
      </c>
    </row>
    <row r="939" spans="2:5">
      <c r="B939" s="252">
        <v>43495</v>
      </c>
      <c r="C939" s="251">
        <v>174.6</v>
      </c>
      <c r="D939" s="251">
        <f t="shared" si="17"/>
        <v>-0.43577314590402327</v>
      </c>
      <c r="E939" s="251">
        <v>5.7603686635944703E-3</v>
      </c>
    </row>
    <row r="940" spans="2:5">
      <c r="B940" s="252">
        <v>43243</v>
      </c>
      <c r="C940" s="251">
        <v>309.45</v>
      </c>
      <c r="D940" s="251">
        <f t="shared" si="17"/>
        <v>1.3328307576328682</v>
      </c>
      <c r="E940" s="251">
        <v>5.6873578160545986E-3</v>
      </c>
    </row>
    <row r="941" spans="2:5">
      <c r="B941" s="252">
        <v>44134</v>
      </c>
      <c r="C941" s="251">
        <v>132.65</v>
      </c>
      <c r="D941" s="251">
        <f t="shared" si="17"/>
        <v>-0.70655900895918589</v>
      </c>
      <c r="E941" s="251">
        <v>5.6861258529188781E-3</v>
      </c>
    </row>
    <row r="942" spans="2:5">
      <c r="B942" s="252">
        <v>44659</v>
      </c>
      <c r="C942" s="251">
        <v>452.05</v>
      </c>
      <c r="D942" s="251">
        <f t="shared" si="17"/>
        <v>0.13224796493425175</v>
      </c>
      <c r="E942" s="251">
        <v>5.672969966629614E-3</v>
      </c>
    </row>
    <row r="943" spans="2:5">
      <c r="B943" s="252">
        <v>42516</v>
      </c>
      <c r="C943" s="251">
        <v>399.25</v>
      </c>
      <c r="D943" s="251">
        <f t="shared" si="17"/>
        <v>-0.45783541553503532</v>
      </c>
      <c r="E943" s="251">
        <v>5.6675062972292188E-3</v>
      </c>
    </row>
    <row r="944" spans="2:5">
      <c r="B944" s="252">
        <v>45819</v>
      </c>
      <c r="C944" s="251">
        <v>736.4</v>
      </c>
      <c r="D944" s="251">
        <f t="shared" si="17"/>
        <v>-0.24649544663869843</v>
      </c>
      <c r="E944" s="251">
        <v>5.6674632980539125E-3</v>
      </c>
    </row>
    <row r="945" spans="2:5">
      <c r="B945" s="252">
        <v>45559</v>
      </c>
      <c r="C945" s="251">
        <v>977.3</v>
      </c>
      <c r="D945" s="251">
        <f t="shared" si="17"/>
        <v>0.23310832124156206</v>
      </c>
      <c r="E945" s="251">
        <v>5.6596007408931878E-3</v>
      </c>
    </row>
    <row r="946" spans="2:5">
      <c r="B946" s="252">
        <v>45631</v>
      </c>
      <c r="C946" s="251">
        <v>792.55</v>
      </c>
      <c r="D946" s="251">
        <f t="shared" si="17"/>
        <v>0.68376885489696193</v>
      </c>
      <c r="E946" s="251">
        <v>5.646491561984433E-3</v>
      </c>
    </row>
    <row r="947" spans="2:5">
      <c r="B947" s="252">
        <v>45033</v>
      </c>
      <c r="C947" s="251">
        <v>470.7</v>
      </c>
      <c r="D947" s="251">
        <f t="shared" si="17"/>
        <v>-0.24965328147168062</v>
      </c>
      <c r="E947" s="251">
        <v>5.6403025253172374E-3</v>
      </c>
    </row>
    <row r="948" spans="2:5">
      <c r="B948" s="252">
        <v>45131</v>
      </c>
      <c r="C948" s="251">
        <v>627.30999999999995</v>
      </c>
      <c r="D948" s="251">
        <f t="shared" si="17"/>
        <v>0.82756008739985421</v>
      </c>
      <c r="E948" s="251">
        <v>5.5784428450056977E-3</v>
      </c>
    </row>
    <row r="949" spans="2:5">
      <c r="B949" s="252">
        <v>42285</v>
      </c>
      <c r="C949" s="251">
        <v>343.25</v>
      </c>
      <c r="D949" s="251">
        <f t="shared" si="17"/>
        <v>-0.17093377131539536</v>
      </c>
      <c r="E949" s="251">
        <v>5.5661344660904557E-3</v>
      </c>
    </row>
    <row r="950" spans="2:5">
      <c r="B950" s="252">
        <v>44943</v>
      </c>
      <c r="C950" s="251">
        <v>414.02</v>
      </c>
      <c r="D950" s="251">
        <f t="shared" si="17"/>
        <v>0.30564490696941016</v>
      </c>
      <c r="E950" s="251">
        <v>5.5618973599202478E-3</v>
      </c>
    </row>
    <row r="951" spans="2:5">
      <c r="B951" s="252">
        <v>42431</v>
      </c>
      <c r="C951" s="251">
        <v>317.10000000000002</v>
      </c>
      <c r="D951" s="251">
        <f t="shared" si="17"/>
        <v>-0.31519274376417228</v>
      </c>
      <c r="E951" s="251">
        <v>5.5493895671476137E-3</v>
      </c>
    </row>
    <row r="952" spans="2:5">
      <c r="B952" s="252">
        <v>42528</v>
      </c>
      <c r="C952" s="251">
        <v>463.05</v>
      </c>
      <c r="D952" s="251">
        <f t="shared" si="17"/>
        <v>-2.2624434389140516E-3</v>
      </c>
      <c r="E952" s="251">
        <v>5.5374592833876465E-3</v>
      </c>
    </row>
    <row r="953" spans="2:5">
      <c r="B953" s="252">
        <v>42713</v>
      </c>
      <c r="C953" s="251">
        <v>464.1</v>
      </c>
      <c r="D953" s="251">
        <f t="shared" si="17"/>
        <v>1.899220551103312E-2</v>
      </c>
      <c r="E953" s="251">
        <v>5.5248618784530636E-3</v>
      </c>
    </row>
    <row r="954" spans="2:5">
      <c r="B954" s="252">
        <v>42786</v>
      </c>
      <c r="C954" s="251">
        <v>455.45</v>
      </c>
      <c r="D954" s="251">
        <f t="shared" si="17"/>
        <v>-0.10766065830721001</v>
      </c>
      <c r="E954" s="251">
        <v>5.5193729992272875E-3</v>
      </c>
    </row>
    <row r="955" spans="2:5">
      <c r="B955" s="252">
        <v>42599</v>
      </c>
      <c r="C955" s="251">
        <v>510.4</v>
      </c>
      <c r="D955" s="251">
        <f t="shared" si="17"/>
        <v>5.5199503824684699E-2</v>
      </c>
      <c r="E955" s="251">
        <v>5.516154452324575E-3</v>
      </c>
    </row>
    <row r="956" spans="2:5">
      <c r="B956" s="252">
        <v>44498</v>
      </c>
      <c r="C956" s="251">
        <v>483.7</v>
      </c>
      <c r="D956" s="251">
        <f t="shared" si="17"/>
        <v>-0.41085479038269468</v>
      </c>
      <c r="E956" s="251">
        <v>5.5087828708034036E-3</v>
      </c>
    </row>
    <row r="957" spans="2:5">
      <c r="B957" s="252">
        <v>45310</v>
      </c>
      <c r="C957" s="251">
        <v>821.02</v>
      </c>
      <c r="D957" s="251">
        <f t="shared" si="17"/>
        <v>-0.12145272439327141</v>
      </c>
      <c r="E957" s="251">
        <v>5.4988794043084877E-3</v>
      </c>
    </row>
    <row r="958" spans="2:5">
      <c r="B958" s="252">
        <v>45345</v>
      </c>
      <c r="C958" s="251">
        <v>934.52</v>
      </c>
      <c r="D958" s="251">
        <f t="shared" si="17"/>
        <v>0.47855391187406066</v>
      </c>
      <c r="E958" s="251">
        <v>5.4764748286584598E-3</v>
      </c>
    </row>
    <row r="959" spans="2:5">
      <c r="B959" s="252">
        <v>45210</v>
      </c>
      <c r="C959" s="251">
        <v>632.04999999999995</v>
      </c>
      <c r="D959" s="251">
        <f t="shared" si="17"/>
        <v>-0.32092398603276934</v>
      </c>
      <c r="E959" s="251">
        <v>5.4723914668871653E-3</v>
      </c>
    </row>
    <row r="960" spans="2:5">
      <c r="B960" s="252">
        <v>45569</v>
      </c>
      <c r="C960" s="251">
        <v>930.75</v>
      </c>
      <c r="D960" s="251">
        <f t="shared" si="17"/>
        <v>1.1887639920985795</v>
      </c>
      <c r="E960" s="251">
        <v>5.4553311007885432E-3</v>
      </c>
    </row>
    <row r="961" spans="2:5">
      <c r="B961" s="252">
        <v>45021</v>
      </c>
      <c r="C961" s="251">
        <v>425.24</v>
      </c>
      <c r="D961" s="251">
        <f t="shared" si="17"/>
        <v>-2.7133379089453243E-2</v>
      </c>
      <c r="E961" s="251">
        <v>5.4143515782007811E-3</v>
      </c>
    </row>
    <row r="962" spans="2:5">
      <c r="B962" s="252">
        <v>43112</v>
      </c>
      <c r="C962" s="251">
        <v>437.1</v>
      </c>
      <c r="D962" s="251">
        <f t="shared" si="17"/>
        <v>6.9645653876272612E-2</v>
      </c>
      <c r="E962" s="251">
        <v>5.4054054054054577E-3</v>
      </c>
    </row>
    <row r="963" spans="2:5">
      <c r="B963" s="252">
        <v>44862</v>
      </c>
      <c r="C963" s="251">
        <v>408.64</v>
      </c>
      <c r="D963" s="251">
        <f t="shared" si="17"/>
        <v>2.352255947497949</v>
      </c>
      <c r="E963" s="251">
        <v>5.3881166195103893E-3</v>
      </c>
    </row>
    <row r="964" spans="2:5">
      <c r="B964" s="252">
        <v>43717</v>
      </c>
      <c r="C964" s="251">
        <v>121.9</v>
      </c>
      <c r="D964" s="251">
        <f t="shared" si="17"/>
        <v>-0.73027989821882944</v>
      </c>
      <c r="E964" s="251">
        <v>5.3608247422680883E-3</v>
      </c>
    </row>
    <row r="965" spans="2:5">
      <c r="B965" s="252">
        <v>42900</v>
      </c>
      <c r="C965" s="251">
        <v>451.95</v>
      </c>
      <c r="D965" s="251">
        <f t="shared" si="17"/>
        <v>0.16855414210363015</v>
      </c>
      <c r="E965" s="251">
        <v>5.3386720053386211E-3</v>
      </c>
    </row>
    <row r="966" spans="2:5">
      <c r="B966" s="252">
        <v>44925</v>
      </c>
      <c r="C966" s="251">
        <v>386.76</v>
      </c>
      <c r="D966" s="251">
        <f t="shared" si="17"/>
        <v>-3.6185060739205575E-4</v>
      </c>
      <c r="E966" s="251">
        <v>5.3286891424709822E-3</v>
      </c>
    </row>
    <row r="967" spans="2:5">
      <c r="B967" s="252">
        <v>42509</v>
      </c>
      <c r="C967" s="251">
        <v>386.9</v>
      </c>
      <c r="D967" s="251">
        <f t="shared" si="17"/>
        <v>6.2620159296896322E-2</v>
      </c>
      <c r="E967" s="251">
        <v>5.3267506820838103E-3</v>
      </c>
    </row>
    <row r="968" spans="2:5">
      <c r="B968" s="252">
        <v>43196</v>
      </c>
      <c r="C968" s="251">
        <v>364.1</v>
      </c>
      <c r="D968" s="251">
        <f t="shared" si="17"/>
        <v>8.3630952380952445E-2</v>
      </c>
      <c r="E968" s="251">
        <v>5.2457205963556989E-3</v>
      </c>
    </row>
    <row r="969" spans="2:5">
      <c r="B969" s="252">
        <v>43210</v>
      </c>
      <c r="C969" s="251">
        <v>336</v>
      </c>
      <c r="D969" s="251">
        <f t="shared" si="17"/>
        <v>1.0519083969465648</v>
      </c>
      <c r="E969" s="251">
        <v>5.235602094240838E-3</v>
      </c>
    </row>
    <row r="970" spans="2:5">
      <c r="B970" s="252">
        <v>43515</v>
      </c>
      <c r="C970" s="251">
        <v>163.75</v>
      </c>
      <c r="D970" s="251">
        <f t="shared" ref="D970:D1033" si="18">(C970-C971)/C971</f>
        <v>-0.61397925506836393</v>
      </c>
      <c r="E970" s="251">
        <v>5.2179251074278349E-3</v>
      </c>
    </row>
    <row r="971" spans="2:5">
      <c r="B971" s="252">
        <v>43095</v>
      </c>
      <c r="C971" s="251">
        <v>424.2</v>
      </c>
      <c r="D971" s="251">
        <f t="shared" si="18"/>
        <v>5.2751479289940839</v>
      </c>
      <c r="E971" s="251">
        <v>5.2132701421800679E-3</v>
      </c>
    </row>
    <row r="972" spans="2:5">
      <c r="B972" s="252">
        <v>43929</v>
      </c>
      <c r="C972" s="251">
        <v>67.599999999999994</v>
      </c>
      <c r="D972" s="251">
        <f t="shared" si="18"/>
        <v>-0.77444110777444108</v>
      </c>
      <c r="E972" s="251">
        <v>5.2044609665426664E-3</v>
      </c>
    </row>
    <row r="973" spans="2:5">
      <c r="B973" s="252">
        <v>44413</v>
      </c>
      <c r="C973" s="251">
        <v>299.7</v>
      </c>
      <c r="D973" s="251">
        <f t="shared" si="18"/>
        <v>-0.3408840994062019</v>
      </c>
      <c r="E973" s="251">
        <v>5.1987254737548595E-3</v>
      </c>
    </row>
    <row r="974" spans="2:5">
      <c r="B974" s="252">
        <v>42702</v>
      </c>
      <c r="C974" s="251">
        <v>454.7</v>
      </c>
      <c r="D974" s="251">
        <f t="shared" si="18"/>
        <v>1.7453569031103181E-2</v>
      </c>
      <c r="E974" s="251">
        <v>5.1950922957885838E-3</v>
      </c>
    </row>
    <row r="975" spans="2:5">
      <c r="B975" s="252">
        <v>42948</v>
      </c>
      <c r="C975" s="251">
        <v>446.9</v>
      </c>
      <c r="D975" s="251">
        <f t="shared" si="18"/>
        <v>9.1864158319081277E-2</v>
      </c>
      <c r="E975" s="251">
        <v>5.1731893837155965E-3</v>
      </c>
    </row>
    <row r="976" spans="2:5">
      <c r="B976" s="252">
        <v>44736</v>
      </c>
      <c r="C976" s="251">
        <v>409.3</v>
      </c>
      <c r="D976" s="251">
        <f t="shared" si="18"/>
        <v>-0.57673216132368155</v>
      </c>
      <c r="E976" s="251">
        <v>5.1571709233792307E-3</v>
      </c>
    </row>
    <row r="977" spans="2:5">
      <c r="B977" s="252">
        <v>45554</v>
      </c>
      <c r="C977" s="251">
        <v>967</v>
      </c>
      <c r="D977" s="251">
        <f t="shared" si="18"/>
        <v>0.36838977174635978</v>
      </c>
      <c r="E977" s="251">
        <v>5.145262720232884E-3</v>
      </c>
    </row>
    <row r="978" spans="2:5">
      <c r="B978" s="252">
        <v>45281</v>
      </c>
      <c r="C978" s="251">
        <v>706.67</v>
      </c>
      <c r="D978" s="251">
        <f t="shared" si="18"/>
        <v>-0.26517136677481074</v>
      </c>
      <c r="E978" s="251">
        <v>5.1061045684700429E-3</v>
      </c>
    </row>
    <row r="979" spans="2:5">
      <c r="B979" s="252">
        <v>45426</v>
      </c>
      <c r="C979" s="251">
        <v>961.68</v>
      </c>
      <c r="D979" s="251">
        <f t="shared" si="18"/>
        <v>2.3654593175853016</v>
      </c>
      <c r="E979" s="251">
        <v>5.100334448160531E-3</v>
      </c>
    </row>
    <row r="980" spans="2:5">
      <c r="B980" s="252">
        <v>44435</v>
      </c>
      <c r="C980" s="251">
        <v>285.75</v>
      </c>
      <c r="D980" s="251">
        <f t="shared" si="18"/>
        <v>-0.74577402135231319</v>
      </c>
      <c r="E980" s="251">
        <v>5.1002462187829355E-3</v>
      </c>
    </row>
    <row r="981" spans="2:5">
      <c r="B981" s="252">
        <v>45502</v>
      </c>
      <c r="C981" s="267">
        <v>1124</v>
      </c>
      <c r="D981" s="251">
        <f t="shared" si="18"/>
        <v>5.6215022091310747</v>
      </c>
      <c r="E981" s="251">
        <v>5.0970222659394134E-3</v>
      </c>
    </row>
    <row r="982" spans="2:5">
      <c r="B982" s="252">
        <v>43872</v>
      </c>
      <c r="C982" s="251">
        <v>169.75</v>
      </c>
      <c r="D982" s="251">
        <f t="shared" si="18"/>
        <v>-0.78520814880425149</v>
      </c>
      <c r="E982" s="251">
        <v>5.0325636471284449E-3</v>
      </c>
    </row>
    <row r="983" spans="2:5">
      <c r="B983" s="252">
        <v>45639</v>
      </c>
      <c r="C983" s="251">
        <v>790.3</v>
      </c>
      <c r="D983" s="251">
        <f t="shared" si="18"/>
        <v>1.0789162172826516</v>
      </c>
      <c r="E983" s="251">
        <v>5.0232084949449118E-3</v>
      </c>
    </row>
    <row r="984" spans="2:5">
      <c r="B984" s="252">
        <v>42359</v>
      </c>
      <c r="C984" s="251">
        <v>380.15</v>
      </c>
      <c r="D984" s="251">
        <f t="shared" si="18"/>
        <v>0.15109765329295982</v>
      </c>
      <c r="E984" s="251">
        <v>5.0231328486450158E-3</v>
      </c>
    </row>
    <row r="985" spans="2:5">
      <c r="B985" s="252">
        <v>43216</v>
      </c>
      <c r="C985" s="251">
        <v>330.25</v>
      </c>
      <c r="D985" s="251">
        <f t="shared" si="18"/>
        <v>-0.28571428571428575</v>
      </c>
      <c r="E985" s="251">
        <v>5.0213024954351097E-3</v>
      </c>
    </row>
    <row r="986" spans="2:5">
      <c r="B986" s="252">
        <v>42789</v>
      </c>
      <c r="C986" s="251">
        <v>462.35</v>
      </c>
      <c r="D986" s="251">
        <f t="shared" si="18"/>
        <v>0.52716763005780354</v>
      </c>
      <c r="E986" s="251">
        <v>4.9994565808064587E-3</v>
      </c>
    </row>
    <row r="987" spans="2:5">
      <c r="B987" s="252">
        <v>44323</v>
      </c>
      <c r="C987" s="251">
        <v>302.75</v>
      </c>
      <c r="D987" s="251">
        <f t="shared" si="18"/>
        <v>-0.33366347529437662</v>
      </c>
      <c r="E987" s="251">
        <v>4.9792531120331947E-3</v>
      </c>
    </row>
    <row r="988" spans="2:5">
      <c r="B988" s="252">
        <v>42537</v>
      </c>
      <c r="C988" s="251">
        <v>454.35</v>
      </c>
      <c r="D988" s="251">
        <f t="shared" si="18"/>
        <v>-0.54041068177220308</v>
      </c>
      <c r="E988" s="251">
        <v>4.9767750497677499E-3</v>
      </c>
    </row>
    <row r="989" spans="2:5">
      <c r="B989" s="252">
        <v>45406</v>
      </c>
      <c r="C989" s="251">
        <v>988.6</v>
      </c>
      <c r="D989" s="251">
        <f t="shared" si="18"/>
        <v>-2.1556246164809254E-2</v>
      </c>
      <c r="E989" s="251">
        <v>4.9607611922091602E-3</v>
      </c>
    </row>
    <row r="990" spans="2:5">
      <c r="B990" s="252">
        <v>45392</v>
      </c>
      <c r="C990" s="267">
        <v>1010.38</v>
      </c>
      <c r="D990" s="251">
        <f t="shared" si="18"/>
        <v>4.530268199233717</v>
      </c>
      <c r="E990" s="251">
        <v>4.9532524368410763E-3</v>
      </c>
    </row>
    <row r="991" spans="2:5">
      <c r="B991" s="252">
        <v>44174</v>
      </c>
      <c r="C991" s="251">
        <v>182.7</v>
      </c>
      <c r="D991" s="251">
        <f t="shared" si="18"/>
        <v>-0.82006559185321615</v>
      </c>
      <c r="E991" s="251">
        <v>4.9504950495048248E-3</v>
      </c>
    </row>
    <row r="992" spans="2:5">
      <c r="B992" s="252">
        <v>45394</v>
      </c>
      <c r="C992" s="267">
        <v>1015.37</v>
      </c>
      <c r="D992" s="251">
        <f t="shared" si="18"/>
        <v>0.20920566869119916</v>
      </c>
      <c r="E992" s="251">
        <v>4.9387359211385904E-3</v>
      </c>
    </row>
    <row r="993" spans="2:5">
      <c r="B993" s="252">
        <v>45602</v>
      </c>
      <c r="C993" s="251">
        <v>839.7</v>
      </c>
      <c r="D993" s="251">
        <f t="shared" si="18"/>
        <v>4.7810671256454391</v>
      </c>
      <c r="E993" s="251">
        <v>4.8465266558966888E-3</v>
      </c>
    </row>
    <row r="994" spans="2:5">
      <c r="B994" s="252">
        <v>43888</v>
      </c>
      <c r="C994" s="251">
        <v>145.25</v>
      </c>
      <c r="D994" s="251">
        <f t="shared" si="18"/>
        <v>-0.70958712386284117</v>
      </c>
      <c r="E994" s="251">
        <v>4.8426150121064588E-3</v>
      </c>
    </row>
    <row r="995" spans="2:5">
      <c r="B995" s="252">
        <v>42744</v>
      </c>
      <c r="C995" s="251">
        <v>500.15</v>
      </c>
      <c r="D995" s="251">
        <f t="shared" si="18"/>
        <v>-0.48552178161806309</v>
      </c>
      <c r="E995" s="251">
        <v>4.8216976393771517E-3</v>
      </c>
    </row>
    <row r="996" spans="2:5">
      <c r="B996" s="252">
        <v>45453</v>
      </c>
      <c r="C996" s="251">
        <v>972.15</v>
      </c>
      <c r="D996" s="251">
        <f t="shared" si="18"/>
        <v>1.3731233980227024</v>
      </c>
      <c r="E996" s="251">
        <v>4.7854307921283232E-3</v>
      </c>
    </row>
    <row r="997" spans="2:5">
      <c r="B997" s="252">
        <v>42493</v>
      </c>
      <c r="C997" s="251">
        <v>409.65</v>
      </c>
      <c r="D997" s="251">
        <f t="shared" si="18"/>
        <v>0.17817083692838651</v>
      </c>
      <c r="E997" s="251">
        <v>4.7829286239881993E-3</v>
      </c>
    </row>
    <row r="998" spans="2:5">
      <c r="B998" s="252">
        <v>42438</v>
      </c>
      <c r="C998" s="251">
        <v>347.7</v>
      </c>
      <c r="D998" s="251">
        <f t="shared" si="18"/>
        <v>0.17704807041299939</v>
      </c>
      <c r="E998" s="251">
        <v>4.7680970957953393E-3</v>
      </c>
    </row>
    <row r="999" spans="2:5">
      <c r="B999" s="252">
        <v>44312</v>
      </c>
      <c r="C999" s="251">
        <v>295.39999999999998</v>
      </c>
      <c r="D999" s="251">
        <f t="shared" si="18"/>
        <v>-0.12732644017725264</v>
      </c>
      <c r="E999" s="251">
        <v>4.7619047619046843E-3</v>
      </c>
    </row>
    <row r="1000" spans="2:5">
      <c r="B1000" s="252">
        <v>42401</v>
      </c>
      <c r="C1000" s="251">
        <v>338.5</v>
      </c>
      <c r="D1000" s="251">
        <f t="shared" si="18"/>
        <v>-0.52106059962929951</v>
      </c>
      <c r="E1000" s="251">
        <v>4.7491837340457787E-3</v>
      </c>
    </row>
    <row r="1001" spans="2:5">
      <c r="B1001" s="252">
        <v>45265</v>
      </c>
      <c r="C1001" s="251">
        <v>706.77</v>
      </c>
      <c r="D1001" s="251">
        <f t="shared" si="18"/>
        <v>0.9621599111604664</v>
      </c>
      <c r="E1001" s="251">
        <v>4.7481625748120385E-3</v>
      </c>
    </row>
    <row r="1002" spans="2:5">
      <c r="B1002" s="252">
        <v>43154</v>
      </c>
      <c r="C1002" s="251">
        <v>360.2</v>
      </c>
      <c r="D1002" s="251">
        <f t="shared" si="18"/>
        <v>-0.1292155203674604</v>
      </c>
      <c r="E1002" s="251">
        <v>4.7419804741980157E-3</v>
      </c>
    </row>
    <row r="1003" spans="2:5">
      <c r="B1003" s="252">
        <v>44635</v>
      </c>
      <c r="C1003" s="251">
        <v>413.65</v>
      </c>
      <c r="D1003" s="251">
        <f t="shared" si="18"/>
        <v>-0.34857241846328291</v>
      </c>
      <c r="E1003" s="251">
        <v>4.7364585863492563E-3</v>
      </c>
    </row>
    <row r="1004" spans="2:5">
      <c r="B1004" s="252">
        <v>45211</v>
      </c>
      <c r="C1004" s="251">
        <v>634.99</v>
      </c>
      <c r="D1004" s="251">
        <f t="shared" si="18"/>
        <v>0.13275772874038916</v>
      </c>
      <c r="E1004" s="251">
        <v>4.6515307333281465E-3</v>
      </c>
    </row>
    <row r="1005" spans="2:5">
      <c r="B1005" s="252">
        <v>45086</v>
      </c>
      <c r="C1005" s="251">
        <v>560.57000000000005</v>
      </c>
      <c r="D1005" s="251">
        <f t="shared" si="18"/>
        <v>1.1560384615384618</v>
      </c>
      <c r="E1005" s="251">
        <v>4.641743431664274E-3</v>
      </c>
    </row>
    <row r="1006" spans="2:5">
      <c r="B1006" s="252">
        <v>43340</v>
      </c>
      <c r="C1006" s="251">
        <v>260</v>
      </c>
      <c r="D1006" s="251">
        <f t="shared" si="18"/>
        <v>0.99616122840690979</v>
      </c>
      <c r="E1006" s="251">
        <v>4.6367851622874361E-3</v>
      </c>
    </row>
    <row r="1007" spans="2:5">
      <c r="B1007" s="252">
        <v>44125</v>
      </c>
      <c r="C1007" s="251">
        <v>130.25</v>
      </c>
      <c r="D1007" s="251">
        <f t="shared" si="18"/>
        <v>-0.25464949928469244</v>
      </c>
      <c r="E1007" s="251">
        <v>4.6278441959120269E-3</v>
      </c>
    </row>
    <row r="1008" spans="2:5">
      <c r="B1008" s="252">
        <v>43452</v>
      </c>
      <c r="C1008" s="251">
        <v>174.75</v>
      </c>
      <c r="D1008" s="251">
        <f t="shared" si="18"/>
        <v>-0.71838589592767477</v>
      </c>
      <c r="E1008" s="251">
        <v>4.5990227076746848E-3</v>
      </c>
    </row>
    <row r="1009" spans="2:5">
      <c r="B1009" s="252">
        <v>45205</v>
      </c>
      <c r="C1009" s="251">
        <v>620.53</v>
      </c>
      <c r="D1009" s="251">
        <f t="shared" si="18"/>
        <v>0.26213769958303673</v>
      </c>
      <c r="E1009" s="251">
        <v>4.597775583221224E-3</v>
      </c>
    </row>
    <row r="1010" spans="2:5">
      <c r="B1010" s="252">
        <v>44545</v>
      </c>
      <c r="C1010" s="251">
        <v>491.65</v>
      </c>
      <c r="D1010" s="251">
        <f t="shared" si="18"/>
        <v>0.60146579804560252</v>
      </c>
      <c r="E1010" s="251">
        <v>4.5974662852472413E-3</v>
      </c>
    </row>
    <row r="1011" spans="2:5">
      <c r="B1011" s="252">
        <v>43272</v>
      </c>
      <c r="C1011" s="251">
        <v>307</v>
      </c>
      <c r="D1011" s="251">
        <f t="shared" si="18"/>
        <v>-0.61141699892411872</v>
      </c>
      <c r="E1011" s="251">
        <v>4.581151832460658E-3</v>
      </c>
    </row>
    <row r="1012" spans="2:5">
      <c r="B1012" s="252">
        <v>45628</v>
      </c>
      <c r="C1012" s="251">
        <v>790.05</v>
      </c>
      <c r="D1012" s="251">
        <f t="shared" si="18"/>
        <v>1.3771626297577853</v>
      </c>
      <c r="E1012" s="251">
        <v>4.5775319473582666E-3</v>
      </c>
    </row>
    <row r="1013" spans="2:5">
      <c r="B1013" s="252">
        <v>43185</v>
      </c>
      <c r="C1013" s="251">
        <v>332.35</v>
      </c>
      <c r="D1013" s="251">
        <f t="shared" si="18"/>
        <v>-0.23342175066312995</v>
      </c>
      <c r="E1013" s="251">
        <v>4.5337766359377354E-3</v>
      </c>
    </row>
    <row r="1014" spans="2:5">
      <c r="B1014" s="252">
        <v>43108</v>
      </c>
      <c r="C1014" s="251">
        <v>433.55</v>
      </c>
      <c r="D1014" s="251">
        <f t="shared" si="18"/>
        <v>-4.8203833352461062E-3</v>
      </c>
      <c r="E1014" s="251">
        <v>4.5180722891566003E-3</v>
      </c>
    </row>
    <row r="1015" spans="2:5">
      <c r="B1015" s="252">
        <v>44650</v>
      </c>
      <c r="C1015" s="251">
        <v>435.65</v>
      </c>
      <c r="D1015" s="251">
        <f t="shared" si="18"/>
        <v>-0.56696983251329458</v>
      </c>
      <c r="E1015" s="251">
        <v>4.4961955268618603E-3</v>
      </c>
    </row>
    <row r="1016" spans="2:5">
      <c r="B1016" s="252">
        <v>45385</v>
      </c>
      <c r="C1016" s="267">
        <v>1006.05</v>
      </c>
      <c r="D1016" s="251">
        <f t="shared" si="18"/>
        <v>1.2856980574804044</v>
      </c>
      <c r="E1016" s="251">
        <v>4.4830065098446521E-3</v>
      </c>
    </row>
    <row r="1017" spans="2:5">
      <c r="B1017" s="252">
        <v>43048</v>
      </c>
      <c r="C1017" s="251">
        <v>440.15</v>
      </c>
      <c r="D1017" s="251">
        <f t="shared" si="18"/>
        <v>-9.7775955724095615E-2</v>
      </c>
      <c r="E1017" s="251">
        <v>4.4500228206298233E-3</v>
      </c>
    </row>
    <row r="1018" spans="2:5">
      <c r="B1018" s="252">
        <v>44502</v>
      </c>
      <c r="C1018" s="251">
        <v>487.85</v>
      </c>
      <c r="D1018" s="251">
        <f t="shared" si="18"/>
        <v>1.9007832898172372E-2</v>
      </c>
      <c r="E1018" s="251">
        <v>4.4266007823760226E-3</v>
      </c>
    </row>
    <row r="1019" spans="2:5">
      <c r="B1019" s="252">
        <v>42888</v>
      </c>
      <c r="C1019" s="251">
        <v>478.75</v>
      </c>
      <c r="D1019" s="251">
        <f t="shared" si="18"/>
        <v>4.9545105776608624E-2</v>
      </c>
      <c r="E1019" s="251">
        <v>4.4057484527431504E-3</v>
      </c>
    </row>
    <row r="1020" spans="2:5">
      <c r="B1020" s="252">
        <v>42934</v>
      </c>
      <c r="C1020" s="251">
        <v>456.15</v>
      </c>
      <c r="D1020" s="251">
        <f t="shared" si="18"/>
        <v>0.42569151429910923</v>
      </c>
      <c r="E1020" s="251">
        <v>4.4038313332599366E-3</v>
      </c>
    </row>
    <row r="1021" spans="2:5">
      <c r="B1021" s="252">
        <v>44271</v>
      </c>
      <c r="C1021" s="251">
        <v>319.95</v>
      </c>
      <c r="D1021" s="251">
        <f t="shared" si="18"/>
        <v>-3.5423575520048239E-2</v>
      </c>
      <c r="E1021" s="251">
        <v>4.3949144561292643E-3</v>
      </c>
    </row>
    <row r="1022" spans="2:5">
      <c r="B1022" s="252">
        <v>42268</v>
      </c>
      <c r="C1022" s="251">
        <v>331.7</v>
      </c>
      <c r="D1022" s="251">
        <f t="shared" si="18"/>
        <v>0.31314330958036418</v>
      </c>
      <c r="E1022" s="251">
        <v>4.3906131718394808E-3</v>
      </c>
    </row>
    <row r="1023" spans="2:5">
      <c r="B1023" s="252">
        <v>43362</v>
      </c>
      <c r="C1023" s="251">
        <v>252.6</v>
      </c>
      <c r="D1023" s="251">
        <f t="shared" si="18"/>
        <v>0.3746938775510204</v>
      </c>
      <c r="E1023" s="251">
        <v>4.3737574552683671E-3</v>
      </c>
    </row>
    <row r="1024" spans="2:5">
      <c r="B1024" s="252">
        <v>43385</v>
      </c>
      <c r="C1024" s="251">
        <v>183.75</v>
      </c>
      <c r="D1024" s="251">
        <f t="shared" si="18"/>
        <v>-0.55322408091810926</v>
      </c>
      <c r="E1024" s="251">
        <v>4.3727794479366568E-3</v>
      </c>
    </row>
    <row r="1025" spans="2:5">
      <c r="B1025" s="252">
        <v>45006</v>
      </c>
      <c r="C1025" s="251">
        <v>411.28</v>
      </c>
      <c r="D1025" s="251">
        <f t="shared" si="18"/>
        <v>1.3711732487748631</v>
      </c>
      <c r="E1025" s="251">
        <v>4.3712911182201362E-3</v>
      </c>
    </row>
    <row r="1026" spans="2:5">
      <c r="B1026" s="252">
        <v>43466</v>
      </c>
      <c r="C1026" s="251">
        <v>173.45</v>
      </c>
      <c r="D1026" s="251">
        <f t="shared" si="18"/>
        <v>-0.41292942968353363</v>
      </c>
      <c r="E1026" s="251">
        <v>4.3427909669947889E-3</v>
      </c>
    </row>
    <row r="1027" spans="2:5">
      <c r="B1027" s="252">
        <v>44419</v>
      </c>
      <c r="C1027" s="251">
        <v>295.45</v>
      </c>
      <c r="D1027" s="251">
        <f t="shared" si="18"/>
        <v>1.0545897079276771</v>
      </c>
      <c r="E1027" s="251">
        <v>4.2488103331067301E-3</v>
      </c>
    </row>
    <row r="1028" spans="2:5">
      <c r="B1028" s="252">
        <v>44075</v>
      </c>
      <c r="C1028" s="251">
        <v>143.80000000000001</v>
      </c>
      <c r="D1028" s="251">
        <f t="shared" si="18"/>
        <v>-0.62610504420176805</v>
      </c>
      <c r="E1028" s="251">
        <v>4.1899441340783718E-3</v>
      </c>
    </row>
    <row r="1029" spans="2:5">
      <c r="B1029" s="252">
        <v>42303</v>
      </c>
      <c r="C1029" s="251">
        <v>384.6</v>
      </c>
      <c r="D1029" s="251">
        <f t="shared" si="18"/>
        <v>-0.24052132701421794</v>
      </c>
      <c r="E1029" s="251">
        <v>4.177545691906065E-3</v>
      </c>
    </row>
    <row r="1030" spans="2:5">
      <c r="B1030" s="252">
        <v>44594</v>
      </c>
      <c r="C1030" s="251">
        <v>506.4</v>
      </c>
      <c r="D1030" s="251">
        <f t="shared" si="18"/>
        <v>4.2618900555898682E-2</v>
      </c>
      <c r="E1030" s="251">
        <v>4.1641879833431801E-3</v>
      </c>
    </row>
    <row r="1031" spans="2:5">
      <c r="B1031" s="252">
        <v>44501</v>
      </c>
      <c r="C1031" s="251">
        <v>485.7</v>
      </c>
      <c r="D1031" s="251">
        <f t="shared" si="18"/>
        <v>-4.7703076289629991E-2</v>
      </c>
      <c r="E1031" s="251">
        <v>4.1347942939838744E-3</v>
      </c>
    </row>
    <row r="1032" spans="2:5">
      <c r="B1032" s="252">
        <v>45057</v>
      </c>
      <c r="C1032" s="251">
        <v>510.03</v>
      </c>
      <c r="D1032" s="251">
        <f t="shared" si="18"/>
        <v>1.9905013192612133</v>
      </c>
      <c r="E1032" s="251">
        <v>4.1344279723583288E-3</v>
      </c>
    </row>
    <row r="1033" spans="2:5">
      <c r="B1033" s="252">
        <v>43552</v>
      </c>
      <c r="C1033" s="251">
        <v>170.55</v>
      </c>
      <c r="D1033" s="251">
        <f t="shared" si="18"/>
        <v>-0.66708959593987893</v>
      </c>
      <c r="E1033" s="251">
        <v>4.1212834854284196E-3</v>
      </c>
    </row>
    <row r="1034" spans="2:5">
      <c r="B1034" s="252">
        <v>42678</v>
      </c>
      <c r="C1034" s="251">
        <v>512.29999999999995</v>
      </c>
      <c r="D1034" s="251">
        <f t="shared" ref="D1034:D1097" si="19">(C1034-C1035)/C1035</f>
        <v>0.16141464520516874</v>
      </c>
      <c r="E1034" s="251">
        <v>4.1160329282633598E-3</v>
      </c>
    </row>
    <row r="1035" spans="2:5">
      <c r="B1035" s="252">
        <v>42710</v>
      </c>
      <c r="C1035" s="251">
        <v>441.1</v>
      </c>
      <c r="D1035" s="251">
        <f t="shared" si="19"/>
        <v>0.43563873067534586</v>
      </c>
      <c r="E1035" s="251">
        <v>4.0974277259276382E-3</v>
      </c>
    </row>
    <row r="1036" spans="2:5">
      <c r="B1036" s="252">
        <v>44421</v>
      </c>
      <c r="C1036" s="251">
        <v>307.25</v>
      </c>
      <c r="D1036" s="251">
        <f t="shared" si="19"/>
        <v>-0.2190875587749396</v>
      </c>
      <c r="E1036" s="251">
        <v>4.0849673202614381E-3</v>
      </c>
    </row>
    <row r="1037" spans="2:5">
      <c r="B1037" s="252">
        <v>42368</v>
      </c>
      <c r="C1037" s="251">
        <v>393.45</v>
      </c>
      <c r="D1037" s="251">
        <f t="shared" si="19"/>
        <v>0.14126178390137778</v>
      </c>
      <c r="E1037" s="251">
        <v>4.0831951001657927E-3</v>
      </c>
    </row>
    <row r="1038" spans="2:5">
      <c r="B1038" s="252">
        <v>44357</v>
      </c>
      <c r="C1038" s="251">
        <v>344.75</v>
      </c>
      <c r="D1038" s="251">
        <f t="shared" si="19"/>
        <v>-9.9869451697127937E-2</v>
      </c>
      <c r="E1038" s="251">
        <v>4.0774719673801578E-3</v>
      </c>
    </row>
    <row r="1039" spans="2:5">
      <c r="B1039" s="252">
        <v>42300</v>
      </c>
      <c r="C1039" s="251">
        <v>383</v>
      </c>
      <c r="D1039" s="251">
        <f t="shared" si="19"/>
        <v>-0.14058117356670027</v>
      </c>
      <c r="E1039" s="251">
        <v>4.0634421287193906E-3</v>
      </c>
    </row>
    <row r="1040" spans="2:5">
      <c r="B1040" s="252">
        <v>42850</v>
      </c>
      <c r="C1040" s="251">
        <v>445.65</v>
      </c>
      <c r="D1040" s="251">
        <f t="shared" si="19"/>
        <v>-0.30553824097737337</v>
      </c>
      <c r="E1040" s="251">
        <v>4.0554241297734691E-3</v>
      </c>
    </row>
    <row r="1041" spans="2:5">
      <c r="B1041" s="252">
        <v>45134</v>
      </c>
      <c r="C1041" s="251">
        <v>641.72</v>
      </c>
      <c r="D1041" s="251">
        <f t="shared" si="19"/>
        <v>2.9833643699565489</v>
      </c>
      <c r="E1041" s="251">
        <v>4.0523837091046141E-3</v>
      </c>
    </row>
    <row r="1042" spans="2:5">
      <c r="B1042" s="252">
        <v>43642</v>
      </c>
      <c r="C1042" s="251">
        <v>161.1</v>
      </c>
      <c r="D1042" s="251">
        <f t="shared" si="19"/>
        <v>-0.76840138010350778</v>
      </c>
      <c r="E1042" s="251">
        <v>4.051106263633566E-3</v>
      </c>
    </row>
    <row r="1043" spans="2:5">
      <c r="B1043" s="252">
        <v>45848</v>
      </c>
      <c r="C1043" s="251">
        <v>695.6</v>
      </c>
      <c r="D1043" s="251">
        <f t="shared" si="19"/>
        <v>-0.28351444610392956</v>
      </c>
      <c r="E1043" s="251">
        <v>4.0415704387991754E-3</v>
      </c>
    </row>
    <row r="1044" spans="2:5">
      <c r="B1044" s="252">
        <v>45555</v>
      </c>
      <c r="C1044" s="251">
        <v>970.85</v>
      </c>
      <c r="D1044" s="251">
        <f t="shared" si="19"/>
        <v>0.42416018776587938</v>
      </c>
      <c r="E1044" s="251">
        <v>3.9813857290589691E-3</v>
      </c>
    </row>
    <row r="1045" spans="2:5">
      <c r="B1045" s="252">
        <v>45855</v>
      </c>
      <c r="C1045" s="251">
        <v>681.7</v>
      </c>
      <c r="D1045" s="251">
        <f t="shared" si="19"/>
        <v>0.44320948449243147</v>
      </c>
      <c r="E1045" s="251">
        <v>3.9764359351988892E-3</v>
      </c>
    </row>
    <row r="1046" spans="2:5">
      <c r="B1046" s="252">
        <v>44553</v>
      </c>
      <c r="C1046" s="251">
        <v>472.35</v>
      </c>
      <c r="D1046" s="251">
        <f t="shared" si="19"/>
        <v>0.53859934853420199</v>
      </c>
      <c r="E1046" s="251">
        <v>3.9319872476089746E-3</v>
      </c>
    </row>
    <row r="1047" spans="2:5">
      <c r="B1047" s="252">
        <v>44273</v>
      </c>
      <c r="C1047" s="251">
        <v>307</v>
      </c>
      <c r="D1047" s="251">
        <f t="shared" si="19"/>
        <v>1.3937621832358675</v>
      </c>
      <c r="E1047" s="251">
        <v>3.924133420536261E-3</v>
      </c>
    </row>
    <row r="1048" spans="2:5">
      <c r="B1048" s="252">
        <v>44123</v>
      </c>
      <c r="C1048" s="251">
        <v>128.25</v>
      </c>
      <c r="D1048" s="251">
        <f t="shared" si="19"/>
        <v>-0.70284986098239111</v>
      </c>
      <c r="E1048" s="251">
        <v>3.9138943248532287E-3</v>
      </c>
    </row>
    <row r="1049" spans="2:5">
      <c r="B1049" s="252">
        <v>43105</v>
      </c>
      <c r="C1049" s="251">
        <v>431.6</v>
      </c>
      <c r="D1049" s="251">
        <f t="shared" si="19"/>
        <v>3.1183206106870229</v>
      </c>
      <c r="E1049" s="251">
        <v>3.8376555413420959E-3</v>
      </c>
    </row>
    <row r="1050" spans="2:5">
      <c r="B1050" s="252">
        <v>44006</v>
      </c>
      <c r="C1050" s="251">
        <v>104.8</v>
      </c>
      <c r="D1050" s="251">
        <f t="shared" si="19"/>
        <v>-0.43089872386641326</v>
      </c>
      <c r="E1050" s="251">
        <v>3.8314176245209911E-3</v>
      </c>
    </row>
    <row r="1051" spans="2:5">
      <c r="B1051" s="252">
        <v>44195</v>
      </c>
      <c r="C1051" s="251">
        <v>184.15</v>
      </c>
      <c r="D1051" s="251">
        <f t="shared" si="19"/>
        <v>-0.48974785259074533</v>
      </c>
      <c r="E1051" s="251">
        <v>3.8157536113383327E-3</v>
      </c>
    </row>
    <row r="1052" spans="2:5">
      <c r="B1052" s="252">
        <v>42446</v>
      </c>
      <c r="C1052" s="251">
        <v>360.9</v>
      </c>
      <c r="D1052" s="251">
        <f t="shared" si="19"/>
        <v>0.17384940640754593</v>
      </c>
      <c r="E1052" s="251">
        <v>3.7546933667082904E-3</v>
      </c>
    </row>
    <row r="1053" spans="2:5">
      <c r="B1053" s="252">
        <v>44389</v>
      </c>
      <c r="C1053" s="251">
        <v>307.45</v>
      </c>
      <c r="D1053" s="251">
        <f t="shared" si="19"/>
        <v>-0.11601495112133416</v>
      </c>
      <c r="E1053" s="251">
        <v>3.7544890630100466E-3</v>
      </c>
    </row>
    <row r="1054" spans="2:5">
      <c r="B1054" s="252">
        <v>43166</v>
      </c>
      <c r="C1054" s="251">
        <v>347.8</v>
      </c>
      <c r="D1054" s="251">
        <f t="shared" si="19"/>
        <v>-0.49066412828586076</v>
      </c>
      <c r="E1054" s="251">
        <v>3.7518037518037848E-3</v>
      </c>
    </row>
    <row r="1055" spans="2:5">
      <c r="B1055" s="252">
        <v>45785</v>
      </c>
      <c r="C1055" s="251">
        <v>682.85</v>
      </c>
      <c r="D1055" s="251">
        <f t="shared" si="19"/>
        <v>4.6271116604861975</v>
      </c>
      <c r="E1055" s="251">
        <v>3.7483463178010707E-3</v>
      </c>
    </row>
    <row r="1056" spans="2:5">
      <c r="B1056" s="252">
        <v>43693</v>
      </c>
      <c r="C1056" s="251">
        <v>121.35</v>
      </c>
      <c r="D1056" s="251">
        <f t="shared" si="19"/>
        <v>0.12361111111111106</v>
      </c>
      <c r="E1056" s="251">
        <v>3.7220843672455635E-3</v>
      </c>
    </row>
    <row r="1057" spans="2:5">
      <c r="B1057" s="252">
        <v>44025</v>
      </c>
      <c r="C1057" s="251">
        <v>108</v>
      </c>
      <c r="D1057" s="251">
        <f t="shared" si="19"/>
        <v>-0.74579263269389195</v>
      </c>
      <c r="E1057" s="251">
        <v>3.717472118959161E-3</v>
      </c>
    </row>
    <row r="1058" spans="2:5">
      <c r="B1058" s="252">
        <v>43014</v>
      </c>
      <c r="C1058" s="251">
        <v>424.85</v>
      </c>
      <c r="D1058" s="251">
        <f t="shared" si="19"/>
        <v>3.1865542952906042E-2</v>
      </c>
      <c r="E1058" s="251">
        <v>3.6617056461138941E-3</v>
      </c>
    </row>
    <row r="1059" spans="2:5">
      <c r="B1059" s="252">
        <v>44942</v>
      </c>
      <c r="C1059" s="251">
        <v>411.73</v>
      </c>
      <c r="D1059" s="251">
        <f t="shared" si="19"/>
        <v>3.9546329723225031</v>
      </c>
      <c r="E1059" s="251">
        <v>3.6564853862467396E-3</v>
      </c>
    </row>
    <row r="1060" spans="2:5">
      <c r="B1060" s="252">
        <v>43977</v>
      </c>
      <c r="C1060" s="251">
        <v>83.1</v>
      </c>
      <c r="D1060" s="251">
        <f t="shared" si="19"/>
        <v>-0.82407113369323592</v>
      </c>
      <c r="E1060" s="251">
        <v>3.6231884057970672E-3</v>
      </c>
    </row>
    <row r="1061" spans="2:5">
      <c r="B1061" s="252">
        <v>42718</v>
      </c>
      <c r="C1061" s="251">
        <v>472.35</v>
      </c>
      <c r="D1061" s="251">
        <f t="shared" si="19"/>
        <v>0.21224175542153229</v>
      </c>
      <c r="E1061" s="251">
        <v>3.612025921597887E-3</v>
      </c>
    </row>
    <row r="1062" spans="2:5">
      <c r="B1062" s="252">
        <v>42991</v>
      </c>
      <c r="C1062" s="251">
        <v>389.65</v>
      </c>
      <c r="D1062" s="251">
        <f t="shared" si="19"/>
        <v>0.47009998113563461</v>
      </c>
      <c r="E1062" s="251">
        <v>3.6059240180295617E-3</v>
      </c>
    </row>
    <row r="1063" spans="2:5">
      <c r="B1063" s="252">
        <v>43313</v>
      </c>
      <c r="C1063" s="251">
        <v>265.05</v>
      </c>
      <c r="D1063" s="251">
        <f t="shared" si="19"/>
        <v>0.45751993401154811</v>
      </c>
      <c r="E1063" s="251">
        <v>3.5971223021582302E-3</v>
      </c>
    </row>
    <row r="1064" spans="2:5">
      <c r="B1064" s="252">
        <v>43535</v>
      </c>
      <c r="C1064" s="251">
        <v>181.85</v>
      </c>
      <c r="D1064" s="251">
        <f t="shared" si="19"/>
        <v>-0.3813573737030107</v>
      </c>
      <c r="E1064" s="251">
        <v>3.5871964679912017E-3</v>
      </c>
    </row>
    <row r="1065" spans="2:5">
      <c r="B1065" s="252">
        <v>44407</v>
      </c>
      <c r="C1065" s="251">
        <v>293.95</v>
      </c>
      <c r="D1065" s="251">
        <f t="shared" si="19"/>
        <v>-0.40083571137382801</v>
      </c>
      <c r="E1065" s="251">
        <v>3.5848412427450034E-3</v>
      </c>
    </row>
    <row r="1066" spans="2:5">
      <c r="B1066" s="252">
        <v>44568</v>
      </c>
      <c r="C1066" s="251">
        <v>490.6</v>
      </c>
      <c r="D1066" s="251">
        <f t="shared" si="19"/>
        <v>-0.2717286424701254</v>
      </c>
      <c r="E1066" s="251">
        <v>3.5798302137670041E-3</v>
      </c>
    </row>
    <row r="1067" spans="2:5">
      <c r="B1067" s="252">
        <v>45832</v>
      </c>
      <c r="C1067" s="251">
        <v>673.65</v>
      </c>
      <c r="D1067" s="251">
        <f t="shared" si="19"/>
        <v>-7.8075817709046202E-2</v>
      </c>
      <c r="E1067" s="251">
        <v>3.575418994413374E-3</v>
      </c>
    </row>
    <row r="1068" spans="2:5">
      <c r="B1068" s="252">
        <v>45793</v>
      </c>
      <c r="C1068" s="251">
        <v>730.7</v>
      </c>
      <c r="D1068" s="251">
        <f t="shared" si="19"/>
        <v>1.8835832675611683</v>
      </c>
      <c r="E1068" s="251">
        <v>3.5709380579591029E-3</v>
      </c>
    </row>
    <row r="1069" spans="2:5">
      <c r="B1069" s="252">
        <v>43301</v>
      </c>
      <c r="C1069" s="251">
        <v>253.4</v>
      </c>
      <c r="D1069" s="251">
        <f t="shared" si="19"/>
        <v>-0.42093235831809872</v>
      </c>
      <c r="E1069" s="251">
        <v>3.564356435643587E-3</v>
      </c>
    </row>
    <row r="1070" spans="2:5">
      <c r="B1070" s="252">
        <v>44680</v>
      </c>
      <c r="C1070" s="251">
        <v>437.6</v>
      </c>
      <c r="D1070" s="251">
        <f t="shared" si="19"/>
        <v>-0.14027504911591351</v>
      </c>
      <c r="E1070" s="251">
        <v>3.5546382295608562E-3</v>
      </c>
    </row>
    <row r="1071" spans="2:5">
      <c r="B1071" s="252">
        <v>42576</v>
      </c>
      <c r="C1071" s="251">
        <v>509</v>
      </c>
      <c r="D1071" s="251">
        <f t="shared" si="19"/>
        <v>-0.16457399839151771</v>
      </c>
      <c r="E1071" s="251">
        <v>3.5488958990536504E-3</v>
      </c>
    </row>
    <row r="1072" spans="2:5">
      <c r="B1072" s="252">
        <v>45174</v>
      </c>
      <c r="C1072" s="251">
        <v>609.27</v>
      </c>
      <c r="D1072" s="251">
        <f t="shared" si="19"/>
        <v>0.76038717133776346</v>
      </c>
      <c r="E1072" s="251">
        <v>3.5247805247640312E-3</v>
      </c>
    </row>
    <row r="1073" spans="2:5">
      <c r="B1073" s="252">
        <v>44382</v>
      </c>
      <c r="C1073" s="251">
        <v>346.1</v>
      </c>
      <c r="D1073" s="251">
        <f t="shared" si="19"/>
        <v>-0.10269373363407731</v>
      </c>
      <c r="E1073" s="251">
        <v>3.4792693534359104E-3</v>
      </c>
    </row>
    <row r="1074" spans="2:5">
      <c r="B1074" s="252">
        <v>44931</v>
      </c>
      <c r="C1074" s="251">
        <v>385.71</v>
      </c>
      <c r="D1074" s="251">
        <f t="shared" si="19"/>
        <v>-0.37171572380316331</v>
      </c>
      <c r="E1074" s="251">
        <v>3.3818058843421202E-3</v>
      </c>
    </row>
    <row r="1075" spans="2:5">
      <c r="B1075" s="252">
        <v>45156</v>
      </c>
      <c r="C1075" s="251">
        <v>613.91</v>
      </c>
      <c r="D1075" s="251">
        <f t="shared" si="19"/>
        <v>0.41209890741805627</v>
      </c>
      <c r="E1075" s="251">
        <v>3.3504396430555266E-3</v>
      </c>
    </row>
    <row r="1076" spans="2:5">
      <c r="B1076" s="252">
        <v>43111</v>
      </c>
      <c r="C1076" s="251">
        <v>434.75</v>
      </c>
      <c r="D1076" s="251">
        <f t="shared" si="19"/>
        <v>-0.57566736616075354</v>
      </c>
      <c r="E1076" s="251">
        <v>3.3464112624047742E-3</v>
      </c>
    </row>
    <row r="1077" spans="2:5">
      <c r="B1077" s="252">
        <v>45491</v>
      </c>
      <c r="C1077" s="267">
        <v>1024.55</v>
      </c>
      <c r="D1077" s="251">
        <f t="shared" si="19"/>
        <v>4.603226688542521</v>
      </c>
      <c r="E1077" s="251">
        <v>3.3295793957792462E-3</v>
      </c>
    </row>
    <row r="1078" spans="2:5">
      <c r="B1078" s="252">
        <v>43543</v>
      </c>
      <c r="C1078" s="251">
        <v>182.85</v>
      </c>
      <c r="D1078" s="251">
        <f t="shared" si="19"/>
        <v>-0.6748813143436283</v>
      </c>
      <c r="E1078" s="251">
        <v>3.2921810699588164E-3</v>
      </c>
    </row>
    <row r="1079" spans="2:5">
      <c r="B1079" s="252">
        <v>45089</v>
      </c>
      <c r="C1079" s="251">
        <v>562.41</v>
      </c>
      <c r="D1079" s="251">
        <f t="shared" si="19"/>
        <v>2.0507729861676158</v>
      </c>
      <c r="E1079" s="251">
        <v>3.2823732986066289E-3</v>
      </c>
    </row>
    <row r="1080" spans="2:5">
      <c r="B1080" s="252">
        <v>43388</v>
      </c>
      <c r="C1080" s="251">
        <v>184.35</v>
      </c>
      <c r="D1080" s="251">
        <f t="shared" si="19"/>
        <v>-0.40146103896103896</v>
      </c>
      <c r="E1080" s="251">
        <v>3.2653061224489485E-3</v>
      </c>
    </row>
    <row r="1081" spans="2:5">
      <c r="B1081" s="252">
        <v>43273</v>
      </c>
      <c r="C1081" s="251">
        <v>308</v>
      </c>
      <c r="D1081" s="251">
        <f t="shared" si="19"/>
        <v>-0.22529365897829312</v>
      </c>
      <c r="E1081" s="251">
        <v>3.2573289902280132E-3</v>
      </c>
    </row>
    <row r="1082" spans="2:5">
      <c r="B1082" s="252">
        <v>44831</v>
      </c>
      <c r="C1082" s="251">
        <v>397.57</v>
      </c>
      <c r="D1082" s="251">
        <f t="shared" si="19"/>
        <v>-0.41726639794796627</v>
      </c>
      <c r="E1082" s="251">
        <v>3.2552740486525198E-3</v>
      </c>
    </row>
    <row r="1083" spans="2:5">
      <c r="B1083" s="252">
        <v>45735</v>
      </c>
      <c r="C1083" s="251">
        <v>682.25</v>
      </c>
      <c r="D1083" s="251">
        <f t="shared" si="19"/>
        <v>0.33238941509618214</v>
      </c>
      <c r="E1083" s="251">
        <v>3.2350562458643419E-3</v>
      </c>
    </row>
    <row r="1084" spans="2:5">
      <c r="B1084" s="252">
        <v>42600</v>
      </c>
      <c r="C1084" s="251">
        <v>512.04999999999995</v>
      </c>
      <c r="D1084" s="251">
        <f t="shared" si="19"/>
        <v>0.64514056224899585</v>
      </c>
      <c r="E1084" s="251">
        <v>3.2327586206896109E-3</v>
      </c>
    </row>
    <row r="1085" spans="2:5">
      <c r="B1085" s="252">
        <v>44393</v>
      </c>
      <c r="C1085" s="251">
        <v>311.25</v>
      </c>
      <c r="D1085" s="251">
        <f t="shared" si="19"/>
        <v>-0.33649541675548927</v>
      </c>
      <c r="E1085" s="251">
        <v>3.2232070910556002E-3</v>
      </c>
    </row>
    <row r="1086" spans="2:5">
      <c r="B1086" s="252">
        <v>42804</v>
      </c>
      <c r="C1086" s="251">
        <v>469.1</v>
      </c>
      <c r="D1086" s="251">
        <f t="shared" si="19"/>
        <v>0.47261026526447969</v>
      </c>
      <c r="E1086" s="251">
        <v>3.2078699743370402E-3</v>
      </c>
    </row>
    <row r="1087" spans="2:5">
      <c r="B1087" s="252">
        <v>44270</v>
      </c>
      <c r="C1087" s="251">
        <v>318.55</v>
      </c>
      <c r="D1087" s="251">
        <f t="shared" si="19"/>
        <v>-0.29749696769213801</v>
      </c>
      <c r="E1087" s="251">
        <v>3.1491103763186899E-3</v>
      </c>
    </row>
    <row r="1088" spans="2:5">
      <c r="B1088" s="252">
        <v>44763</v>
      </c>
      <c r="C1088" s="251">
        <v>453.45</v>
      </c>
      <c r="D1088" s="251">
        <f t="shared" si="19"/>
        <v>-0.32552431950022309</v>
      </c>
      <c r="E1088" s="251">
        <v>3.0970025439663249E-3</v>
      </c>
    </row>
    <row r="1089" spans="2:5">
      <c r="B1089" s="252">
        <v>45827</v>
      </c>
      <c r="C1089" s="251">
        <v>672.3</v>
      </c>
      <c r="D1089" s="251">
        <f t="shared" si="19"/>
        <v>0.46136289533746316</v>
      </c>
      <c r="E1089" s="251">
        <v>3.058560238716829E-3</v>
      </c>
    </row>
    <row r="1090" spans="2:5">
      <c r="B1090" s="252">
        <v>42788</v>
      </c>
      <c r="C1090" s="251">
        <v>460.05</v>
      </c>
      <c r="D1090" s="251">
        <f t="shared" si="19"/>
        <v>-7.980798079807977E-2</v>
      </c>
      <c r="E1090" s="251">
        <v>3.0524364984193483E-3</v>
      </c>
    </row>
    <row r="1091" spans="2:5">
      <c r="B1091" s="252">
        <v>44609</v>
      </c>
      <c r="C1091" s="251">
        <v>499.95</v>
      </c>
      <c r="D1091" s="251">
        <f t="shared" si="19"/>
        <v>2.7337565347274082</v>
      </c>
      <c r="E1091" s="251">
        <v>3.0093289196509178E-3</v>
      </c>
    </row>
    <row r="1092" spans="2:5">
      <c r="B1092" s="252">
        <v>44109</v>
      </c>
      <c r="C1092" s="251">
        <v>133.9</v>
      </c>
      <c r="D1092" s="251">
        <f t="shared" si="19"/>
        <v>-0.6843842074248675</v>
      </c>
      <c r="E1092" s="251">
        <v>2.9962546816479827E-3</v>
      </c>
    </row>
    <row r="1093" spans="2:5">
      <c r="B1093" s="252">
        <v>43060</v>
      </c>
      <c r="C1093" s="251">
        <v>424.25</v>
      </c>
      <c r="D1093" s="251">
        <f t="shared" si="19"/>
        <v>0.28502195971528105</v>
      </c>
      <c r="E1093" s="251">
        <v>2.9550827423167848E-3</v>
      </c>
    </row>
    <row r="1094" spans="2:5">
      <c r="B1094" s="252">
        <v>44244</v>
      </c>
      <c r="C1094" s="251">
        <v>330.15</v>
      </c>
      <c r="D1094" s="251">
        <f t="shared" si="19"/>
        <v>-3.0280090840279405E-4</v>
      </c>
      <c r="E1094" s="251">
        <v>2.8857837181044611E-3</v>
      </c>
    </row>
    <row r="1095" spans="2:5">
      <c r="B1095" s="252">
        <v>44468</v>
      </c>
      <c r="C1095" s="251">
        <v>330.25</v>
      </c>
      <c r="D1095" s="251">
        <f t="shared" si="19"/>
        <v>-0.30201838740357179</v>
      </c>
      <c r="E1095" s="251">
        <v>2.8849073792893672E-3</v>
      </c>
    </row>
    <row r="1096" spans="2:5">
      <c r="B1096" s="252">
        <v>42724</v>
      </c>
      <c r="C1096" s="251">
        <v>473.15</v>
      </c>
      <c r="D1096" s="251">
        <f t="shared" si="19"/>
        <v>0.12120853080568715</v>
      </c>
      <c r="E1096" s="251">
        <v>2.8613819415005634E-3</v>
      </c>
    </row>
    <row r="1097" spans="2:5">
      <c r="B1097" s="252">
        <v>43091</v>
      </c>
      <c r="C1097" s="251">
        <v>422</v>
      </c>
      <c r="D1097" s="251">
        <f t="shared" si="19"/>
        <v>1.6624605678233439</v>
      </c>
      <c r="E1097" s="251">
        <v>2.8517110266159424E-3</v>
      </c>
    </row>
    <row r="1098" spans="2:5">
      <c r="B1098" s="252">
        <v>43881</v>
      </c>
      <c r="C1098" s="251">
        <v>158.5</v>
      </c>
      <c r="D1098" s="251">
        <f t="shared" ref="D1098:D1161" si="20">(C1098-C1099)/C1099</f>
        <v>-0.62529550827423164</v>
      </c>
      <c r="E1098" s="251">
        <v>2.8472002530843948E-3</v>
      </c>
    </row>
    <row r="1099" spans="2:5">
      <c r="B1099" s="252">
        <v>43059</v>
      </c>
      <c r="C1099" s="251">
        <v>423</v>
      </c>
      <c r="D1099" s="251">
        <f t="shared" si="20"/>
        <v>1.9539106145251399</v>
      </c>
      <c r="E1099" s="251">
        <v>2.8449502133712388E-3</v>
      </c>
    </row>
    <row r="1100" spans="2:5">
      <c r="B1100" s="252">
        <v>44074</v>
      </c>
      <c r="C1100" s="251">
        <v>143.19999999999999</v>
      </c>
      <c r="D1100" s="251">
        <f t="shared" si="20"/>
        <v>-0.85864747746947401</v>
      </c>
      <c r="E1100" s="251">
        <v>2.8011204481791121E-3</v>
      </c>
    </row>
    <row r="1101" spans="2:5">
      <c r="B1101" s="252">
        <v>45418</v>
      </c>
      <c r="C1101" s="267">
        <v>1013.07</v>
      </c>
      <c r="D1101" s="251">
        <f t="shared" si="20"/>
        <v>1.1954057861090046</v>
      </c>
      <c r="E1101" s="251">
        <v>2.761610642594209E-3</v>
      </c>
    </row>
    <row r="1102" spans="2:5">
      <c r="B1102" s="252">
        <v>44529</v>
      </c>
      <c r="C1102" s="251">
        <v>461.45</v>
      </c>
      <c r="D1102" s="251">
        <f t="shared" si="20"/>
        <v>0.37993421052631587</v>
      </c>
      <c r="E1102" s="251">
        <v>2.7162103433289874E-3</v>
      </c>
    </row>
    <row r="1103" spans="2:5">
      <c r="B1103" s="252">
        <v>43224</v>
      </c>
      <c r="C1103" s="251">
        <v>334.4</v>
      </c>
      <c r="D1103" s="251">
        <f t="shared" si="20"/>
        <v>-0.51564310544611824</v>
      </c>
      <c r="E1103" s="251">
        <v>2.6986506746626004E-3</v>
      </c>
    </row>
    <row r="1104" spans="2:5">
      <c r="B1104" s="252">
        <v>45841</v>
      </c>
      <c r="C1104" s="251">
        <v>690.4</v>
      </c>
      <c r="D1104" s="251">
        <f t="shared" si="20"/>
        <v>-0.21545454545454548</v>
      </c>
      <c r="E1104" s="251">
        <v>2.6868056059836218E-3</v>
      </c>
    </row>
    <row r="1105" spans="2:5">
      <c r="B1105" s="252">
        <v>45589</v>
      </c>
      <c r="C1105" s="251">
        <v>880</v>
      </c>
      <c r="D1105" s="251">
        <f t="shared" si="20"/>
        <v>3.6487057580559958</v>
      </c>
      <c r="E1105" s="251">
        <v>2.6776049678117961E-3</v>
      </c>
    </row>
    <row r="1106" spans="2:5">
      <c r="B1106" s="252">
        <v>43531</v>
      </c>
      <c r="C1106" s="251">
        <v>189.3</v>
      </c>
      <c r="D1106" s="251">
        <f t="shared" si="20"/>
        <v>-0.65575559192580468</v>
      </c>
      <c r="E1106" s="251">
        <v>2.6483050847457626E-3</v>
      </c>
    </row>
    <row r="1107" spans="2:5">
      <c r="B1107" s="252">
        <v>42634</v>
      </c>
      <c r="C1107" s="251">
        <v>549.9</v>
      </c>
      <c r="D1107" s="251">
        <f t="shared" si="20"/>
        <v>0.11214480736171502</v>
      </c>
      <c r="E1107" s="251">
        <v>2.6438143859967757E-3</v>
      </c>
    </row>
    <row r="1108" spans="2:5">
      <c r="B1108" s="252">
        <v>44613</v>
      </c>
      <c r="C1108" s="251">
        <v>494.45</v>
      </c>
      <c r="D1108" s="251">
        <f t="shared" si="20"/>
        <v>8.1237699540782804E-2</v>
      </c>
      <c r="E1108" s="251">
        <v>2.6361147723816514E-3</v>
      </c>
    </row>
    <row r="1109" spans="2:5">
      <c r="B1109" s="252">
        <v>42942</v>
      </c>
      <c r="C1109" s="251">
        <v>457.3</v>
      </c>
      <c r="D1109" s="251">
        <f t="shared" si="20"/>
        <v>-0.29543178491641625</v>
      </c>
      <c r="E1109" s="251">
        <v>2.6310019732514547E-3</v>
      </c>
    </row>
    <row r="1110" spans="2:5">
      <c r="B1110" s="252">
        <v>45240</v>
      </c>
      <c r="C1110" s="251">
        <v>649.04999999999995</v>
      </c>
      <c r="D1110" s="251">
        <f t="shared" si="20"/>
        <v>0.46330740615488658</v>
      </c>
      <c r="E1110" s="251">
        <v>2.6260909863287736E-3</v>
      </c>
    </row>
    <row r="1111" spans="2:5">
      <c r="B1111" s="252">
        <v>44712</v>
      </c>
      <c r="C1111" s="251">
        <v>443.55</v>
      </c>
      <c r="D1111" s="251">
        <f t="shared" si="20"/>
        <v>9.4239546071296379E-2</v>
      </c>
      <c r="E1111" s="251">
        <v>2.5994575045208729E-3</v>
      </c>
    </row>
    <row r="1112" spans="2:5">
      <c r="B1112" s="252">
        <v>44697</v>
      </c>
      <c r="C1112" s="251">
        <v>405.35</v>
      </c>
      <c r="D1112" s="251">
        <f t="shared" si="20"/>
        <v>-0.36577848012141501</v>
      </c>
      <c r="E1112" s="251">
        <v>2.5970813752164514E-3</v>
      </c>
    </row>
    <row r="1113" spans="2:5">
      <c r="B1113" s="252">
        <v>45133</v>
      </c>
      <c r="C1113" s="251">
        <v>639.13</v>
      </c>
      <c r="D1113" s="251">
        <f t="shared" si="20"/>
        <v>1.5312079207920792</v>
      </c>
      <c r="E1113" s="251">
        <v>2.5883164962037667E-3</v>
      </c>
    </row>
    <row r="1114" spans="2:5">
      <c r="B1114" s="252">
        <v>43300</v>
      </c>
      <c r="C1114" s="251">
        <v>252.5</v>
      </c>
      <c r="D1114" s="251">
        <f t="shared" si="20"/>
        <v>-0.28682389493009464</v>
      </c>
      <c r="E1114" s="251">
        <v>2.5809013301568619E-3</v>
      </c>
    </row>
    <row r="1115" spans="2:5">
      <c r="B1115" s="252">
        <v>43173</v>
      </c>
      <c r="C1115" s="251">
        <v>354.05</v>
      </c>
      <c r="D1115" s="251">
        <f t="shared" si="20"/>
        <v>1.2225360954174513</v>
      </c>
      <c r="E1115" s="251">
        <v>2.5484921421493252E-3</v>
      </c>
    </row>
    <row r="1116" spans="2:5">
      <c r="B1116" s="252">
        <v>43640</v>
      </c>
      <c r="C1116" s="251">
        <v>159.30000000000001</v>
      </c>
      <c r="D1116" s="251">
        <f t="shared" si="20"/>
        <v>-0.11499999999999994</v>
      </c>
      <c r="E1116" s="251">
        <v>2.517306482064227E-3</v>
      </c>
    </row>
    <row r="1117" spans="2:5">
      <c r="B1117" s="252">
        <v>43539</v>
      </c>
      <c r="C1117" s="251">
        <v>180</v>
      </c>
      <c r="D1117" s="251">
        <f t="shared" si="20"/>
        <v>-0.5268760678144303</v>
      </c>
      <c r="E1117" s="251">
        <v>2.5062656641603375E-3</v>
      </c>
    </row>
    <row r="1118" spans="2:5">
      <c r="B1118" s="252">
        <v>42354</v>
      </c>
      <c r="C1118" s="251">
        <v>380.45</v>
      </c>
      <c r="D1118" s="251">
        <f t="shared" si="20"/>
        <v>0.5799418604651162</v>
      </c>
      <c r="E1118" s="251">
        <v>2.503293807641604E-3</v>
      </c>
    </row>
    <row r="1119" spans="2:5">
      <c r="B1119" s="252">
        <v>43368</v>
      </c>
      <c r="C1119" s="251">
        <v>240.8</v>
      </c>
      <c r="D1119" s="251">
        <f t="shared" si="20"/>
        <v>-0.43066556330535521</v>
      </c>
      <c r="E1119" s="251">
        <v>2.4979184013323181E-3</v>
      </c>
    </row>
    <row r="1120" spans="2:5">
      <c r="B1120" s="252">
        <v>43117</v>
      </c>
      <c r="C1120" s="251">
        <v>422.95</v>
      </c>
      <c r="D1120" s="251">
        <f t="shared" si="20"/>
        <v>1.328378750344068</v>
      </c>
      <c r="E1120" s="251">
        <v>2.4887414079165951E-3</v>
      </c>
    </row>
    <row r="1121" spans="2:5">
      <c r="B1121" s="252">
        <v>43497</v>
      </c>
      <c r="C1121" s="251">
        <v>181.65</v>
      </c>
      <c r="D1121" s="251">
        <f t="shared" si="20"/>
        <v>0.49876237623762376</v>
      </c>
      <c r="E1121" s="251">
        <v>2.4834437086093657E-3</v>
      </c>
    </row>
    <row r="1122" spans="2:5">
      <c r="B1122" s="252">
        <v>44067</v>
      </c>
      <c r="C1122" s="251">
        <v>121.2</v>
      </c>
      <c r="D1122" s="251">
        <f t="shared" si="20"/>
        <v>-0.86793357451074393</v>
      </c>
      <c r="E1122" s="251">
        <v>2.4813895781637483E-3</v>
      </c>
    </row>
    <row r="1123" spans="2:5">
      <c r="B1123" s="252">
        <v>45337</v>
      </c>
      <c r="C1123" s="251">
        <v>917.72</v>
      </c>
      <c r="D1123" s="251">
        <f t="shared" si="20"/>
        <v>1.1248437138226444</v>
      </c>
      <c r="E1123" s="251">
        <v>2.457753940598818E-3</v>
      </c>
    </row>
    <row r="1124" spans="2:5">
      <c r="B1124" s="252">
        <v>42870</v>
      </c>
      <c r="C1124" s="251">
        <v>431.9</v>
      </c>
      <c r="D1124" s="251">
        <f t="shared" si="20"/>
        <v>1.618369202788724</v>
      </c>
      <c r="E1124" s="251">
        <v>2.4370430544271892E-3</v>
      </c>
    </row>
    <row r="1125" spans="2:5">
      <c r="B1125" s="252">
        <v>44187</v>
      </c>
      <c r="C1125" s="251">
        <v>164.95</v>
      </c>
      <c r="D1125" s="251">
        <f t="shared" si="20"/>
        <v>-0.83643863598052526</v>
      </c>
      <c r="E1125" s="251">
        <v>2.4308720753568958E-3</v>
      </c>
    </row>
    <row r="1126" spans="2:5">
      <c r="B1126" s="252">
        <v>45386</v>
      </c>
      <c r="C1126" s="267">
        <v>1008.49</v>
      </c>
      <c r="D1126" s="251">
        <f t="shared" si="20"/>
        <v>1.6864411294619075</v>
      </c>
      <c r="E1126" s="251">
        <v>2.4253267730232641E-3</v>
      </c>
    </row>
    <row r="1127" spans="2:5">
      <c r="B1127" s="252">
        <v>42961</v>
      </c>
      <c r="C1127" s="251">
        <v>375.4</v>
      </c>
      <c r="D1127" s="251">
        <f t="shared" si="20"/>
        <v>-0.33914268110201568</v>
      </c>
      <c r="E1127" s="251">
        <v>2.4032042723630903E-3</v>
      </c>
    </row>
    <row r="1128" spans="2:5">
      <c r="B1128" s="252">
        <v>45093</v>
      </c>
      <c r="C1128" s="251">
        <v>568.04999999999995</v>
      </c>
      <c r="D1128" s="251">
        <f t="shared" si="20"/>
        <v>-0.38965294939293016</v>
      </c>
      <c r="E1128" s="251">
        <v>2.3822128110109562E-3</v>
      </c>
    </row>
    <row r="1129" spans="2:5">
      <c r="B1129" s="252">
        <v>45576</v>
      </c>
      <c r="C1129" s="251">
        <v>930.7</v>
      </c>
      <c r="D1129" s="251">
        <f t="shared" si="20"/>
        <v>1.0933423301844354</v>
      </c>
      <c r="E1129" s="251">
        <v>2.3694130317717236E-3</v>
      </c>
    </row>
    <row r="1130" spans="2:5">
      <c r="B1130" s="252">
        <v>44713</v>
      </c>
      <c r="C1130" s="251">
        <v>444.6</v>
      </c>
      <c r="D1130" s="251">
        <f t="shared" si="20"/>
        <v>-4.8902579899884391E-2</v>
      </c>
      <c r="E1130" s="251">
        <v>2.3672641190395929E-3</v>
      </c>
    </row>
    <row r="1131" spans="2:5">
      <c r="B1131" s="252">
        <v>44777</v>
      </c>
      <c r="C1131" s="251">
        <v>467.46</v>
      </c>
      <c r="D1131" s="251">
        <f t="shared" si="20"/>
        <v>-4.557069846678116E-3</v>
      </c>
      <c r="E1131" s="251">
        <v>2.3586928553048416E-3</v>
      </c>
    </row>
    <row r="1132" spans="2:5">
      <c r="B1132" s="252">
        <v>42726</v>
      </c>
      <c r="C1132" s="251">
        <v>469.6</v>
      </c>
      <c r="D1132" s="251">
        <f t="shared" si="20"/>
        <v>-5.0847457627118163E-3</v>
      </c>
      <c r="E1132" s="251">
        <v>2.3479188900747548E-3</v>
      </c>
    </row>
    <row r="1133" spans="2:5">
      <c r="B1133" s="252">
        <v>42734</v>
      </c>
      <c r="C1133" s="251">
        <v>472</v>
      </c>
      <c r="D1133" s="251">
        <f t="shared" si="20"/>
        <v>8.8309891630159121E-2</v>
      </c>
      <c r="E1133" s="251">
        <v>2.3359524315141704E-3</v>
      </c>
    </row>
    <row r="1134" spans="2:5">
      <c r="B1134" s="252">
        <v>44649</v>
      </c>
      <c r="C1134" s="251">
        <v>433.7</v>
      </c>
      <c r="D1134" s="251">
        <f t="shared" si="20"/>
        <v>0.24447632711621231</v>
      </c>
      <c r="E1134" s="251">
        <v>2.3110700254217703E-3</v>
      </c>
    </row>
    <row r="1135" spans="2:5">
      <c r="B1135" s="252">
        <v>42439</v>
      </c>
      <c r="C1135" s="251">
        <v>348.5</v>
      </c>
      <c r="D1135" s="251">
        <f t="shared" si="20"/>
        <v>-0.26659371185655961</v>
      </c>
      <c r="E1135" s="251">
        <v>2.3008340523440075E-3</v>
      </c>
    </row>
    <row r="1136" spans="2:5">
      <c r="B1136" s="252">
        <v>44784</v>
      </c>
      <c r="C1136" s="251">
        <v>475.18</v>
      </c>
      <c r="D1136" s="251">
        <f t="shared" si="20"/>
        <v>0.28167228590694537</v>
      </c>
      <c r="E1136" s="251">
        <v>2.2991415132148575E-3</v>
      </c>
    </row>
    <row r="1137" spans="2:5">
      <c r="B1137" s="252">
        <v>43160</v>
      </c>
      <c r="C1137" s="251">
        <v>370.75</v>
      </c>
      <c r="D1137" s="251">
        <f t="shared" si="20"/>
        <v>-0.19129676082451738</v>
      </c>
      <c r="E1137" s="251">
        <v>2.2979183563125783E-3</v>
      </c>
    </row>
    <row r="1138" spans="2:5">
      <c r="B1138" s="252">
        <v>42690</v>
      </c>
      <c r="C1138" s="251">
        <v>458.45</v>
      </c>
      <c r="D1138" s="251">
        <f t="shared" si="20"/>
        <v>0.47767929089443995</v>
      </c>
      <c r="E1138" s="251">
        <v>2.2955837341495657E-3</v>
      </c>
    </row>
    <row r="1139" spans="2:5">
      <c r="B1139" s="252">
        <v>44392</v>
      </c>
      <c r="C1139" s="251">
        <v>310.25</v>
      </c>
      <c r="D1139" s="251">
        <f t="shared" si="20"/>
        <v>-7.4295091749962641E-2</v>
      </c>
      <c r="E1139" s="251">
        <v>2.2613471167823892E-3</v>
      </c>
    </row>
    <row r="1140" spans="2:5">
      <c r="B1140" s="252">
        <v>43227</v>
      </c>
      <c r="C1140" s="251">
        <v>335.15</v>
      </c>
      <c r="D1140" s="251">
        <f t="shared" si="20"/>
        <v>6.2113769608619758E-2</v>
      </c>
      <c r="E1140" s="251">
        <v>2.242822966507177E-3</v>
      </c>
    </row>
    <row r="1141" spans="2:5">
      <c r="B1141" s="252">
        <v>44327</v>
      </c>
      <c r="C1141" s="251">
        <v>315.55</v>
      </c>
      <c r="D1141" s="251">
        <f t="shared" si="20"/>
        <v>-0.26053945117521621</v>
      </c>
      <c r="E1141" s="251">
        <v>2.2232809274257219E-3</v>
      </c>
    </row>
    <row r="1142" spans="2:5">
      <c r="B1142" s="252">
        <v>44756</v>
      </c>
      <c r="C1142" s="251">
        <v>426.73</v>
      </c>
      <c r="D1142" s="251">
        <f t="shared" si="20"/>
        <v>0.44531752751905174</v>
      </c>
      <c r="E1142" s="251">
        <v>2.2076610535710036E-3</v>
      </c>
    </row>
    <row r="1143" spans="2:5">
      <c r="B1143" s="252">
        <v>44447</v>
      </c>
      <c r="C1143" s="251">
        <v>295.25</v>
      </c>
      <c r="D1143" s="251">
        <f t="shared" si="20"/>
        <v>-6.0595859282949376E-3</v>
      </c>
      <c r="E1143" s="251">
        <v>2.2063815342836975E-3</v>
      </c>
    </row>
    <row r="1144" spans="2:5">
      <c r="B1144" s="252">
        <v>44285</v>
      </c>
      <c r="C1144" s="251">
        <v>297.05</v>
      </c>
      <c r="D1144" s="251">
        <f t="shared" si="20"/>
        <v>0.61308715720879714</v>
      </c>
      <c r="E1144" s="251">
        <v>2.1929824561404661E-3</v>
      </c>
    </row>
    <row r="1145" spans="2:5">
      <c r="B1145" s="252">
        <v>43425</v>
      </c>
      <c r="C1145" s="251">
        <v>184.15</v>
      </c>
      <c r="D1145" s="251">
        <f t="shared" si="20"/>
        <v>-0.63945178658835056</v>
      </c>
      <c r="E1145" s="251">
        <v>2.1768707482993505E-3</v>
      </c>
    </row>
    <row r="1146" spans="2:5">
      <c r="B1146" s="252">
        <v>44510</v>
      </c>
      <c r="C1146" s="251">
        <v>510.75</v>
      </c>
      <c r="D1146" s="251">
        <f t="shared" si="20"/>
        <v>0.68286655683690278</v>
      </c>
      <c r="E1146" s="251">
        <v>2.1583439615422795E-3</v>
      </c>
    </row>
    <row r="1147" spans="2:5">
      <c r="B1147" s="252">
        <v>44301</v>
      </c>
      <c r="C1147" s="251">
        <v>303.5</v>
      </c>
      <c r="D1147" s="251">
        <f t="shared" si="20"/>
        <v>-0.35031574440757784</v>
      </c>
      <c r="E1147" s="251">
        <v>2.146277034835652E-3</v>
      </c>
    </row>
    <row r="1148" spans="2:5">
      <c r="B1148" s="252">
        <v>42530</v>
      </c>
      <c r="C1148" s="251">
        <v>467.15</v>
      </c>
      <c r="D1148" s="251">
        <f t="shared" si="20"/>
        <v>-0.41235297817472805</v>
      </c>
      <c r="E1148" s="251">
        <v>2.1452322213879652E-3</v>
      </c>
    </row>
    <row r="1149" spans="2:5">
      <c r="B1149" s="252">
        <v>45665</v>
      </c>
      <c r="C1149" s="251">
        <v>794.95</v>
      </c>
      <c r="D1149" s="251">
        <f t="shared" si="20"/>
        <v>0.10724980848248485</v>
      </c>
      <c r="E1149" s="251">
        <v>2.14308225653961E-3</v>
      </c>
    </row>
    <row r="1150" spans="2:5">
      <c r="B1150" s="252">
        <v>45805</v>
      </c>
      <c r="C1150" s="251">
        <v>717.95</v>
      </c>
      <c r="D1150" s="251">
        <f t="shared" si="20"/>
        <v>0.49541762132888983</v>
      </c>
      <c r="E1150" s="251">
        <v>2.0936562216484051E-3</v>
      </c>
    </row>
    <row r="1151" spans="2:5">
      <c r="B1151" s="252">
        <v>44533</v>
      </c>
      <c r="C1151" s="251">
        <v>480.1</v>
      </c>
      <c r="D1151" s="251">
        <f t="shared" si="20"/>
        <v>0.10826408125577108</v>
      </c>
      <c r="E1151" s="251">
        <v>2.0872469213107912E-3</v>
      </c>
    </row>
    <row r="1152" spans="2:5">
      <c r="B1152" s="252">
        <v>43026</v>
      </c>
      <c r="C1152" s="251">
        <v>433.2</v>
      </c>
      <c r="D1152" s="251">
        <f t="shared" si="20"/>
        <v>4.9215268358845168E-2</v>
      </c>
      <c r="E1152" s="251">
        <v>2.0818875780707316E-3</v>
      </c>
    </row>
    <row r="1153" spans="2:5">
      <c r="B1153" s="252">
        <v>44907</v>
      </c>
      <c r="C1153" s="251">
        <v>412.88</v>
      </c>
      <c r="D1153" s="251">
        <f t="shared" si="20"/>
        <v>1.1146222791293214</v>
      </c>
      <c r="E1153" s="251">
        <v>2.0629565808315481E-3</v>
      </c>
    </row>
    <row r="1154" spans="2:5">
      <c r="B1154" s="252">
        <v>43413</v>
      </c>
      <c r="C1154" s="251">
        <v>195.25</v>
      </c>
      <c r="D1154" s="251">
        <f t="shared" si="20"/>
        <v>-0.38764309236318023</v>
      </c>
      <c r="E1154" s="251">
        <v>2.0528611752630519E-3</v>
      </c>
    </row>
    <row r="1155" spans="2:5">
      <c r="B1155" s="252">
        <v>42422</v>
      </c>
      <c r="C1155" s="251">
        <v>318.85000000000002</v>
      </c>
      <c r="D1155" s="251">
        <f t="shared" si="20"/>
        <v>-0.28178848969478537</v>
      </c>
      <c r="E1155" s="251">
        <v>2.0427404148335455E-3</v>
      </c>
    </row>
    <row r="1156" spans="2:5">
      <c r="B1156" s="252">
        <v>42845</v>
      </c>
      <c r="C1156" s="251">
        <v>443.95</v>
      </c>
      <c r="D1156" s="251">
        <f t="shared" si="20"/>
        <v>1.4739481749791028</v>
      </c>
      <c r="E1156" s="251">
        <v>2.031373434149593E-3</v>
      </c>
    </row>
    <row r="1157" spans="2:5">
      <c r="B1157" s="252">
        <v>43405</v>
      </c>
      <c r="C1157" s="251">
        <v>179.45</v>
      </c>
      <c r="D1157" s="251">
        <f t="shared" si="20"/>
        <v>-0.41812581063553828</v>
      </c>
      <c r="E1157" s="251">
        <v>1.9542155220546864E-3</v>
      </c>
    </row>
    <row r="1158" spans="2:5">
      <c r="B1158" s="252">
        <v>43264</v>
      </c>
      <c r="C1158" s="251">
        <v>308.39999999999998</v>
      </c>
      <c r="D1158" s="251">
        <f t="shared" si="20"/>
        <v>-0.26719733871925871</v>
      </c>
      <c r="E1158" s="251">
        <v>1.9493177387913121E-3</v>
      </c>
    </row>
    <row r="1159" spans="2:5">
      <c r="B1159" s="252">
        <v>44867</v>
      </c>
      <c r="C1159" s="251">
        <v>420.85</v>
      </c>
      <c r="D1159" s="251">
        <f t="shared" si="20"/>
        <v>-0.11600991430011755</v>
      </c>
      <c r="E1159" s="251">
        <v>1.9045351743840289E-3</v>
      </c>
    </row>
    <row r="1160" spans="2:5">
      <c r="B1160" s="252">
        <v>44785</v>
      </c>
      <c r="C1160" s="251">
        <v>476.08</v>
      </c>
      <c r="D1160" s="251">
        <f t="shared" si="20"/>
        <v>5.6781354051054347E-2</v>
      </c>
      <c r="E1160" s="251">
        <v>1.8940191085482917E-3</v>
      </c>
    </row>
    <row r="1161" spans="2:5">
      <c r="B1161" s="252">
        <v>42878</v>
      </c>
      <c r="C1161" s="251">
        <v>450.5</v>
      </c>
      <c r="D1161" s="251">
        <f t="shared" si="20"/>
        <v>0.3061757031023486</v>
      </c>
      <c r="E1161" s="251">
        <v>1.8903591682420165E-3</v>
      </c>
    </row>
    <row r="1162" spans="2:5">
      <c r="B1162" s="252">
        <v>44379</v>
      </c>
      <c r="C1162" s="251">
        <v>344.9</v>
      </c>
      <c r="D1162" s="251">
        <f t="shared" ref="D1162:D1225" si="21">(C1162-C1163)/C1163</f>
        <v>-0.30372463914403963</v>
      </c>
      <c r="E1162" s="251">
        <v>1.8881626724763319E-3</v>
      </c>
    </row>
    <row r="1163" spans="2:5">
      <c r="B1163" s="252">
        <v>44543</v>
      </c>
      <c r="C1163" s="251">
        <v>495.35</v>
      </c>
      <c r="D1163" s="251">
        <f t="shared" si="21"/>
        <v>5.0471848160322366E-2</v>
      </c>
      <c r="E1163" s="251">
        <v>1.8202042673678513E-3</v>
      </c>
    </row>
    <row r="1164" spans="2:5">
      <c r="B1164" s="252">
        <v>45034</v>
      </c>
      <c r="C1164" s="251">
        <v>471.55</v>
      </c>
      <c r="D1164" s="251">
        <f t="shared" si="21"/>
        <v>0.54303010471204183</v>
      </c>
      <c r="E1164" s="251">
        <v>1.8058211174846457E-3</v>
      </c>
    </row>
    <row r="1165" spans="2:5">
      <c r="B1165" s="252">
        <v>43271</v>
      </c>
      <c r="C1165" s="251">
        <v>305.60000000000002</v>
      </c>
      <c r="D1165" s="251">
        <f t="shared" si="21"/>
        <v>-0.61131955484896661</v>
      </c>
      <c r="E1165" s="251">
        <v>1.8029831175217549E-3</v>
      </c>
    </row>
    <row r="1166" spans="2:5">
      <c r="B1166" s="252">
        <v>45609</v>
      </c>
      <c r="C1166" s="251">
        <v>786.25</v>
      </c>
      <c r="D1166" s="251">
        <f t="shared" si="21"/>
        <v>0.27247568337406336</v>
      </c>
      <c r="E1166" s="251">
        <v>1.7837803401923645E-3</v>
      </c>
    </row>
    <row r="1167" spans="2:5">
      <c r="B1167" s="252">
        <v>45195</v>
      </c>
      <c r="C1167" s="251">
        <v>617.89</v>
      </c>
      <c r="D1167" s="251">
        <f t="shared" si="21"/>
        <v>0.45180921052631567</v>
      </c>
      <c r="E1167" s="251">
        <v>1.7671854734112062E-3</v>
      </c>
    </row>
    <row r="1168" spans="2:5">
      <c r="B1168" s="252">
        <v>43017</v>
      </c>
      <c r="C1168" s="251">
        <v>425.6</v>
      </c>
      <c r="D1168" s="251">
        <f t="shared" si="21"/>
        <v>4.8792508624938419E-2</v>
      </c>
      <c r="E1168" s="251">
        <v>1.7653289396257501E-3</v>
      </c>
    </row>
    <row r="1169" spans="2:5">
      <c r="B1169" s="252">
        <v>43087</v>
      </c>
      <c r="C1169" s="251">
        <v>405.8</v>
      </c>
      <c r="D1169" s="251">
        <f t="shared" si="21"/>
        <v>-2.8258999877134225E-3</v>
      </c>
      <c r="E1169" s="251">
        <v>1.7279684028634623E-3</v>
      </c>
    </row>
    <row r="1170" spans="2:5">
      <c r="B1170" s="252">
        <v>42327</v>
      </c>
      <c r="C1170" s="251">
        <v>406.95</v>
      </c>
      <c r="D1170" s="251">
        <f t="shared" si="21"/>
        <v>1.3155049786628734</v>
      </c>
      <c r="E1170" s="251">
        <v>1.7230769230768951E-3</v>
      </c>
    </row>
    <row r="1171" spans="2:5">
      <c r="B1171" s="252">
        <v>43438</v>
      </c>
      <c r="C1171" s="251">
        <v>175.75</v>
      </c>
      <c r="D1171" s="251">
        <f t="shared" si="21"/>
        <v>-0.71641333462419721</v>
      </c>
      <c r="E1171" s="251">
        <v>1.7098888572243452E-3</v>
      </c>
    </row>
    <row r="1172" spans="2:5">
      <c r="B1172" s="252">
        <v>45127</v>
      </c>
      <c r="C1172" s="251">
        <v>619.74</v>
      </c>
      <c r="D1172" s="251">
        <f t="shared" si="21"/>
        <v>3.1902636916835703</v>
      </c>
      <c r="E1172" s="251">
        <v>1.697134267565266E-3</v>
      </c>
    </row>
    <row r="1173" spans="2:5">
      <c r="B1173" s="252">
        <v>44092</v>
      </c>
      <c r="C1173" s="251">
        <v>147.9</v>
      </c>
      <c r="D1173" s="251">
        <f t="shared" si="21"/>
        <v>-0.78232393847965276</v>
      </c>
      <c r="E1173" s="251">
        <v>1.6931933626820183E-3</v>
      </c>
    </row>
    <row r="1174" spans="2:5">
      <c r="B1174" s="252">
        <v>45247</v>
      </c>
      <c r="C1174" s="251">
        <v>679.45</v>
      </c>
      <c r="D1174" s="251">
        <f t="shared" si="21"/>
        <v>3.4937169312169316</v>
      </c>
      <c r="E1174" s="251">
        <v>1.6806474915600539E-3</v>
      </c>
    </row>
    <row r="1175" spans="2:5">
      <c r="B1175" s="252">
        <v>44147</v>
      </c>
      <c r="C1175" s="251">
        <v>151.19999999999999</v>
      </c>
      <c r="D1175" s="251">
        <f t="shared" si="21"/>
        <v>-0.84707191261252146</v>
      </c>
      <c r="E1175" s="251">
        <v>1.6561775422325275E-3</v>
      </c>
    </row>
    <row r="1176" spans="2:5">
      <c r="B1176" s="252">
        <v>45455</v>
      </c>
      <c r="C1176" s="251">
        <v>988.7</v>
      </c>
      <c r="D1176" s="251">
        <f t="shared" si="21"/>
        <v>0.43706395348837218</v>
      </c>
      <c r="E1176" s="251">
        <v>1.6209097355891224E-3</v>
      </c>
    </row>
    <row r="1177" spans="2:5">
      <c r="B1177" s="252">
        <v>45838</v>
      </c>
      <c r="C1177" s="251">
        <v>688</v>
      </c>
      <c r="D1177" s="251">
        <f t="shared" si="21"/>
        <v>0.94818065977629917</v>
      </c>
      <c r="E1177" s="251">
        <v>1.6013975833454983E-3</v>
      </c>
    </row>
    <row r="1178" spans="2:5">
      <c r="B1178" s="252">
        <v>43172</v>
      </c>
      <c r="C1178" s="251">
        <v>353.15</v>
      </c>
      <c r="D1178" s="251">
        <f t="shared" si="21"/>
        <v>0.36747337850919642</v>
      </c>
      <c r="E1178" s="251">
        <v>1.5598411798070178E-3</v>
      </c>
    </row>
    <row r="1179" spans="2:5">
      <c r="B1179" s="252">
        <v>43307</v>
      </c>
      <c r="C1179" s="251">
        <v>258.25</v>
      </c>
      <c r="D1179" s="251">
        <f t="shared" si="21"/>
        <v>-0.38875739644970414</v>
      </c>
      <c r="E1179" s="251">
        <v>1.5512895094046044E-3</v>
      </c>
    </row>
    <row r="1180" spans="2:5">
      <c r="B1180" s="252">
        <v>44883</v>
      </c>
      <c r="C1180" s="251">
        <v>422.5</v>
      </c>
      <c r="D1180" s="251">
        <f t="shared" si="21"/>
        <v>-0.35456767491597924</v>
      </c>
      <c r="E1180" s="251">
        <v>1.5408320493065716E-3</v>
      </c>
    </row>
    <row r="1181" spans="2:5">
      <c r="B1181" s="252">
        <v>45874</v>
      </c>
      <c r="C1181" s="251">
        <v>654.6</v>
      </c>
      <c r="D1181" s="251">
        <f t="shared" si="21"/>
        <v>3.9273616861121567</v>
      </c>
      <c r="E1181" s="251">
        <v>1.5299877600979191E-3</v>
      </c>
    </row>
    <row r="1182" spans="2:5">
      <c r="B1182" s="252">
        <v>44137</v>
      </c>
      <c r="C1182" s="251">
        <v>132.85</v>
      </c>
      <c r="D1182" s="251">
        <f t="shared" si="21"/>
        <v>-4.868913857677945E-3</v>
      </c>
      <c r="E1182" s="251">
        <v>1.5077271013945617E-3</v>
      </c>
    </row>
    <row r="1183" spans="2:5">
      <c r="B1183" s="252">
        <v>44105</v>
      </c>
      <c r="C1183" s="251">
        <v>133.5</v>
      </c>
      <c r="D1183" s="251">
        <f t="shared" si="21"/>
        <v>-0.63850528025995124</v>
      </c>
      <c r="E1183" s="251">
        <v>1.500375093773358E-3</v>
      </c>
    </row>
    <row r="1184" spans="2:5">
      <c r="B1184" s="252">
        <v>43151</v>
      </c>
      <c r="C1184" s="251">
        <v>369.3</v>
      </c>
      <c r="D1184" s="251">
        <f t="shared" si="21"/>
        <v>-0.16839308232750849</v>
      </c>
      <c r="E1184" s="251">
        <v>1.4915254237288444E-3</v>
      </c>
    </row>
    <row r="1185" spans="2:5">
      <c r="B1185" s="252">
        <v>44960</v>
      </c>
      <c r="C1185" s="251">
        <v>444.08</v>
      </c>
      <c r="D1185" s="251">
        <f t="shared" si="21"/>
        <v>3.3261568436434481</v>
      </c>
      <c r="E1185" s="251">
        <v>1.4658457930225228E-3</v>
      </c>
    </row>
    <row r="1186" spans="2:5">
      <c r="B1186" s="252">
        <v>44004</v>
      </c>
      <c r="C1186" s="251">
        <v>102.65</v>
      </c>
      <c r="D1186" s="251">
        <f t="shared" si="21"/>
        <v>-0.87167145893236653</v>
      </c>
      <c r="E1186" s="251">
        <v>1.463414634146397E-3</v>
      </c>
    </row>
    <row r="1187" spans="2:5">
      <c r="B1187" s="252">
        <v>45636</v>
      </c>
      <c r="C1187" s="251">
        <v>799.9</v>
      </c>
      <c r="D1187" s="251">
        <f t="shared" si="21"/>
        <v>0.12638175033443638</v>
      </c>
      <c r="E1187" s="251">
        <v>1.4397496087636648E-3</v>
      </c>
    </row>
    <row r="1188" spans="2:5">
      <c r="B1188" s="252">
        <v>45813</v>
      </c>
      <c r="C1188" s="251">
        <v>710.15</v>
      </c>
      <c r="D1188" s="251">
        <f t="shared" si="21"/>
        <v>0.64120637855327012</v>
      </c>
      <c r="E1188" s="251">
        <v>1.4101388986815203E-3</v>
      </c>
    </row>
    <row r="1189" spans="2:5">
      <c r="B1189" s="252">
        <v>44648</v>
      </c>
      <c r="C1189" s="251">
        <v>432.7</v>
      </c>
      <c r="D1189" s="251">
        <f t="shared" si="21"/>
        <v>-7.8871740287386929E-2</v>
      </c>
      <c r="E1189" s="251">
        <v>1.3885674612357461E-3</v>
      </c>
    </row>
    <row r="1190" spans="2:5">
      <c r="B1190" s="252">
        <v>42808</v>
      </c>
      <c r="C1190" s="251">
        <v>469.75</v>
      </c>
      <c r="D1190" s="251">
        <f t="shared" si="21"/>
        <v>0.26090457656690375</v>
      </c>
      <c r="E1190" s="251">
        <v>1.3856320613941104E-3</v>
      </c>
    </row>
    <row r="1191" spans="2:5">
      <c r="B1191" s="252">
        <v>43158</v>
      </c>
      <c r="C1191" s="251">
        <v>372.55</v>
      </c>
      <c r="D1191" s="251">
        <f t="shared" si="21"/>
        <v>0.23136671624524871</v>
      </c>
      <c r="E1191" s="251">
        <v>1.3439053890606102E-3</v>
      </c>
    </row>
    <row r="1192" spans="2:5">
      <c r="B1192" s="252">
        <v>44399</v>
      </c>
      <c r="C1192" s="251">
        <v>302.55</v>
      </c>
      <c r="D1192" s="251">
        <f t="shared" si="21"/>
        <v>-0.43369209171736078</v>
      </c>
      <c r="E1192" s="251">
        <v>1.3238457719676787E-3</v>
      </c>
    </row>
    <row r="1193" spans="2:5">
      <c r="B1193" s="252">
        <v>45079</v>
      </c>
      <c r="C1193" s="251">
        <v>534.25</v>
      </c>
      <c r="D1193" s="251">
        <f t="shared" si="21"/>
        <v>-0.19613301233824859</v>
      </c>
      <c r="E1193" s="251">
        <v>1.3119670134008913E-3</v>
      </c>
    </row>
    <row r="1194" spans="2:5">
      <c r="B1194" s="252">
        <v>45883</v>
      </c>
      <c r="C1194" s="251">
        <v>664.6</v>
      </c>
      <c r="D1194" s="251">
        <f t="shared" si="21"/>
        <v>5.3499247047634139E-2</v>
      </c>
      <c r="E1194" s="251">
        <v>1.2806026365348741E-3</v>
      </c>
    </row>
    <row r="1195" spans="2:5">
      <c r="B1195" s="252">
        <v>45769</v>
      </c>
      <c r="C1195" s="251">
        <v>630.85</v>
      </c>
      <c r="D1195" s="251">
        <f t="shared" si="21"/>
        <v>-6.471460340993325E-2</v>
      </c>
      <c r="E1195" s="251">
        <v>1.2697404967860777E-3</v>
      </c>
    </row>
    <row r="1196" spans="2:5">
      <c r="B1196" s="252">
        <v>45833</v>
      </c>
      <c r="C1196" s="251">
        <v>674.5</v>
      </c>
      <c r="D1196" s="251">
        <f t="shared" si="21"/>
        <v>1.0728334357713585</v>
      </c>
      <c r="E1196" s="251">
        <v>1.2617828249091112E-3</v>
      </c>
    </row>
    <row r="1197" spans="2:5">
      <c r="B1197" s="252">
        <v>44239</v>
      </c>
      <c r="C1197" s="251">
        <v>325.39999999999998</v>
      </c>
      <c r="D1197" s="251">
        <f t="shared" si="21"/>
        <v>-0.58492250781299837</v>
      </c>
      <c r="E1197" s="251">
        <v>1.2307692307691608E-3</v>
      </c>
    </row>
    <row r="1198" spans="2:5">
      <c r="B1198" s="252">
        <v>45623</v>
      </c>
      <c r="C1198" s="251">
        <v>783.95</v>
      </c>
      <c r="D1198" s="251">
        <f t="shared" si="21"/>
        <v>0.10260196905766532</v>
      </c>
      <c r="E1198" s="251">
        <v>1.2132822477650645E-3</v>
      </c>
    </row>
    <row r="1199" spans="2:5">
      <c r="B1199" s="252">
        <v>45814</v>
      </c>
      <c r="C1199" s="251">
        <v>711</v>
      </c>
      <c r="D1199" s="251">
        <f t="shared" si="21"/>
        <v>1.3696050658223629</v>
      </c>
      <c r="E1199" s="251">
        <v>1.1969302260086219E-3</v>
      </c>
    </row>
    <row r="1200" spans="2:5">
      <c r="B1200" s="252">
        <v>44414</v>
      </c>
      <c r="C1200" s="251">
        <v>300.05</v>
      </c>
      <c r="D1200" s="251">
        <f t="shared" si="21"/>
        <v>-0.62927040217458452</v>
      </c>
      <c r="E1200" s="251">
        <v>1.1678345011679103E-3</v>
      </c>
    </row>
    <row r="1201" spans="2:5">
      <c r="B1201" s="252">
        <v>45316</v>
      </c>
      <c r="C1201" s="251">
        <v>809.35</v>
      </c>
      <c r="D1201" s="251">
        <f t="shared" si="21"/>
        <v>8.3892111368909514</v>
      </c>
      <c r="E1201" s="251">
        <v>1.1627763139991521E-3</v>
      </c>
    </row>
    <row r="1202" spans="2:5">
      <c r="B1202" s="252">
        <v>43963</v>
      </c>
      <c r="C1202" s="251">
        <v>86.2</v>
      </c>
      <c r="D1202" s="251">
        <f t="shared" si="21"/>
        <v>-0.78578528827037775</v>
      </c>
      <c r="E1202" s="251">
        <v>1.1614401858305288E-3</v>
      </c>
    </row>
    <row r="1203" spans="2:5">
      <c r="B1203" s="252">
        <v>43083</v>
      </c>
      <c r="C1203" s="251">
        <v>402.4</v>
      </c>
      <c r="D1203" s="251">
        <f t="shared" si="21"/>
        <v>-0.43974939088061266</v>
      </c>
      <c r="E1203" s="251">
        <v>1.11954223162082E-3</v>
      </c>
    </row>
    <row r="1204" spans="2:5">
      <c r="B1204" s="252">
        <v>45800</v>
      </c>
      <c r="C1204" s="251">
        <v>718.25</v>
      </c>
      <c r="D1204" s="251">
        <f t="shared" si="21"/>
        <v>0.21813679765276531</v>
      </c>
      <c r="E1204" s="251">
        <v>1.1150602829464833E-3</v>
      </c>
    </row>
    <row r="1205" spans="2:5">
      <c r="B1205" s="252">
        <v>45111</v>
      </c>
      <c r="C1205" s="251">
        <v>589.63</v>
      </c>
      <c r="D1205" s="251">
        <f t="shared" si="21"/>
        <v>0.298887542680912</v>
      </c>
      <c r="E1205" s="251">
        <v>1.1036028388060328E-3</v>
      </c>
    </row>
    <row r="1206" spans="2:5">
      <c r="B1206" s="252">
        <v>42524</v>
      </c>
      <c r="C1206" s="251">
        <v>453.95</v>
      </c>
      <c r="D1206" s="251">
        <f t="shared" si="21"/>
        <v>-0.54492140508460973</v>
      </c>
      <c r="E1206" s="251">
        <v>1.1026574043444702E-3</v>
      </c>
    </row>
    <row r="1207" spans="2:5">
      <c r="B1207" s="252">
        <v>45411</v>
      </c>
      <c r="C1207" s="251">
        <v>997.52</v>
      </c>
      <c r="D1207" s="251">
        <f t="shared" si="21"/>
        <v>1.0927724745620477</v>
      </c>
      <c r="E1207" s="251">
        <v>1.093905241712947E-3</v>
      </c>
    </row>
    <row r="1208" spans="2:5">
      <c r="B1208" s="252">
        <v>42887</v>
      </c>
      <c r="C1208" s="251">
        <v>476.65</v>
      </c>
      <c r="D1208" s="251">
        <f t="shared" si="21"/>
        <v>0.10246328206314317</v>
      </c>
      <c r="E1208" s="251">
        <v>1.0500892575868949E-3</v>
      </c>
    </row>
    <row r="1209" spans="2:5">
      <c r="B1209" s="252">
        <v>44718</v>
      </c>
      <c r="C1209" s="251">
        <v>432.35</v>
      </c>
      <c r="D1209" s="251">
        <f t="shared" si="21"/>
        <v>-0.12559409444837691</v>
      </c>
      <c r="E1209" s="251">
        <v>1.0419078490392349E-3</v>
      </c>
    </row>
    <row r="1210" spans="2:5">
      <c r="B1210" s="252">
        <v>44540</v>
      </c>
      <c r="C1210" s="251">
        <v>494.45</v>
      </c>
      <c r="D1210" s="251">
        <f t="shared" si="21"/>
        <v>0.10900527083099688</v>
      </c>
      <c r="E1210" s="251">
        <v>1.0122482032594393E-3</v>
      </c>
    </row>
    <row r="1211" spans="2:5">
      <c r="B1211" s="252">
        <v>42944</v>
      </c>
      <c r="C1211" s="251">
        <v>445.85</v>
      </c>
      <c r="D1211" s="251">
        <f t="shared" si="21"/>
        <v>-0.45223235127896405</v>
      </c>
      <c r="E1211" s="251">
        <v>1.0103277952403357E-3</v>
      </c>
    </row>
    <row r="1212" spans="2:5">
      <c r="B1212" s="252">
        <v>45303</v>
      </c>
      <c r="C1212" s="251">
        <v>813.94</v>
      </c>
      <c r="D1212" s="251">
        <f t="shared" si="21"/>
        <v>-0.16244083144679966</v>
      </c>
      <c r="E1212" s="251">
        <v>9.8384042108378409E-4</v>
      </c>
    </row>
    <row r="1213" spans="2:5">
      <c r="B1213" s="252">
        <v>45558</v>
      </c>
      <c r="C1213" s="251">
        <v>971.8</v>
      </c>
      <c r="D1213" s="251">
        <f t="shared" si="21"/>
        <v>1.5678425155238471</v>
      </c>
      <c r="E1213" s="251">
        <v>9.7852397383728883E-4</v>
      </c>
    </row>
    <row r="1214" spans="2:5">
      <c r="B1214" s="252">
        <v>42361</v>
      </c>
      <c r="C1214" s="251">
        <v>378.45</v>
      </c>
      <c r="D1214" s="251">
        <f t="shared" si="21"/>
        <v>-0.61313570150779451</v>
      </c>
      <c r="E1214" s="251">
        <v>9.2568103676267095E-4</v>
      </c>
    </row>
    <row r="1215" spans="2:5">
      <c r="B1215" s="252">
        <v>45463</v>
      </c>
      <c r="C1215" s="251">
        <v>978.25</v>
      </c>
      <c r="D1215" s="251">
        <f t="shared" si="21"/>
        <v>1.0316718587746625</v>
      </c>
      <c r="E1215" s="251">
        <v>9.2085742057602417E-4</v>
      </c>
    </row>
    <row r="1216" spans="2:5">
      <c r="B1216" s="252">
        <v>42884</v>
      </c>
      <c r="C1216" s="251">
        <v>481.5</v>
      </c>
      <c r="D1216" s="251">
        <f t="shared" si="21"/>
        <v>-0.22482492151654188</v>
      </c>
      <c r="E1216" s="251">
        <v>8.3142797755139729E-4</v>
      </c>
    </row>
    <row r="1217" spans="2:5">
      <c r="B1217" s="252">
        <v>45719</v>
      </c>
      <c r="C1217" s="251">
        <v>621.15</v>
      </c>
      <c r="D1217" s="251">
        <f t="shared" si="21"/>
        <v>0.96877971473851021</v>
      </c>
      <c r="E1217" s="251">
        <v>8.0560702489325712E-4</v>
      </c>
    </row>
    <row r="1218" spans="2:5">
      <c r="B1218" s="252">
        <v>44342</v>
      </c>
      <c r="C1218" s="251">
        <v>315.5</v>
      </c>
      <c r="D1218" s="251">
        <f t="shared" si="21"/>
        <v>-0.20702742101691507</v>
      </c>
      <c r="E1218" s="251">
        <v>7.9302141157811261E-4</v>
      </c>
    </row>
    <row r="1219" spans="2:5">
      <c r="B1219" s="252">
        <v>44832</v>
      </c>
      <c r="C1219" s="251">
        <v>397.87</v>
      </c>
      <c r="D1219" s="251">
        <f t="shared" si="21"/>
        <v>-0.35489258208350222</v>
      </c>
      <c r="E1219" s="251">
        <v>7.54584098397795E-4</v>
      </c>
    </row>
    <row r="1220" spans="2:5">
      <c r="B1220" s="252">
        <v>45117</v>
      </c>
      <c r="C1220" s="251">
        <v>616.75</v>
      </c>
      <c r="D1220" s="251">
        <f t="shared" si="21"/>
        <v>0.64335198507860369</v>
      </c>
      <c r="E1220" s="251">
        <v>7.3016388122674916E-4</v>
      </c>
    </row>
    <row r="1221" spans="2:5">
      <c r="B1221" s="252">
        <v>42989</v>
      </c>
      <c r="C1221" s="251">
        <v>375.3</v>
      </c>
      <c r="D1221" s="251">
        <f t="shared" si="21"/>
        <v>0.18353831598864706</v>
      </c>
      <c r="E1221" s="251">
        <v>6.6657778962804959E-4</v>
      </c>
    </row>
    <row r="1222" spans="2:5">
      <c r="B1222" s="252">
        <v>44384</v>
      </c>
      <c r="C1222" s="251">
        <v>317.10000000000002</v>
      </c>
      <c r="D1222" s="251">
        <f t="shared" si="21"/>
        <v>-0.35542229901412742</v>
      </c>
      <c r="E1222" s="251">
        <v>6.3111391606199274E-4</v>
      </c>
    </row>
    <row r="1223" spans="2:5">
      <c r="B1223" s="252">
        <v>44546</v>
      </c>
      <c r="C1223" s="251">
        <v>491.95</v>
      </c>
      <c r="D1223" s="251">
        <f t="shared" si="21"/>
        <v>1.9466906259359091</v>
      </c>
      <c r="E1223" s="251">
        <v>6.101901759381906E-4</v>
      </c>
    </row>
    <row r="1224" spans="2:5">
      <c r="B1224" s="252">
        <v>43448</v>
      </c>
      <c r="C1224" s="251">
        <v>166.95</v>
      </c>
      <c r="D1224" s="251">
        <f t="shared" si="21"/>
        <v>-5.1689860834990185E-2</v>
      </c>
      <c r="E1224" s="251">
        <v>5.9934072520224349E-4</v>
      </c>
    </row>
    <row r="1225" spans="2:5">
      <c r="B1225" s="252">
        <v>43822</v>
      </c>
      <c r="C1225" s="251">
        <v>176.05</v>
      </c>
      <c r="D1225" s="251">
        <f t="shared" si="21"/>
        <v>-0.71524003623188404</v>
      </c>
      <c r="E1225" s="251">
        <v>5.6834327934085103E-4</v>
      </c>
    </row>
    <row r="1226" spans="2:5">
      <c r="B1226" s="252">
        <v>45196</v>
      </c>
      <c r="C1226" s="251">
        <v>618.24</v>
      </c>
      <c r="D1226" s="251">
        <f t="shared" ref="D1226:D1289" si="22">(C1226-C1227)/C1227</f>
        <v>2.4840236686390536</v>
      </c>
      <c r="E1226" s="251">
        <v>5.6644386541297438E-4</v>
      </c>
    </row>
    <row r="1227" spans="2:5">
      <c r="B1227" s="252">
        <v>43524</v>
      </c>
      <c r="C1227" s="251">
        <v>177.45</v>
      </c>
      <c r="D1227" s="251">
        <f t="shared" si="22"/>
        <v>-4.3138312213534646E-2</v>
      </c>
      <c r="E1227" s="251">
        <v>5.6385678037775206E-4</v>
      </c>
    </row>
    <row r="1228" spans="2:5">
      <c r="B1228" s="252">
        <v>43481</v>
      </c>
      <c r="C1228" s="251">
        <v>185.45</v>
      </c>
      <c r="D1228" s="251">
        <f t="shared" si="22"/>
        <v>-0.71648066044947256</v>
      </c>
      <c r="E1228" s="251">
        <v>5.3951982735362454E-4</v>
      </c>
    </row>
    <row r="1229" spans="2:5">
      <c r="B1229" s="252">
        <v>45881</v>
      </c>
      <c r="C1229" s="251">
        <v>654.1</v>
      </c>
      <c r="D1229" s="251">
        <f t="shared" si="22"/>
        <v>1.1082997582594682</v>
      </c>
      <c r="E1229" s="251">
        <v>5.3537284894840951E-4</v>
      </c>
    </row>
    <row r="1230" spans="2:5">
      <c r="B1230" s="252">
        <v>43236</v>
      </c>
      <c r="C1230" s="251">
        <v>310.25</v>
      </c>
      <c r="D1230" s="251">
        <f t="shared" si="22"/>
        <v>-2.6666666666666668E-2</v>
      </c>
      <c r="E1230" s="251">
        <v>4.8371493066745326E-4</v>
      </c>
    </row>
    <row r="1231" spans="2:5">
      <c r="B1231" s="252">
        <v>44344</v>
      </c>
      <c r="C1231" s="251">
        <v>318.75</v>
      </c>
      <c r="D1231" s="251">
        <f t="shared" si="22"/>
        <v>1.922971114167813</v>
      </c>
      <c r="E1231" s="251">
        <v>4.7080979284361973E-4</v>
      </c>
    </row>
    <row r="1232" spans="2:5">
      <c r="B1232" s="252">
        <v>44019</v>
      </c>
      <c r="C1232" s="251">
        <v>109.05</v>
      </c>
      <c r="D1232" s="251">
        <f t="shared" si="22"/>
        <v>-0.7535593220338983</v>
      </c>
      <c r="E1232" s="251">
        <v>4.5871559633024918E-4</v>
      </c>
    </row>
    <row r="1233" spans="2:5">
      <c r="B1233" s="252">
        <v>42914</v>
      </c>
      <c r="C1233" s="251">
        <v>442.5</v>
      </c>
      <c r="D1233" s="251">
        <f t="shared" si="22"/>
        <v>-0.33632300446950836</v>
      </c>
      <c r="E1233" s="251">
        <v>4.5218177707435816E-4</v>
      </c>
    </row>
    <row r="1234" spans="2:5">
      <c r="B1234" s="252">
        <v>45218</v>
      </c>
      <c r="C1234" s="251">
        <v>666.74</v>
      </c>
      <c r="D1234" s="251">
        <f t="shared" si="22"/>
        <v>1.6798231511254018</v>
      </c>
      <c r="E1234" s="251">
        <v>4.5015305203762455E-4</v>
      </c>
    </row>
    <row r="1235" spans="2:5">
      <c r="B1235" s="252">
        <v>43326</v>
      </c>
      <c r="C1235" s="251">
        <v>248.8</v>
      </c>
      <c r="D1235" s="251">
        <f t="shared" si="22"/>
        <v>-0.53382049840734502</v>
      </c>
      <c r="E1235" s="251">
        <v>4.0209087253728485E-4</v>
      </c>
    </row>
    <row r="1236" spans="2:5">
      <c r="B1236" s="252">
        <v>42684</v>
      </c>
      <c r="C1236" s="251">
        <v>533.70000000000005</v>
      </c>
      <c r="D1236" s="251">
        <f t="shared" si="22"/>
        <v>8.9739663093415106E-2</v>
      </c>
      <c r="E1236" s="251">
        <v>3.7488284910973846E-4</v>
      </c>
    </row>
    <row r="1237" spans="2:5">
      <c r="B1237" s="252">
        <v>44566</v>
      </c>
      <c r="C1237" s="251">
        <v>489.75</v>
      </c>
      <c r="D1237" s="251">
        <f t="shared" si="22"/>
        <v>0.4398059679553139</v>
      </c>
      <c r="E1237" s="251">
        <v>3.0637254901956138E-4</v>
      </c>
    </row>
    <row r="1238" spans="2:5">
      <c r="B1238" s="252">
        <v>42247</v>
      </c>
      <c r="C1238" s="251">
        <v>340.15</v>
      </c>
      <c r="D1238" s="251">
        <f t="shared" si="22"/>
        <v>-0.61172307516694258</v>
      </c>
      <c r="E1238" s="251">
        <v>2.9407440082330799E-4</v>
      </c>
    </row>
    <row r="1239" spans="2:5">
      <c r="B1239" s="252">
        <v>45324</v>
      </c>
      <c r="C1239" s="251">
        <v>876.05</v>
      </c>
      <c r="D1239" s="251">
        <f t="shared" si="22"/>
        <v>1.181942714819427</v>
      </c>
      <c r="E1239" s="251">
        <v>2.8545329984014617E-4</v>
      </c>
    </row>
    <row r="1240" spans="2:5">
      <c r="B1240" s="252">
        <v>43007</v>
      </c>
      <c r="C1240" s="251">
        <v>401.5</v>
      </c>
      <c r="D1240" s="251">
        <f t="shared" si="22"/>
        <v>-0.35936303293336741</v>
      </c>
      <c r="E1240" s="251">
        <v>2.4912805181869142E-4</v>
      </c>
    </row>
    <row r="1241" spans="2:5">
      <c r="B1241" s="252">
        <v>45230</v>
      </c>
      <c r="C1241" s="251">
        <v>626.72</v>
      </c>
      <c r="D1241" s="251">
        <f t="shared" si="22"/>
        <v>-0.10905136260893042</v>
      </c>
      <c r="E1241" s="251">
        <v>2.3939863063979642E-4</v>
      </c>
    </row>
    <row r="1242" spans="2:5">
      <c r="B1242" s="252">
        <v>45264</v>
      </c>
      <c r="C1242" s="251">
        <v>703.43</v>
      </c>
      <c r="D1242" s="251">
        <f t="shared" si="22"/>
        <v>1.7180448222565685</v>
      </c>
      <c r="E1242" s="251">
        <v>2.1328631554996198E-4</v>
      </c>
    </row>
    <row r="1243" spans="2:5">
      <c r="B1243" s="252">
        <v>43305</v>
      </c>
      <c r="C1243" s="251">
        <v>258.8</v>
      </c>
      <c r="D1243" s="251">
        <f t="shared" si="22"/>
        <v>-0.15919428200129954</v>
      </c>
      <c r="E1243" s="251">
        <v>1.9323671497588934E-4</v>
      </c>
    </row>
    <row r="1244" spans="2:5">
      <c r="B1244" s="252">
        <v>44293</v>
      </c>
      <c r="C1244" s="251">
        <v>307.8</v>
      </c>
      <c r="D1244" s="251">
        <f t="shared" si="22"/>
        <v>-0.28736803111687348</v>
      </c>
      <c r="E1244" s="251">
        <v>1.6246953696185659E-4</v>
      </c>
    </row>
    <row r="1245" spans="2:5">
      <c r="B1245" s="252">
        <v>44893</v>
      </c>
      <c r="C1245" s="251">
        <v>431.92</v>
      </c>
      <c r="D1245" s="251">
        <f t="shared" si="22"/>
        <v>-4.758544652701209E-2</v>
      </c>
      <c r="E1245" s="251">
        <v>1.1577558061456311E-4</v>
      </c>
    </row>
    <row r="1246" spans="2:5">
      <c r="B1246" s="252">
        <v>44764</v>
      </c>
      <c r="C1246" s="251">
        <v>453.5</v>
      </c>
      <c r="D1246" s="251">
        <f t="shared" si="22"/>
        <v>-8.1890879643688616E-2</v>
      </c>
      <c r="E1246" s="251">
        <v>1.1026574043447209E-4</v>
      </c>
    </row>
    <row r="1247" spans="2:5">
      <c r="B1247" s="252">
        <v>44539</v>
      </c>
      <c r="C1247" s="251">
        <v>493.95</v>
      </c>
      <c r="D1247" s="251">
        <f t="shared" si="22"/>
        <v>-1.9940476190476213E-2</v>
      </c>
      <c r="E1247" s="251">
        <v>1.0123506782751847E-4</v>
      </c>
    </row>
    <row r="1248" spans="2:5">
      <c r="B1248" s="252">
        <v>42605</v>
      </c>
      <c r="C1248" s="251">
        <v>504</v>
      </c>
      <c r="D1248" s="251">
        <f t="shared" si="22"/>
        <v>-0.24988837624646523</v>
      </c>
      <c r="E1248" s="251">
        <v>9.9216192082570437E-5</v>
      </c>
    </row>
    <row r="1249" spans="2:5">
      <c r="B1249" s="252">
        <v>45749</v>
      </c>
      <c r="C1249" s="251">
        <v>671.9</v>
      </c>
      <c r="D1249" s="251">
        <f t="shared" si="22"/>
        <v>0.48634000663643395</v>
      </c>
      <c r="E1249" s="251">
        <v>7.4421373818493004E-5</v>
      </c>
    </row>
    <row r="1250" spans="2:5">
      <c r="B1250" s="252">
        <v>44662</v>
      </c>
      <c r="C1250" s="251">
        <v>452.05</v>
      </c>
      <c r="D1250" s="251">
        <f t="shared" si="22"/>
        <v>0.41819607843137258</v>
      </c>
      <c r="E1250" s="251">
        <v>0</v>
      </c>
    </row>
    <row r="1251" spans="2:5">
      <c r="B1251" s="252">
        <v>44347</v>
      </c>
      <c r="C1251" s="251">
        <v>318.75</v>
      </c>
      <c r="D1251" s="251">
        <f t="shared" si="22"/>
        <v>2.6637931034482758</v>
      </c>
      <c r="E1251" s="251">
        <v>0</v>
      </c>
    </row>
    <row r="1252" spans="2:5">
      <c r="B1252" s="252">
        <v>43980</v>
      </c>
      <c r="C1252" s="251">
        <v>87</v>
      </c>
      <c r="D1252" s="251">
        <f t="shared" si="22"/>
        <v>-0.48551153163808397</v>
      </c>
      <c r="E1252" s="251">
        <v>0</v>
      </c>
    </row>
    <row r="1253" spans="2:5">
      <c r="B1253" s="252">
        <v>43878</v>
      </c>
      <c r="C1253" s="251">
        <v>169.1</v>
      </c>
      <c r="D1253" s="251">
        <f t="shared" si="22"/>
        <v>-9.082918253735783E-3</v>
      </c>
      <c r="E1253" s="251">
        <v>0</v>
      </c>
    </row>
    <row r="1254" spans="2:5">
      <c r="B1254" s="252">
        <v>43397</v>
      </c>
      <c r="C1254" s="251">
        <v>170.65</v>
      </c>
      <c r="D1254" s="251">
        <f t="shared" si="22"/>
        <v>-0.60313953488372096</v>
      </c>
      <c r="E1254" s="251">
        <v>0</v>
      </c>
    </row>
    <row r="1255" spans="2:5">
      <c r="B1255" s="252">
        <v>42955</v>
      </c>
      <c r="C1255" s="251">
        <v>430</v>
      </c>
      <c r="D1255" s="251">
        <f t="shared" si="22"/>
        <v>8.3587430385807571E-2</v>
      </c>
      <c r="E1255" s="251">
        <v>0</v>
      </c>
    </row>
    <row r="1256" spans="2:5">
      <c r="B1256" s="252">
        <v>44855</v>
      </c>
      <c r="C1256" s="251">
        <v>396.83</v>
      </c>
      <c r="D1256" s="251">
        <f t="shared" si="22"/>
        <v>0.19060906090609053</v>
      </c>
      <c r="E1256" s="251">
        <v>-1.2598266478535419E-4</v>
      </c>
    </row>
    <row r="1257" spans="2:5">
      <c r="B1257" s="252">
        <v>44470</v>
      </c>
      <c r="C1257" s="251">
        <v>333.3</v>
      </c>
      <c r="D1257" s="251">
        <f t="shared" si="22"/>
        <v>-0.66435045317220554</v>
      </c>
      <c r="E1257" s="251">
        <v>-1.4999250037501534E-4</v>
      </c>
    </row>
    <row r="1258" spans="2:5">
      <c r="B1258" s="252">
        <v>45562</v>
      </c>
      <c r="C1258" s="251">
        <v>993</v>
      </c>
      <c r="D1258" s="251">
        <f t="shared" si="22"/>
        <v>0.53228917521796171</v>
      </c>
      <c r="E1258" s="251">
        <v>-1.5103458692038187E-4</v>
      </c>
    </row>
    <row r="1259" spans="2:5">
      <c r="B1259" s="252">
        <v>45727</v>
      </c>
      <c r="C1259" s="251">
        <v>648.04999999999995</v>
      </c>
      <c r="D1259" s="251">
        <f t="shared" si="22"/>
        <v>1.0072789221000462</v>
      </c>
      <c r="E1259" s="251">
        <v>-1.5428527347068232E-4</v>
      </c>
    </row>
    <row r="1260" spans="2:5">
      <c r="B1260" s="252">
        <v>42254</v>
      </c>
      <c r="C1260" s="251">
        <v>322.85000000000002</v>
      </c>
      <c r="D1260" s="251">
        <f t="shared" si="22"/>
        <v>5.4031994776363078E-2</v>
      </c>
      <c r="E1260" s="251">
        <v>-1.5484670176511159E-4</v>
      </c>
    </row>
    <row r="1261" spans="2:5">
      <c r="B1261" s="252">
        <v>44386</v>
      </c>
      <c r="C1261" s="251">
        <v>306.3</v>
      </c>
      <c r="D1261" s="251">
        <f t="shared" si="22"/>
        <v>-0.52742420735940754</v>
      </c>
      <c r="E1261" s="251">
        <v>-1.6321201240415004E-4</v>
      </c>
    </row>
    <row r="1262" spans="2:5">
      <c r="B1262" s="252">
        <v>45726</v>
      </c>
      <c r="C1262" s="251">
        <v>648.15</v>
      </c>
      <c r="D1262" s="251">
        <f t="shared" si="22"/>
        <v>0.50097262748367377</v>
      </c>
      <c r="E1262" s="251">
        <v>-2.313743637204647E-4</v>
      </c>
    </row>
    <row r="1263" spans="2:5">
      <c r="B1263" s="252">
        <v>44894</v>
      </c>
      <c r="C1263" s="251">
        <v>431.82</v>
      </c>
      <c r="D1263" s="251">
        <f t="shared" si="22"/>
        <v>-0.37312912825724037</v>
      </c>
      <c r="E1263" s="251">
        <v>-2.3152435636234194E-4</v>
      </c>
    </row>
    <row r="1264" spans="2:5">
      <c r="B1264" s="252">
        <v>45845</v>
      </c>
      <c r="C1264" s="251">
        <v>688.85</v>
      </c>
      <c r="D1264" s="251">
        <f t="shared" si="22"/>
        <v>1.4229686950404503</v>
      </c>
      <c r="E1264" s="251">
        <v>-2.9025469849783297E-4</v>
      </c>
    </row>
    <row r="1265" spans="2:5">
      <c r="B1265" s="252">
        <v>44434</v>
      </c>
      <c r="C1265" s="251">
        <v>284.3</v>
      </c>
      <c r="D1265" s="251">
        <f t="shared" si="22"/>
        <v>1.0170273146505855</v>
      </c>
      <c r="E1265" s="251">
        <v>-3.5161744022491526E-4</v>
      </c>
    </row>
    <row r="1266" spans="2:5">
      <c r="B1266" s="252">
        <v>44112</v>
      </c>
      <c r="C1266" s="251">
        <v>140.94999999999999</v>
      </c>
      <c r="D1266" s="251">
        <f t="shared" si="22"/>
        <v>-0.66194987408562178</v>
      </c>
      <c r="E1266" s="251">
        <v>-3.5460992907809482E-4</v>
      </c>
    </row>
    <row r="1267" spans="2:5">
      <c r="B1267" s="252">
        <v>44741</v>
      </c>
      <c r="C1267" s="251">
        <v>416.95</v>
      </c>
      <c r="D1267" s="251">
        <f t="shared" si="22"/>
        <v>5.5890397082658007E-2</v>
      </c>
      <c r="E1267" s="251">
        <v>-3.5962598897155143E-4</v>
      </c>
    </row>
    <row r="1268" spans="2:5">
      <c r="B1268" s="252">
        <v>44851</v>
      </c>
      <c r="C1268" s="251">
        <v>394.88</v>
      </c>
      <c r="D1268" s="251">
        <f t="shared" si="22"/>
        <v>-0.23002827337428103</v>
      </c>
      <c r="E1268" s="251">
        <v>-3.7971799610150435E-4</v>
      </c>
    </row>
    <row r="1269" spans="2:5">
      <c r="B1269" s="252">
        <v>42775</v>
      </c>
      <c r="C1269" s="251">
        <v>512.85</v>
      </c>
      <c r="D1269" s="251">
        <f t="shared" si="22"/>
        <v>1.9076005961251908E-2</v>
      </c>
      <c r="E1269" s="251">
        <v>-3.8982555306487049E-4</v>
      </c>
    </row>
    <row r="1270" spans="2:5">
      <c r="B1270" s="252">
        <v>42593</v>
      </c>
      <c r="C1270" s="251">
        <v>503.25</v>
      </c>
      <c r="D1270" s="251">
        <f t="shared" si="22"/>
        <v>4.5605651360897545E-2</v>
      </c>
      <c r="E1270" s="251">
        <v>-3.9725891349684902E-4</v>
      </c>
    </row>
    <row r="1271" spans="2:5">
      <c r="B1271" s="252">
        <v>42885</v>
      </c>
      <c r="C1271" s="251">
        <v>481.3</v>
      </c>
      <c r="D1271" s="251">
        <f t="shared" si="22"/>
        <v>3.3204667863554755</v>
      </c>
      <c r="E1271" s="251">
        <v>-4.1536863966768145E-4</v>
      </c>
    </row>
    <row r="1272" spans="2:5">
      <c r="B1272" s="252">
        <v>43992</v>
      </c>
      <c r="C1272" s="251">
        <v>111.4</v>
      </c>
      <c r="D1272" s="251">
        <f t="shared" si="22"/>
        <v>-0.74429014116836911</v>
      </c>
      <c r="E1272" s="251">
        <v>-4.4863167339611627E-4</v>
      </c>
    </row>
    <row r="1273" spans="2:5">
      <c r="B1273" s="252">
        <v>44720</v>
      </c>
      <c r="C1273" s="251">
        <v>435.65</v>
      </c>
      <c r="D1273" s="251">
        <f t="shared" si="22"/>
        <v>-0.53360026550472672</v>
      </c>
      <c r="E1273" s="251">
        <v>-4.5887346564195359E-4</v>
      </c>
    </row>
    <row r="1274" spans="2:5">
      <c r="B1274" s="252">
        <v>45348</v>
      </c>
      <c r="C1274" s="251">
        <v>934.07</v>
      </c>
      <c r="D1274" s="251">
        <f t="shared" si="22"/>
        <v>0.51073121027349644</v>
      </c>
      <c r="E1274" s="251">
        <v>-4.8153062534769911E-4</v>
      </c>
    </row>
    <row r="1275" spans="2:5">
      <c r="B1275" s="252">
        <v>45160</v>
      </c>
      <c r="C1275" s="251">
        <v>618.29</v>
      </c>
      <c r="D1275" s="251">
        <f t="shared" si="22"/>
        <v>2.1505222929936303</v>
      </c>
      <c r="E1275" s="251">
        <v>-4.8497389223891137E-4</v>
      </c>
    </row>
    <row r="1276" spans="2:5">
      <c r="B1276" s="252">
        <v>43843</v>
      </c>
      <c r="C1276" s="251">
        <v>196.25</v>
      </c>
      <c r="D1276" s="251">
        <f t="shared" si="22"/>
        <v>-0.47944297082228116</v>
      </c>
      <c r="E1276" s="251">
        <v>-5.0929462694165688E-4</v>
      </c>
    </row>
    <row r="1277" spans="2:5">
      <c r="B1277" s="252">
        <v>42452</v>
      </c>
      <c r="C1277" s="251">
        <v>377</v>
      </c>
      <c r="D1277" s="251">
        <f t="shared" si="22"/>
        <v>-0.61888394662353419</v>
      </c>
      <c r="E1277" s="251">
        <v>-5.3022269353125305E-4</v>
      </c>
    </row>
    <row r="1278" spans="2:5">
      <c r="B1278" s="252">
        <v>45383</v>
      </c>
      <c r="C1278" s="251">
        <v>989.2</v>
      </c>
      <c r="D1278" s="251">
        <f t="shared" si="22"/>
        <v>1.2643928121780932</v>
      </c>
      <c r="E1278" s="251">
        <v>-5.5569588279864054E-4</v>
      </c>
    </row>
    <row r="1279" spans="2:5">
      <c r="B1279" s="252">
        <v>42923</v>
      </c>
      <c r="C1279" s="251">
        <v>436.85</v>
      </c>
      <c r="D1279" s="251">
        <f t="shared" si="22"/>
        <v>-0.36944284064665117</v>
      </c>
      <c r="E1279" s="251">
        <v>-5.7195149851292605E-4</v>
      </c>
    </row>
    <row r="1280" spans="2:5">
      <c r="B1280" s="252">
        <v>45847</v>
      </c>
      <c r="C1280" s="251">
        <v>692.8</v>
      </c>
      <c r="D1280" s="251">
        <f t="shared" si="22"/>
        <v>3.0597714620568413</v>
      </c>
      <c r="E1280" s="251">
        <v>-5.7703404500878666E-4</v>
      </c>
    </row>
    <row r="1281" spans="2:5">
      <c r="B1281" s="252">
        <v>43396</v>
      </c>
      <c r="C1281" s="251">
        <v>170.65</v>
      </c>
      <c r="D1281" s="251">
        <f t="shared" si="22"/>
        <v>-0.59685802031656032</v>
      </c>
      <c r="E1281" s="251">
        <v>-5.8565153733525221E-4</v>
      </c>
    </row>
    <row r="1282" spans="2:5">
      <c r="B1282" s="252">
        <v>43013</v>
      </c>
      <c r="C1282" s="251">
        <v>423.3</v>
      </c>
      <c r="D1282" s="251">
        <f t="shared" si="22"/>
        <v>-0.12595498657856699</v>
      </c>
      <c r="E1282" s="251">
        <v>-5.9024908511391802E-4</v>
      </c>
    </row>
    <row r="1283" spans="2:5">
      <c r="B1283" s="252">
        <v>42563</v>
      </c>
      <c r="C1283" s="251">
        <v>484.3</v>
      </c>
      <c r="D1283" s="251">
        <f t="shared" si="22"/>
        <v>2.3457311918850428E-2</v>
      </c>
      <c r="E1283" s="251">
        <v>-6.1906727197691153E-4</v>
      </c>
    </row>
    <row r="1284" spans="2:5">
      <c r="B1284" s="252">
        <v>42831</v>
      </c>
      <c r="C1284" s="251">
        <v>473.2</v>
      </c>
      <c r="D1284" s="251">
        <f t="shared" si="22"/>
        <v>0.52768361581920897</v>
      </c>
      <c r="E1284" s="251">
        <v>-6.3357972544880964E-4</v>
      </c>
    </row>
    <row r="1285" spans="2:5">
      <c r="B1285" s="252">
        <v>43262</v>
      </c>
      <c r="C1285" s="251">
        <v>309.75</v>
      </c>
      <c r="D1285" s="251">
        <f t="shared" si="22"/>
        <v>-0.56963027802092447</v>
      </c>
      <c r="E1285" s="251">
        <v>-6.4526536538147649E-4</v>
      </c>
    </row>
    <row r="1286" spans="2:5">
      <c r="B1286" s="252">
        <v>45267</v>
      </c>
      <c r="C1286" s="251">
        <v>719.73</v>
      </c>
      <c r="D1286" s="251">
        <f t="shared" si="22"/>
        <v>5.2467646413687202E-2</v>
      </c>
      <c r="E1286" s="251">
        <v>-6.9422267886647322E-4</v>
      </c>
    </row>
    <row r="1287" spans="2:5">
      <c r="B1287" s="252">
        <v>45701</v>
      </c>
      <c r="C1287" s="251">
        <v>683.85</v>
      </c>
      <c r="D1287" s="251">
        <f t="shared" si="22"/>
        <v>-0.37082528291471162</v>
      </c>
      <c r="E1287" s="251">
        <v>-7.3062029663184037E-4</v>
      </c>
    </row>
    <row r="1288" spans="2:5">
      <c r="B1288" s="252">
        <v>45524</v>
      </c>
      <c r="C1288" s="267">
        <v>1086.9000000000001</v>
      </c>
      <c r="D1288" s="251">
        <f t="shared" si="22"/>
        <v>0.60050066264173174</v>
      </c>
      <c r="E1288" s="251">
        <v>-7.3549692010660525E-4</v>
      </c>
    </row>
    <row r="1289" spans="2:5">
      <c r="B1289" s="252">
        <v>45252</v>
      </c>
      <c r="C1289" s="251">
        <v>679.1</v>
      </c>
      <c r="D1289" s="251">
        <f t="shared" si="22"/>
        <v>-5.3571926303759988E-2</v>
      </c>
      <c r="E1289" s="251">
        <v>-7.3572689817539725E-4</v>
      </c>
    </row>
    <row r="1290" spans="2:5">
      <c r="B1290" s="252">
        <v>45274</v>
      </c>
      <c r="C1290" s="251">
        <v>717.54</v>
      </c>
      <c r="D1290" s="251">
        <f t="shared" ref="D1290:D1353" si="23">(C1290-C1291)/C1291</f>
        <v>4.8838868388683876</v>
      </c>
      <c r="E1290" s="251">
        <v>-7.5200534759369052E-4</v>
      </c>
    </row>
    <row r="1291" spans="2:5">
      <c r="B1291" s="252">
        <v>43690</v>
      </c>
      <c r="C1291" s="251">
        <v>121.95</v>
      </c>
      <c r="D1291" s="251">
        <f t="shared" si="23"/>
        <v>-0.3080851063829787</v>
      </c>
      <c r="E1291" s="251">
        <v>-8.1933633756652447E-4</v>
      </c>
    </row>
    <row r="1292" spans="2:5">
      <c r="B1292" s="252">
        <v>43455</v>
      </c>
      <c r="C1292" s="251">
        <v>176.25</v>
      </c>
      <c r="D1292" s="251">
        <f t="shared" si="23"/>
        <v>-0.57161607077753207</v>
      </c>
      <c r="E1292" s="251">
        <v>-8.5034013605445394E-4</v>
      </c>
    </row>
    <row r="1293" spans="2:5">
      <c r="B1293" s="252">
        <v>44743</v>
      </c>
      <c r="C1293" s="251">
        <v>411.43</v>
      </c>
      <c r="D1293" s="251">
        <f t="shared" si="23"/>
        <v>-0.48871629178575871</v>
      </c>
      <c r="E1293" s="251">
        <v>-8.9849441476445976E-4</v>
      </c>
    </row>
    <row r="1294" spans="2:5">
      <c r="B1294" s="252">
        <v>45607</v>
      </c>
      <c r="C1294" s="251">
        <v>804.7</v>
      </c>
      <c r="D1294" s="251">
        <f t="shared" si="23"/>
        <v>1.526134044890912</v>
      </c>
      <c r="E1294" s="251">
        <v>-9.3115649636848965E-4</v>
      </c>
    </row>
    <row r="1295" spans="2:5">
      <c r="B1295" s="252">
        <v>42423</v>
      </c>
      <c r="C1295" s="251">
        <v>318.55</v>
      </c>
      <c r="D1295" s="251">
        <f t="shared" si="23"/>
        <v>2.2140221402214132E-2</v>
      </c>
      <c r="E1295" s="251">
        <v>-9.4088129214367684E-4</v>
      </c>
    </row>
    <row r="1296" spans="2:5">
      <c r="B1296" s="252">
        <v>44455</v>
      </c>
      <c r="C1296" s="251">
        <v>311.64999999999998</v>
      </c>
      <c r="D1296" s="251">
        <f t="shared" si="23"/>
        <v>-0.32272085189612082</v>
      </c>
      <c r="E1296" s="251">
        <v>-9.6169257893896902E-4</v>
      </c>
    </row>
    <row r="1297" spans="2:5">
      <c r="B1297" s="252">
        <v>42936</v>
      </c>
      <c r="C1297" s="251">
        <v>460.15</v>
      </c>
      <c r="D1297" s="251">
        <f t="shared" si="23"/>
        <v>-0.42416468527092982</v>
      </c>
      <c r="E1297" s="251">
        <v>-9.769865392966683E-4</v>
      </c>
    </row>
    <row r="1298" spans="2:5">
      <c r="B1298" s="252">
        <v>45637</v>
      </c>
      <c r="C1298" s="251">
        <v>799.1</v>
      </c>
      <c r="D1298" s="251">
        <f t="shared" si="23"/>
        <v>0.77993094999443158</v>
      </c>
      <c r="E1298" s="251">
        <v>-1.0001250156268966E-3</v>
      </c>
    </row>
    <row r="1299" spans="2:5">
      <c r="B1299" s="252">
        <v>42548</v>
      </c>
      <c r="C1299" s="251">
        <v>448.95</v>
      </c>
      <c r="D1299" s="251">
        <f t="shared" si="23"/>
        <v>2.0252695417789752</v>
      </c>
      <c r="E1299" s="251">
        <v>-1.0013351134846209E-3</v>
      </c>
    </row>
    <row r="1300" spans="2:5">
      <c r="B1300" s="252">
        <v>44089</v>
      </c>
      <c r="C1300" s="251">
        <v>148.4</v>
      </c>
      <c r="D1300" s="251">
        <f t="shared" si="23"/>
        <v>-0.76872847413779666</v>
      </c>
      <c r="E1300" s="251">
        <v>-1.0097610232245417E-3</v>
      </c>
    </row>
    <row r="1301" spans="2:5">
      <c r="B1301" s="252">
        <v>45139</v>
      </c>
      <c r="C1301" s="251">
        <v>641.66999999999996</v>
      </c>
      <c r="D1301" s="251">
        <f t="shared" si="23"/>
        <v>-0.30265388628064688</v>
      </c>
      <c r="E1301" s="251">
        <v>-1.0119566571180889E-3</v>
      </c>
    </row>
    <row r="1302" spans="2:5">
      <c r="B1302" s="252">
        <v>45443</v>
      </c>
      <c r="C1302" s="251">
        <v>920.16</v>
      </c>
      <c r="D1302" s="251">
        <f t="shared" si="23"/>
        <v>0.93310924369747894</v>
      </c>
      <c r="E1302" s="251">
        <v>-1.031364332164503E-3</v>
      </c>
    </row>
    <row r="1303" spans="2:5">
      <c r="B1303" s="252">
        <v>42814</v>
      </c>
      <c r="C1303" s="251">
        <v>476</v>
      </c>
      <c r="D1303" s="251">
        <f t="shared" si="23"/>
        <v>0.11201962387571543</v>
      </c>
      <c r="E1303" s="251">
        <v>-1.0493179433368311E-3</v>
      </c>
    </row>
    <row r="1304" spans="2:5">
      <c r="B1304" s="252">
        <v>44722</v>
      </c>
      <c r="C1304" s="251">
        <v>428.05</v>
      </c>
      <c r="D1304" s="251">
        <f t="shared" si="23"/>
        <v>-2.5387067395264064E-2</v>
      </c>
      <c r="E1304" s="251">
        <v>-1.050175029171502E-3</v>
      </c>
    </row>
    <row r="1305" spans="2:5">
      <c r="B1305" s="252">
        <v>44971</v>
      </c>
      <c r="C1305" s="251">
        <v>439.2</v>
      </c>
      <c r="D1305" s="251">
        <f t="shared" si="23"/>
        <v>1.5534883720930233</v>
      </c>
      <c r="E1305" s="251">
        <v>-1.1144215242557462E-3</v>
      </c>
    </row>
    <row r="1306" spans="2:5">
      <c r="B1306" s="252">
        <v>43774</v>
      </c>
      <c r="C1306" s="251">
        <v>172</v>
      </c>
      <c r="D1306" s="251">
        <f t="shared" si="23"/>
        <v>1.4749262536873156E-2</v>
      </c>
      <c r="E1306" s="251">
        <v>-1.1614401858303638E-3</v>
      </c>
    </row>
    <row r="1307" spans="2:5">
      <c r="B1307" s="252">
        <v>43623</v>
      </c>
      <c r="C1307" s="251">
        <v>169.5</v>
      </c>
      <c r="D1307" s="251">
        <f t="shared" si="23"/>
        <v>-0.59503046231035717</v>
      </c>
      <c r="E1307" s="251">
        <v>-1.1785503830288077E-3</v>
      </c>
    </row>
    <row r="1308" spans="2:5">
      <c r="B1308" s="252">
        <v>42487</v>
      </c>
      <c r="C1308" s="251">
        <v>418.55</v>
      </c>
      <c r="D1308" s="251">
        <f t="shared" si="23"/>
        <v>-8.8721968212497282E-2</v>
      </c>
      <c r="E1308" s="251">
        <v>-1.1931750387781887E-3</v>
      </c>
    </row>
    <row r="1309" spans="2:5">
      <c r="B1309" s="252">
        <v>42704</v>
      </c>
      <c r="C1309" s="251">
        <v>459.3</v>
      </c>
      <c r="D1309" s="251">
        <f t="shared" si="23"/>
        <v>-4.9678260329809008E-2</v>
      </c>
      <c r="E1309" s="251">
        <v>-1.196042187669917E-3</v>
      </c>
    </row>
    <row r="1310" spans="2:5">
      <c r="B1310" s="252">
        <v>44791</v>
      </c>
      <c r="C1310" s="251">
        <v>483.31</v>
      </c>
      <c r="D1310" s="251">
        <f t="shared" si="23"/>
        <v>1.0791592596465597E-2</v>
      </c>
      <c r="E1310" s="251">
        <v>-1.2398999814015473E-3</v>
      </c>
    </row>
    <row r="1311" spans="2:5">
      <c r="B1311" s="252">
        <v>42891</v>
      </c>
      <c r="C1311" s="251">
        <v>478.15</v>
      </c>
      <c r="D1311" s="251">
        <f t="shared" si="23"/>
        <v>1.4234668018246324</v>
      </c>
      <c r="E1311" s="251">
        <v>-1.2532637075718491E-3</v>
      </c>
    </row>
    <row r="1312" spans="2:5">
      <c r="B1312" s="252">
        <v>43847</v>
      </c>
      <c r="C1312" s="251">
        <v>197.3</v>
      </c>
      <c r="D1312" s="251">
        <f t="shared" si="23"/>
        <v>-0.6811261596147008</v>
      </c>
      <c r="E1312" s="251">
        <v>-1.2655024044545683E-3</v>
      </c>
    </row>
    <row r="1313" spans="2:5">
      <c r="B1313" s="252">
        <v>45120</v>
      </c>
      <c r="C1313" s="251">
        <v>618.74</v>
      </c>
      <c r="D1313" s="251">
        <f t="shared" si="23"/>
        <v>0.33349137931034484</v>
      </c>
      <c r="E1313" s="251">
        <v>-1.2912806275623117E-3</v>
      </c>
    </row>
    <row r="1314" spans="2:5">
      <c r="B1314" s="252">
        <v>42940</v>
      </c>
      <c r="C1314" s="251">
        <v>464</v>
      </c>
      <c r="D1314" s="251">
        <f t="shared" si="23"/>
        <v>2.5754393721675643E-2</v>
      </c>
      <c r="E1314" s="251">
        <v>-1.2914334911752533E-3</v>
      </c>
    </row>
    <row r="1315" spans="2:5">
      <c r="B1315" s="252">
        <v>42699</v>
      </c>
      <c r="C1315" s="251">
        <v>452.35</v>
      </c>
      <c r="D1315" s="251">
        <f t="shared" si="23"/>
        <v>-0.54846276701936514</v>
      </c>
      <c r="E1315" s="251">
        <v>-1.3246495198144738E-3</v>
      </c>
    </row>
    <row r="1316" spans="2:5">
      <c r="B1316" s="252">
        <v>45496</v>
      </c>
      <c r="C1316" s="267">
        <v>1001.8</v>
      </c>
      <c r="D1316" s="251">
        <f t="shared" si="23"/>
        <v>0.42446820611989533</v>
      </c>
      <c r="E1316" s="251">
        <v>-1.3457608533120897E-3</v>
      </c>
    </row>
    <row r="1317" spans="2:5">
      <c r="B1317" s="252">
        <v>45261</v>
      </c>
      <c r="C1317" s="251">
        <v>703.28</v>
      </c>
      <c r="D1317" s="251">
        <f t="shared" si="23"/>
        <v>5.8917413234961975E-2</v>
      </c>
      <c r="E1317" s="251">
        <v>-1.3489910966588267E-3</v>
      </c>
    </row>
    <row r="1318" spans="2:5">
      <c r="B1318" s="252">
        <v>45215</v>
      </c>
      <c r="C1318" s="251">
        <v>664.15</v>
      </c>
      <c r="D1318" s="251">
        <f t="shared" si="23"/>
        <v>0.41791204099060636</v>
      </c>
      <c r="E1318" s="251">
        <v>-1.3532817081422109E-3</v>
      </c>
    </row>
    <row r="1319" spans="2:5">
      <c r="B1319" s="252">
        <v>42824</v>
      </c>
      <c r="C1319" s="251">
        <v>468.4</v>
      </c>
      <c r="D1319" s="251">
        <f t="shared" si="23"/>
        <v>5.6251768033946252</v>
      </c>
      <c r="E1319" s="251">
        <v>-1.3857797676154655E-3</v>
      </c>
    </row>
    <row r="1320" spans="2:5">
      <c r="B1320" s="252">
        <v>43917</v>
      </c>
      <c r="C1320" s="251">
        <v>70.7</v>
      </c>
      <c r="D1320" s="251">
        <f t="shared" si="23"/>
        <v>-0.83029692038117187</v>
      </c>
      <c r="E1320" s="251">
        <v>-1.4124293785309932E-3</v>
      </c>
    </row>
    <row r="1321" spans="2:5">
      <c r="B1321" s="252">
        <v>44909</v>
      </c>
      <c r="C1321" s="251">
        <v>416.61</v>
      </c>
      <c r="D1321" s="251">
        <f t="shared" si="23"/>
        <v>-5.9677237332129547E-2</v>
      </c>
      <c r="E1321" s="251">
        <v>-1.4381246854101434E-3</v>
      </c>
    </row>
    <row r="1322" spans="2:5">
      <c r="B1322" s="252">
        <v>42844</v>
      </c>
      <c r="C1322" s="251">
        <v>443.05</v>
      </c>
      <c r="D1322" s="251">
        <f t="shared" si="23"/>
        <v>-0.27174252510807567</v>
      </c>
      <c r="E1322" s="251">
        <v>-1.4649537976109473E-3</v>
      </c>
    </row>
    <row r="1323" spans="2:5">
      <c r="B1323" s="252">
        <v>45175</v>
      </c>
      <c r="C1323" s="251">
        <v>608.37</v>
      </c>
      <c r="D1323" s="251">
        <f t="shared" si="23"/>
        <v>0.43907746895328209</v>
      </c>
      <c r="E1323" s="251">
        <v>-1.4771776059874561E-3</v>
      </c>
    </row>
    <row r="1324" spans="2:5">
      <c r="B1324" s="252">
        <v>44888</v>
      </c>
      <c r="C1324" s="251">
        <v>422.75</v>
      </c>
      <c r="D1324" s="251">
        <f t="shared" si="23"/>
        <v>-0.32443229940713042</v>
      </c>
      <c r="E1324" s="251">
        <v>-1.5116086823023368E-3</v>
      </c>
    </row>
    <row r="1325" spans="2:5">
      <c r="B1325" s="252">
        <v>45231</v>
      </c>
      <c r="C1325" s="251">
        <v>625.77</v>
      </c>
      <c r="D1325" s="251">
        <f t="shared" si="23"/>
        <v>2.8532635467980296</v>
      </c>
      <c r="E1325" s="251">
        <v>-1.5158284401328272E-3</v>
      </c>
    </row>
    <row r="1326" spans="2:5">
      <c r="B1326" s="252">
        <v>43441</v>
      </c>
      <c r="C1326" s="251">
        <v>162.4</v>
      </c>
      <c r="D1326" s="251">
        <f t="shared" si="23"/>
        <v>-0.61525704809286907</v>
      </c>
      <c r="E1326" s="251">
        <v>-1.5370427297878881E-3</v>
      </c>
    </row>
    <row r="1327" spans="2:5">
      <c r="B1327" s="252">
        <v>44889</v>
      </c>
      <c r="C1327" s="251">
        <v>422.1</v>
      </c>
      <c r="D1327" s="251">
        <f t="shared" si="23"/>
        <v>-0.61103943973461117</v>
      </c>
      <c r="E1327" s="251">
        <v>-1.5375517445298103E-3</v>
      </c>
    </row>
    <row r="1328" spans="2:5">
      <c r="B1328" s="252">
        <v>45525</v>
      </c>
      <c r="C1328" s="267">
        <v>1085.2</v>
      </c>
      <c r="D1328" s="251">
        <f t="shared" si="23"/>
        <v>1.6617610988471916</v>
      </c>
      <c r="E1328" s="251">
        <v>-1.5640813322293176E-3</v>
      </c>
    </row>
    <row r="1329" spans="2:5">
      <c r="B1329" s="252">
        <v>42492</v>
      </c>
      <c r="C1329" s="251">
        <v>407.7</v>
      </c>
      <c r="D1329" s="251">
        <f t="shared" si="23"/>
        <v>-0.36596062330876178</v>
      </c>
      <c r="E1329" s="251">
        <v>-1.5917717644178622E-3</v>
      </c>
    </row>
    <row r="1330" spans="2:5">
      <c r="B1330" s="252">
        <v>45237</v>
      </c>
      <c r="C1330" s="251">
        <v>643.02</v>
      </c>
      <c r="D1330" s="251">
        <f t="shared" si="23"/>
        <v>2.4975251563774816</v>
      </c>
      <c r="E1330" s="251">
        <v>-1.6147563891562335E-3</v>
      </c>
    </row>
    <row r="1331" spans="2:5">
      <c r="B1331" s="252">
        <v>44196</v>
      </c>
      <c r="C1331" s="251">
        <v>183.85</v>
      </c>
      <c r="D1331" s="251">
        <f t="shared" si="23"/>
        <v>-0.74797806716929405</v>
      </c>
      <c r="E1331" s="251">
        <v>-1.6291067064893368E-3</v>
      </c>
    </row>
    <row r="1332" spans="2:5">
      <c r="B1332" s="252">
        <v>45796</v>
      </c>
      <c r="C1332" s="251">
        <v>729.5</v>
      </c>
      <c r="D1332" s="251">
        <f t="shared" si="23"/>
        <v>1.1824981301421091</v>
      </c>
      <c r="E1332" s="251">
        <v>-1.6422608457643977E-3</v>
      </c>
    </row>
    <row r="1333" spans="2:5">
      <c r="B1333" s="252">
        <v>43209</v>
      </c>
      <c r="C1333" s="251">
        <v>334.25</v>
      </c>
      <c r="D1333" s="251">
        <f t="shared" si="23"/>
        <v>0.857976653696498</v>
      </c>
      <c r="E1333" s="251">
        <v>-1.6427718040621605E-3</v>
      </c>
    </row>
    <row r="1334" spans="2:5">
      <c r="B1334" s="252">
        <v>43420</v>
      </c>
      <c r="C1334" s="251">
        <v>179.9</v>
      </c>
      <c r="D1334" s="251">
        <f t="shared" si="23"/>
        <v>-0.81945545597784086</v>
      </c>
      <c r="E1334" s="251">
        <v>-1.6648168701441895E-3</v>
      </c>
    </row>
    <row r="1335" spans="2:5">
      <c r="B1335" s="252">
        <v>45408</v>
      </c>
      <c r="C1335" s="251">
        <v>996.43</v>
      </c>
      <c r="D1335" s="251">
        <f t="shared" si="23"/>
        <v>1.341786133960047</v>
      </c>
      <c r="E1335" s="251">
        <v>-1.7431900377691267E-3</v>
      </c>
    </row>
    <row r="1336" spans="2:5">
      <c r="B1336" s="252">
        <v>43063</v>
      </c>
      <c r="C1336" s="251">
        <v>425.5</v>
      </c>
      <c r="D1336" s="251">
        <f t="shared" si="23"/>
        <v>0.27147766323024064</v>
      </c>
      <c r="E1336" s="251">
        <v>-1.7595307917888563E-3</v>
      </c>
    </row>
    <row r="1337" spans="2:5">
      <c r="B1337" s="252">
        <v>44371</v>
      </c>
      <c r="C1337" s="251">
        <v>334.65</v>
      </c>
      <c r="D1337" s="251">
        <f t="shared" si="23"/>
        <v>-0.47682326272180098</v>
      </c>
      <c r="E1337" s="251">
        <v>-1.7897091722595757E-3</v>
      </c>
    </row>
    <row r="1338" spans="2:5">
      <c r="B1338" s="252">
        <v>45722</v>
      </c>
      <c r="C1338" s="251">
        <v>639.65</v>
      </c>
      <c r="D1338" s="251">
        <f t="shared" si="23"/>
        <v>0.46055485786048633</v>
      </c>
      <c r="E1338" s="251">
        <v>-1.7946317103620121E-3</v>
      </c>
    </row>
    <row r="1339" spans="2:5">
      <c r="B1339" s="252">
        <v>44993</v>
      </c>
      <c r="C1339" s="251">
        <v>437.95</v>
      </c>
      <c r="D1339" s="251">
        <f t="shared" si="23"/>
        <v>6.757184993783967E-2</v>
      </c>
      <c r="E1339" s="251">
        <v>-1.8233618233618493E-3</v>
      </c>
    </row>
    <row r="1340" spans="2:5">
      <c r="B1340" s="252">
        <v>44939</v>
      </c>
      <c r="C1340" s="251">
        <v>410.23</v>
      </c>
      <c r="D1340" s="251">
        <f t="shared" si="23"/>
        <v>-0.3948160387100581</v>
      </c>
      <c r="E1340" s="251">
        <v>-1.8249063214754975E-3</v>
      </c>
    </row>
    <row r="1341" spans="2:5">
      <c r="B1341" s="252">
        <v>45253</v>
      </c>
      <c r="C1341" s="251">
        <v>677.86</v>
      </c>
      <c r="D1341" s="251">
        <f t="shared" si="23"/>
        <v>0.38664211925948649</v>
      </c>
      <c r="E1341" s="251">
        <v>-1.8259461051391682E-3</v>
      </c>
    </row>
    <row r="1342" spans="2:5">
      <c r="B1342" s="252">
        <v>44567</v>
      </c>
      <c r="C1342" s="251">
        <v>488.85</v>
      </c>
      <c r="D1342" s="251">
        <f t="shared" si="23"/>
        <v>0.21574235264859487</v>
      </c>
      <c r="E1342" s="251">
        <v>-1.8376722817763701E-3</v>
      </c>
    </row>
    <row r="1343" spans="2:5">
      <c r="B1343" s="252">
        <v>42331</v>
      </c>
      <c r="C1343" s="251">
        <v>402.1</v>
      </c>
      <c r="D1343" s="251">
        <f t="shared" si="23"/>
        <v>0.36768707482993207</v>
      </c>
      <c r="E1343" s="251">
        <v>-1.8617351371478217E-3</v>
      </c>
    </row>
    <row r="1344" spans="2:5">
      <c r="B1344" s="252">
        <v>44309</v>
      </c>
      <c r="C1344" s="251">
        <v>294</v>
      </c>
      <c r="D1344" s="251">
        <f t="shared" si="23"/>
        <v>-0.69297924999216787</v>
      </c>
      <c r="E1344" s="251">
        <v>-1.8672551349516596E-3</v>
      </c>
    </row>
    <row r="1345" spans="2:5">
      <c r="B1345" s="252">
        <v>45436</v>
      </c>
      <c r="C1345" s="251">
        <v>957.59</v>
      </c>
      <c r="D1345" s="251">
        <f t="shared" si="23"/>
        <v>2.3406244549101696</v>
      </c>
      <c r="E1345" s="251">
        <v>-1.876192163770682E-3</v>
      </c>
    </row>
    <row r="1346" spans="2:5">
      <c r="B1346" s="252">
        <v>43255</v>
      </c>
      <c r="C1346" s="251">
        <v>286.64999999999998</v>
      </c>
      <c r="D1346" s="251">
        <f t="shared" si="23"/>
        <v>-0.35191046800813935</v>
      </c>
      <c r="E1346" s="251">
        <v>-1.9150417827298446E-3</v>
      </c>
    </row>
    <row r="1347" spans="2:5">
      <c r="B1347" s="252">
        <v>42913</v>
      </c>
      <c r="C1347" s="251">
        <v>442.3</v>
      </c>
      <c r="D1347" s="251">
        <f t="shared" si="23"/>
        <v>-0.1465508924264351</v>
      </c>
      <c r="E1347" s="251">
        <v>-1.9180864267177387E-3</v>
      </c>
    </row>
    <row r="1348" spans="2:5">
      <c r="B1348" s="252">
        <v>42747</v>
      </c>
      <c r="C1348" s="251">
        <v>518.25</v>
      </c>
      <c r="D1348" s="251">
        <f t="shared" si="23"/>
        <v>8.6609575710394036E-3</v>
      </c>
      <c r="E1348" s="251">
        <v>-1.9258545979778526E-3</v>
      </c>
    </row>
    <row r="1349" spans="2:5">
      <c r="B1349" s="252">
        <v>42591</v>
      </c>
      <c r="C1349" s="251">
        <v>513.79999999999995</v>
      </c>
      <c r="D1349" s="251">
        <f t="shared" si="23"/>
        <v>-0.25433567955881287</v>
      </c>
      <c r="E1349" s="251">
        <v>-1.9425019425019427E-3</v>
      </c>
    </row>
    <row r="1350" spans="2:5">
      <c r="B1350" s="252">
        <v>45842</v>
      </c>
      <c r="C1350" s="251">
        <v>689.05</v>
      </c>
      <c r="D1350" s="251">
        <f t="shared" si="23"/>
        <v>0.7262933734185143</v>
      </c>
      <c r="E1350" s="251">
        <v>-1.9553881807648069E-3</v>
      </c>
    </row>
    <row r="1351" spans="2:5">
      <c r="B1351" s="252">
        <v>42345</v>
      </c>
      <c r="C1351" s="251">
        <v>399.15</v>
      </c>
      <c r="D1351" s="251">
        <f t="shared" si="23"/>
        <v>6.8388650963597308E-2</v>
      </c>
      <c r="E1351" s="251">
        <v>-2.0002500312539351E-3</v>
      </c>
    </row>
    <row r="1352" spans="2:5">
      <c r="B1352" s="252">
        <v>42969</v>
      </c>
      <c r="C1352" s="251">
        <v>373.6</v>
      </c>
      <c r="D1352" s="251">
        <f t="shared" si="23"/>
        <v>0.90758233341843264</v>
      </c>
      <c r="E1352" s="251">
        <v>-2.0034726859890477E-3</v>
      </c>
    </row>
    <row r="1353" spans="2:5">
      <c r="B1353" s="252">
        <v>43844</v>
      </c>
      <c r="C1353" s="251">
        <v>195.85</v>
      </c>
      <c r="D1353" s="251">
        <f t="shared" si="23"/>
        <v>-0.38431310908519339</v>
      </c>
      <c r="E1353" s="251">
        <v>-2.038216560509583E-3</v>
      </c>
    </row>
    <row r="1354" spans="2:5">
      <c r="B1354" s="252">
        <v>44348</v>
      </c>
      <c r="C1354" s="251">
        <v>318.10000000000002</v>
      </c>
      <c r="D1354" s="251">
        <f t="shared" ref="D1354:D1417" si="24">(C1354-C1355)/C1355</f>
        <v>1.6127310061601645</v>
      </c>
      <c r="E1354" s="251">
        <v>-2.0392156862744384E-3</v>
      </c>
    </row>
    <row r="1355" spans="2:5">
      <c r="B1355" s="252">
        <v>43726</v>
      </c>
      <c r="C1355" s="251">
        <v>121.75</v>
      </c>
      <c r="D1355" s="251">
        <f t="shared" si="24"/>
        <v>-0.82121879588839941</v>
      </c>
      <c r="E1355" s="251">
        <v>-2.0491803278688526E-3</v>
      </c>
    </row>
    <row r="1356" spans="2:5">
      <c r="B1356" s="252">
        <v>45707</v>
      </c>
      <c r="C1356" s="251">
        <v>681</v>
      </c>
      <c r="D1356" s="251">
        <f t="shared" si="24"/>
        <v>9.3659664675274701E-2</v>
      </c>
      <c r="E1356" s="251">
        <v>-2.051582649472417E-3</v>
      </c>
    </row>
    <row r="1357" spans="2:5">
      <c r="B1357" s="252">
        <v>45183</v>
      </c>
      <c r="C1357" s="251">
        <v>622.67999999999995</v>
      </c>
      <c r="D1357" s="251">
        <f t="shared" si="24"/>
        <v>2.7197132616487454</v>
      </c>
      <c r="E1357" s="251">
        <v>-2.0674070868793009E-3</v>
      </c>
    </row>
    <row r="1358" spans="2:5">
      <c r="B1358" s="252">
        <v>43789</v>
      </c>
      <c r="C1358" s="251">
        <v>167.4</v>
      </c>
      <c r="D1358" s="251">
        <f t="shared" si="24"/>
        <v>-0.58564356435643561</v>
      </c>
      <c r="E1358" s="251">
        <v>-2.0864381520118887E-3</v>
      </c>
    </row>
    <row r="1359" spans="2:5">
      <c r="B1359" s="252">
        <v>42313</v>
      </c>
      <c r="C1359" s="251">
        <v>404</v>
      </c>
      <c r="D1359" s="251">
        <f t="shared" si="24"/>
        <v>-0.53967982681023186</v>
      </c>
      <c r="E1359" s="251">
        <v>-2.0995430406323891E-3</v>
      </c>
    </row>
    <row r="1360" spans="2:5">
      <c r="B1360" s="252">
        <v>45588</v>
      </c>
      <c r="C1360" s="251">
        <v>877.65</v>
      </c>
      <c r="D1360" s="251">
        <f t="shared" si="24"/>
        <v>0.29018743109151046</v>
      </c>
      <c r="E1360" s="251">
        <v>-2.1034678794770016E-3</v>
      </c>
    </row>
    <row r="1361" spans="2:5">
      <c r="B1361" s="252">
        <v>45856</v>
      </c>
      <c r="C1361" s="251">
        <v>680.25</v>
      </c>
      <c r="D1361" s="251">
        <f t="shared" si="24"/>
        <v>-0.28810632619957088</v>
      </c>
      <c r="E1361" s="251">
        <v>-2.1270353527945507E-3</v>
      </c>
    </row>
    <row r="1362" spans="2:5">
      <c r="B1362" s="252">
        <v>45439</v>
      </c>
      <c r="C1362" s="251">
        <v>955.55</v>
      </c>
      <c r="D1362" s="251">
        <f t="shared" si="24"/>
        <v>1.285731371845473</v>
      </c>
      <c r="E1362" s="251">
        <v>-2.1303480612789162E-3</v>
      </c>
    </row>
    <row r="1363" spans="2:5">
      <c r="B1363" s="252">
        <v>43119</v>
      </c>
      <c r="C1363" s="251">
        <v>418.05</v>
      </c>
      <c r="D1363" s="251">
        <f t="shared" si="24"/>
        <v>-0.42618900555898698</v>
      </c>
      <c r="E1363" s="251">
        <v>-2.1482277121374323E-3</v>
      </c>
    </row>
    <row r="1364" spans="2:5">
      <c r="B1364" s="252">
        <v>45278</v>
      </c>
      <c r="C1364" s="251">
        <v>728.55</v>
      </c>
      <c r="D1364" s="251">
        <f t="shared" si="24"/>
        <v>3.5849590937696663</v>
      </c>
      <c r="E1364" s="251">
        <v>-2.1913305485174593E-3</v>
      </c>
    </row>
    <row r="1365" spans="2:5">
      <c r="B1365" s="252">
        <v>43637</v>
      </c>
      <c r="C1365" s="251">
        <v>158.9</v>
      </c>
      <c r="D1365" s="251">
        <f t="shared" si="24"/>
        <v>-0.72948586993530817</v>
      </c>
      <c r="E1365" s="251">
        <v>-2.1978021978021622E-3</v>
      </c>
    </row>
    <row r="1366" spans="2:5">
      <c r="B1366" s="252">
        <v>42620</v>
      </c>
      <c r="C1366" s="251">
        <v>587.4</v>
      </c>
      <c r="D1366" s="251">
        <f t="shared" si="24"/>
        <v>-8.7973170201533973E-2</v>
      </c>
      <c r="E1366" s="251">
        <v>-2.2082554781723595E-3</v>
      </c>
    </row>
    <row r="1367" spans="2:5">
      <c r="B1367" s="252">
        <v>45236</v>
      </c>
      <c r="C1367" s="251">
        <v>644.05999999999995</v>
      </c>
      <c r="D1367" s="251">
        <f t="shared" si="24"/>
        <v>0.64012325243831003</v>
      </c>
      <c r="E1367" s="251">
        <v>-2.2462858824805897E-3</v>
      </c>
    </row>
    <row r="1368" spans="2:5">
      <c r="B1368" s="252">
        <v>44929</v>
      </c>
      <c r="C1368" s="251">
        <v>392.69</v>
      </c>
      <c r="D1368" s="251">
        <f t="shared" si="24"/>
        <v>-0.14025177887246854</v>
      </c>
      <c r="E1368" s="251">
        <v>-2.2866434614699999E-3</v>
      </c>
    </row>
    <row r="1369" spans="2:5">
      <c r="B1369" s="252">
        <v>42794</v>
      </c>
      <c r="C1369" s="251">
        <v>456.75</v>
      </c>
      <c r="D1369" s="251">
        <f t="shared" si="24"/>
        <v>-0.41938805344045149</v>
      </c>
      <c r="E1369" s="251">
        <v>-2.293577981651401E-3</v>
      </c>
    </row>
    <row r="1370" spans="2:5">
      <c r="B1370" s="252">
        <v>45299</v>
      </c>
      <c r="C1370" s="251">
        <v>786.67</v>
      </c>
      <c r="D1370" s="251">
        <f t="shared" si="24"/>
        <v>1.1879293561396187</v>
      </c>
      <c r="E1370" s="251">
        <v>-2.3461675036778049E-3</v>
      </c>
    </row>
    <row r="1371" spans="2:5">
      <c r="B1371" s="252">
        <v>42445</v>
      </c>
      <c r="C1371" s="251">
        <v>359.55</v>
      </c>
      <c r="D1371" s="251">
        <f t="shared" si="24"/>
        <v>1.1262566528681255</v>
      </c>
      <c r="E1371" s="251">
        <v>-2.3584905660376412E-3</v>
      </c>
    </row>
    <row r="1372" spans="2:5">
      <c r="B1372" s="252">
        <v>43875</v>
      </c>
      <c r="C1372" s="251">
        <v>169.1</v>
      </c>
      <c r="D1372" s="251">
        <f t="shared" si="24"/>
        <v>-0.57392662769602909</v>
      </c>
      <c r="E1372" s="251">
        <v>-2.3598820058997384E-3</v>
      </c>
    </row>
    <row r="1373" spans="2:5">
      <c r="B1373" s="252">
        <v>44854</v>
      </c>
      <c r="C1373" s="251">
        <v>396.88</v>
      </c>
      <c r="D1373" s="251">
        <f t="shared" si="24"/>
        <v>-0.24034835869461199</v>
      </c>
      <c r="E1373" s="251">
        <v>-2.3628776833743846E-3</v>
      </c>
    </row>
    <row r="1374" spans="2:5">
      <c r="B1374" s="252">
        <v>42753</v>
      </c>
      <c r="C1374" s="251">
        <v>522.45000000000005</v>
      </c>
      <c r="D1374" s="251">
        <f t="shared" si="24"/>
        <v>1.8103819257665414</v>
      </c>
      <c r="E1374" s="251">
        <v>-2.3868627076570554E-3</v>
      </c>
    </row>
    <row r="1375" spans="2:5">
      <c r="B1375" s="252">
        <v>43595</v>
      </c>
      <c r="C1375" s="251">
        <v>185.9</v>
      </c>
      <c r="D1375" s="251">
        <f t="shared" si="24"/>
        <v>0.80573093734822732</v>
      </c>
      <c r="E1375" s="251">
        <v>-2.4148108398174867E-3</v>
      </c>
    </row>
    <row r="1376" spans="2:5">
      <c r="B1376" s="252">
        <v>44028</v>
      </c>
      <c r="C1376" s="251">
        <v>102.95</v>
      </c>
      <c r="D1376" s="251">
        <f t="shared" si="24"/>
        <v>-0.6151401869158879</v>
      </c>
      <c r="E1376" s="251">
        <v>-2.4224806201550387E-3</v>
      </c>
    </row>
    <row r="1377" spans="2:5">
      <c r="B1377" s="252">
        <v>43311</v>
      </c>
      <c r="C1377" s="251">
        <v>267.5</v>
      </c>
      <c r="D1377" s="251">
        <f t="shared" si="24"/>
        <v>-0.34779958551749357</v>
      </c>
      <c r="E1377" s="251">
        <v>-2.4240164087263746E-3</v>
      </c>
    </row>
    <row r="1378" spans="2:5">
      <c r="B1378" s="252">
        <v>43080</v>
      </c>
      <c r="C1378" s="251">
        <v>410.15</v>
      </c>
      <c r="D1378" s="251">
        <f t="shared" si="24"/>
        <v>-0.61830533711786329</v>
      </c>
      <c r="E1378" s="251">
        <v>-2.4322023592362888E-3</v>
      </c>
    </row>
    <row r="1379" spans="2:5">
      <c r="B1379" s="252">
        <v>45532</v>
      </c>
      <c r="C1379" s="267">
        <v>1074.55</v>
      </c>
      <c r="D1379" s="251">
        <f t="shared" si="24"/>
        <v>0.47865035571273257</v>
      </c>
      <c r="E1379" s="251">
        <v>-2.5063819911812909E-3</v>
      </c>
    </row>
    <row r="1380" spans="2:5">
      <c r="B1380" s="252">
        <v>45279</v>
      </c>
      <c r="C1380" s="251">
        <v>726.71</v>
      </c>
      <c r="D1380" s="251">
        <f t="shared" si="24"/>
        <v>6.3777664974619297</v>
      </c>
      <c r="E1380" s="251">
        <v>-2.5255644773864777E-3</v>
      </c>
    </row>
    <row r="1381" spans="2:5">
      <c r="B1381" s="252">
        <v>43986</v>
      </c>
      <c r="C1381" s="251">
        <v>98.5</v>
      </c>
      <c r="D1381" s="251">
        <f t="shared" si="24"/>
        <v>-0.81436110064078404</v>
      </c>
      <c r="E1381" s="251">
        <v>-2.5316455696202532E-3</v>
      </c>
    </row>
    <row r="1382" spans="2:5">
      <c r="B1382" s="252">
        <v>42675</v>
      </c>
      <c r="C1382" s="251">
        <v>530.6</v>
      </c>
      <c r="D1382" s="251">
        <f t="shared" si="24"/>
        <v>0.22795649155288125</v>
      </c>
      <c r="E1382" s="251">
        <v>-2.5378325030548411E-3</v>
      </c>
    </row>
    <row r="1383" spans="2:5">
      <c r="B1383" s="252">
        <v>44645</v>
      </c>
      <c r="C1383" s="251">
        <v>432.1</v>
      </c>
      <c r="D1383" s="251">
        <f t="shared" si="24"/>
        <v>-0.40168928274716148</v>
      </c>
      <c r="E1383" s="251">
        <v>-2.5392428439519068E-3</v>
      </c>
    </row>
    <row r="1384" spans="2:5">
      <c r="B1384" s="252">
        <v>45649</v>
      </c>
      <c r="C1384" s="251">
        <v>722.2</v>
      </c>
      <c r="D1384" s="251">
        <f t="shared" si="24"/>
        <v>-0.11808523629258753</v>
      </c>
      <c r="E1384" s="251">
        <v>-2.5550721635244928E-3</v>
      </c>
    </row>
    <row r="1385" spans="2:5">
      <c r="B1385" s="252">
        <v>45311</v>
      </c>
      <c r="C1385" s="251">
        <v>818.9</v>
      </c>
      <c r="D1385" s="251">
        <f t="shared" si="24"/>
        <v>0.71677148846960159</v>
      </c>
      <c r="E1385" s="251">
        <v>-2.5821539061167873E-3</v>
      </c>
    </row>
    <row r="1386" spans="2:5">
      <c r="B1386" s="252">
        <v>44615</v>
      </c>
      <c r="C1386" s="251">
        <v>477</v>
      </c>
      <c r="D1386" s="251">
        <f t="shared" si="24"/>
        <v>0.78785607196401797</v>
      </c>
      <c r="E1386" s="251">
        <v>-2.6136957658128594E-3</v>
      </c>
    </row>
    <row r="1387" spans="2:5">
      <c r="B1387" s="252">
        <v>44224</v>
      </c>
      <c r="C1387" s="251">
        <v>266.8</v>
      </c>
      <c r="D1387" s="251">
        <f t="shared" si="24"/>
        <v>-0.33174702567313713</v>
      </c>
      <c r="E1387" s="251">
        <v>-2.6168224299064997E-3</v>
      </c>
    </row>
    <row r="1388" spans="2:5">
      <c r="B1388" s="252">
        <v>43129</v>
      </c>
      <c r="C1388" s="251">
        <v>399.25</v>
      </c>
      <c r="D1388" s="251">
        <f t="shared" si="24"/>
        <v>-8.6175326161592999E-2</v>
      </c>
      <c r="E1388" s="251">
        <v>-2.6230327254559366E-3</v>
      </c>
    </row>
    <row r="1389" spans="2:5">
      <c r="B1389" s="252">
        <v>44896</v>
      </c>
      <c r="C1389" s="251">
        <v>436.9</v>
      </c>
      <c r="D1389" s="251">
        <f t="shared" si="24"/>
        <v>-0.27628418559194301</v>
      </c>
      <c r="E1389" s="251">
        <v>-2.625271087775446E-3</v>
      </c>
    </row>
    <row r="1390" spans="2:5">
      <c r="B1390" s="252">
        <v>45168</v>
      </c>
      <c r="C1390" s="251">
        <v>603.69000000000005</v>
      </c>
      <c r="D1390" s="251">
        <f t="shared" si="24"/>
        <v>2.180663856691254</v>
      </c>
      <c r="E1390" s="251">
        <v>-2.6268834258523629E-3</v>
      </c>
    </row>
    <row r="1391" spans="2:5">
      <c r="B1391" s="252">
        <v>43409</v>
      </c>
      <c r="C1391" s="251">
        <v>189.8</v>
      </c>
      <c r="D1391" s="251">
        <f t="shared" si="24"/>
        <v>-0.79552922165364937</v>
      </c>
      <c r="E1391" s="251">
        <v>-2.627430373095113E-3</v>
      </c>
    </row>
    <row r="1392" spans="2:5">
      <c r="B1392" s="252">
        <v>45579</v>
      </c>
      <c r="C1392" s="251">
        <v>928.25</v>
      </c>
      <c r="D1392" s="251">
        <f t="shared" si="24"/>
        <v>-8.4340320591861903E-2</v>
      </c>
      <c r="E1392" s="251">
        <v>-2.6324272053293708E-3</v>
      </c>
    </row>
    <row r="1393" spans="2:5">
      <c r="B1393" s="252">
        <v>45510</v>
      </c>
      <c r="C1393" s="267">
        <v>1013.75</v>
      </c>
      <c r="D1393" s="251">
        <f t="shared" si="24"/>
        <v>0.55280692348931604</v>
      </c>
      <c r="E1393" s="251">
        <v>-2.6563038024497469E-3</v>
      </c>
    </row>
    <row r="1394" spans="2:5">
      <c r="B1394" s="252">
        <v>45875</v>
      </c>
      <c r="C1394" s="251">
        <v>652.85</v>
      </c>
      <c r="D1394" s="251">
        <f t="shared" si="24"/>
        <v>0.8489096573208722</v>
      </c>
      <c r="E1394" s="251">
        <v>-2.673388328750382E-3</v>
      </c>
    </row>
    <row r="1395" spans="2:5">
      <c r="B1395" s="252">
        <v>43174</v>
      </c>
      <c r="C1395" s="251">
        <v>353.1</v>
      </c>
      <c r="D1395" s="251">
        <f t="shared" si="24"/>
        <v>-0.2262348249112503</v>
      </c>
      <c r="E1395" s="251">
        <v>-2.6832368309560473E-3</v>
      </c>
    </row>
    <row r="1396" spans="2:5">
      <c r="B1396" s="252">
        <v>44810</v>
      </c>
      <c r="C1396" s="251">
        <v>456.34</v>
      </c>
      <c r="D1396" s="251">
        <f t="shared" si="24"/>
        <v>-7.3703440576474183E-2</v>
      </c>
      <c r="E1396" s="251">
        <v>-2.7317030529513319E-3</v>
      </c>
    </row>
    <row r="1397" spans="2:5">
      <c r="B1397" s="252">
        <v>42569</v>
      </c>
      <c r="C1397" s="251">
        <v>492.65</v>
      </c>
      <c r="D1397" s="251">
        <f t="shared" si="24"/>
        <v>0.19098271485555424</v>
      </c>
      <c r="E1397" s="251">
        <v>-2.7327935222672523E-3</v>
      </c>
    </row>
    <row r="1398" spans="2:5">
      <c r="B1398" s="252">
        <v>42999</v>
      </c>
      <c r="C1398" s="251">
        <v>413.65</v>
      </c>
      <c r="D1398" s="251">
        <f t="shared" si="24"/>
        <v>0.10071846726982428</v>
      </c>
      <c r="E1398" s="251">
        <v>-2.7724204435873533E-3</v>
      </c>
    </row>
    <row r="1399" spans="2:5">
      <c r="B1399" s="252">
        <v>43146</v>
      </c>
      <c r="C1399" s="251">
        <v>375.8</v>
      </c>
      <c r="D1399" s="251">
        <f t="shared" si="24"/>
        <v>1.333436820863086</v>
      </c>
      <c r="E1399" s="251">
        <v>-2.7862544779090124E-3</v>
      </c>
    </row>
    <row r="1400" spans="2:5">
      <c r="B1400" s="252">
        <v>43801</v>
      </c>
      <c r="C1400" s="251">
        <v>161.05000000000001</v>
      </c>
      <c r="D1400" s="251">
        <f t="shared" si="24"/>
        <v>-0.84451631589109866</v>
      </c>
      <c r="E1400" s="251">
        <v>-2.7863777089782577E-3</v>
      </c>
    </row>
    <row r="1401" spans="2:5">
      <c r="B1401" s="252">
        <v>45545</v>
      </c>
      <c r="C1401" s="267">
        <v>1035.8</v>
      </c>
      <c r="D1401" s="251">
        <f t="shared" si="24"/>
        <v>1.3297345928924873</v>
      </c>
      <c r="E1401" s="251">
        <v>-2.7919514778088871E-3</v>
      </c>
    </row>
    <row r="1402" spans="2:5">
      <c r="B1402" s="252">
        <v>42947</v>
      </c>
      <c r="C1402" s="251">
        <v>444.6</v>
      </c>
      <c r="D1402" s="251">
        <f t="shared" si="24"/>
        <v>-0.2791828793774318</v>
      </c>
      <c r="E1402" s="251">
        <v>-2.8036335090276996E-3</v>
      </c>
    </row>
    <row r="1403" spans="2:5">
      <c r="B1403" s="252">
        <v>45194</v>
      </c>
      <c r="C1403" s="251">
        <v>616.79999999999995</v>
      </c>
      <c r="D1403" s="251">
        <f t="shared" si="24"/>
        <v>2.8963992419456721</v>
      </c>
      <c r="E1403" s="251">
        <v>-2.8130759530507472E-3</v>
      </c>
    </row>
    <row r="1404" spans="2:5">
      <c r="B1404" s="252">
        <v>43634</v>
      </c>
      <c r="C1404" s="251">
        <v>158.30000000000001</v>
      </c>
      <c r="D1404" s="251">
        <f t="shared" si="24"/>
        <v>-0.46834592779177159</v>
      </c>
      <c r="E1404" s="251">
        <v>-2.8346456692912672E-3</v>
      </c>
    </row>
    <row r="1405" spans="2:5">
      <c r="B1405" s="252">
        <v>42278</v>
      </c>
      <c r="C1405" s="251">
        <v>297.75</v>
      </c>
      <c r="D1405" s="251">
        <f t="shared" si="24"/>
        <v>-0.36890631623569309</v>
      </c>
      <c r="E1405" s="251">
        <v>-2.8466175485600221E-3</v>
      </c>
    </row>
    <row r="1406" spans="2:5">
      <c r="B1406" s="252">
        <v>42723</v>
      </c>
      <c r="C1406" s="251">
        <v>471.8</v>
      </c>
      <c r="D1406" s="251">
        <f t="shared" si="24"/>
        <v>0.13571806846083481</v>
      </c>
      <c r="E1406" s="251">
        <v>-2.8532177956249942E-3</v>
      </c>
    </row>
    <row r="1407" spans="2:5">
      <c r="B1407" s="252">
        <v>44910</v>
      </c>
      <c r="C1407" s="251">
        <v>415.42</v>
      </c>
      <c r="D1407" s="251">
        <f t="shared" si="24"/>
        <v>3.6089287941139865E-2</v>
      </c>
      <c r="E1407" s="251">
        <v>-2.8563884688317556E-3</v>
      </c>
    </row>
    <row r="1408" spans="2:5">
      <c r="B1408" s="252">
        <v>42332</v>
      </c>
      <c r="C1408" s="251">
        <v>400.95</v>
      </c>
      <c r="D1408" s="251">
        <f t="shared" si="24"/>
        <v>-0.59329512603337231</v>
      </c>
      <c r="E1408" s="251">
        <v>-2.8599850783388066E-3</v>
      </c>
    </row>
    <row r="1409" spans="2:5">
      <c r="B1409" s="252">
        <v>45456</v>
      </c>
      <c r="C1409" s="251">
        <v>985.85</v>
      </c>
      <c r="D1409" s="251">
        <f t="shared" si="24"/>
        <v>0.39195199435227679</v>
      </c>
      <c r="E1409" s="251">
        <v>-2.8825730757560662E-3</v>
      </c>
    </row>
    <row r="1410" spans="2:5">
      <c r="B1410" s="252">
        <v>45742</v>
      </c>
      <c r="C1410" s="251">
        <v>708.25</v>
      </c>
      <c r="D1410" s="251">
        <f t="shared" si="24"/>
        <v>1.4172354948805461</v>
      </c>
      <c r="E1410" s="251">
        <v>-2.8861044629029347E-3</v>
      </c>
    </row>
    <row r="1411" spans="2:5">
      <c r="B1411" s="252">
        <v>44319</v>
      </c>
      <c r="C1411" s="251">
        <v>293</v>
      </c>
      <c r="D1411" s="251">
        <f t="shared" si="24"/>
        <v>-0.36012229744485691</v>
      </c>
      <c r="E1411" s="251">
        <v>-2.8926322953888809E-3</v>
      </c>
    </row>
    <row r="1412" spans="2:5">
      <c r="B1412" s="252">
        <v>42552</v>
      </c>
      <c r="C1412" s="251">
        <v>457.9</v>
      </c>
      <c r="D1412" s="251">
        <f t="shared" si="24"/>
        <v>1.4764737696051919</v>
      </c>
      <c r="E1412" s="251">
        <v>-2.9395753946652647E-3</v>
      </c>
    </row>
    <row r="1413" spans="2:5">
      <c r="B1413" s="252">
        <v>43482</v>
      </c>
      <c r="C1413" s="251">
        <v>184.9</v>
      </c>
      <c r="D1413" s="251">
        <f t="shared" si="24"/>
        <v>-0.77993334920257085</v>
      </c>
      <c r="E1413" s="251">
        <v>-2.9657589646804152E-3</v>
      </c>
    </row>
    <row r="1414" spans="2:5">
      <c r="B1414" s="252">
        <v>45595</v>
      </c>
      <c r="C1414" s="251">
        <v>840.2</v>
      </c>
      <c r="D1414" s="251">
        <f t="shared" si="24"/>
        <v>1.0681846153846155</v>
      </c>
      <c r="E1414" s="251">
        <v>-3.0258083654701329E-3</v>
      </c>
    </row>
    <row r="1415" spans="2:5">
      <c r="B1415" s="252">
        <v>42326</v>
      </c>
      <c r="C1415" s="251">
        <v>406.25</v>
      </c>
      <c r="D1415" s="251">
        <f t="shared" si="24"/>
        <v>-0.2108585858585858</v>
      </c>
      <c r="E1415" s="251">
        <v>-3.0674846625766872E-3</v>
      </c>
    </row>
    <row r="1416" spans="2:5">
      <c r="B1416" s="252">
        <v>42590</v>
      </c>
      <c r="C1416" s="251">
        <v>514.79999999999995</v>
      </c>
      <c r="D1416" s="251">
        <f t="shared" si="24"/>
        <v>-0.33307423241352513</v>
      </c>
      <c r="E1416" s="251">
        <v>-3.0983733539891997E-3</v>
      </c>
    </row>
    <row r="1417" spans="2:5">
      <c r="B1417" s="252">
        <v>45614</v>
      </c>
      <c r="C1417" s="251">
        <v>771.9</v>
      </c>
      <c r="D1417" s="251">
        <f t="shared" si="24"/>
        <v>-0.16807673654146688</v>
      </c>
      <c r="E1417" s="251">
        <v>-3.0995738086012879E-3</v>
      </c>
    </row>
    <row r="1418" spans="2:5">
      <c r="B1418" s="252">
        <v>45572</v>
      </c>
      <c r="C1418" s="251">
        <v>927.85</v>
      </c>
      <c r="D1418" s="251">
        <f t="shared" ref="D1418:D1481" si="25">(C1418-C1419)/C1419</f>
        <v>4.2868945868945874</v>
      </c>
      <c r="E1418" s="251">
        <v>-3.1157668546870558E-3</v>
      </c>
    </row>
    <row r="1419" spans="2:5">
      <c r="B1419" s="252">
        <v>43823</v>
      </c>
      <c r="C1419" s="251">
        <v>175.5</v>
      </c>
      <c r="D1419" s="251">
        <f t="shared" si="25"/>
        <v>-0.4746295464750786</v>
      </c>
      <c r="E1419" s="251">
        <v>-3.1241124680489139E-3</v>
      </c>
    </row>
    <row r="1420" spans="2:5">
      <c r="B1420" s="252">
        <v>42243</v>
      </c>
      <c r="C1420" s="251">
        <v>334.05</v>
      </c>
      <c r="D1420" s="251">
        <f t="shared" si="25"/>
        <v>-0.46051356589147291</v>
      </c>
      <c r="E1420" s="251">
        <v>-3.1333930170098817E-3</v>
      </c>
    </row>
    <row r="1421" spans="2:5">
      <c r="B1421" s="252">
        <v>45720</v>
      </c>
      <c r="C1421" s="251">
        <v>619.20000000000005</v>
      </c>
      <c r="D1421" s="251">
        <f t="shared" si="25"/>
        <v>0.2250469878326245</v>
      </c>
      <c r="E1421" s="251">
        <v>-3.1393383240762005E-3</v>
      </c>
    </row>
    <row r="1422" spans="2:5">
      <c r="B1422" s="252">
        <v>44515</v>
      </c>
      <c r="C1422" s="251">
        <v>505.45</v>
      </c>
      <c r="D1422" s="251">
        <f t="shared" si="25"/>
        <v>-0.12794810303479931</v>
      </c>
      <c r="E1422" s="251">
        <v>-3.1555073464155856E-3</v>
      </c>
    </row>
    <row r="1423" spans="2:5">
      <c r="B1423" s="252">
        <v>45098</v>
      </c>
      <c r="C1423" s="251">
        <v>579.61</v>
      </c>
      <c r="D1423" s="251">
        <f t="shared" si="25"/>
        <v>-0.39307853403141357</v>
      </c>
      <c r="E1423" s="251">
        <v>-3.1816462009424942E-3</v>
      </c>
    </row>
    <row r="1424" spans="2:5">
      <c r="B1424" s="252">
        <v>45468</v>
      </c>
      <c r="C1424" s="251">
        <v>955</v>
      </c>
      <c r="D1424" s="251">
        <f t="shared" si="25"/>
        <v>4.5555555555555554</v>
      </c>
      <c r="E1424" s="251">
        <v>-3.183549919106471E-3</v>
      </c>
    </row>
    <row r="1425" spans="2:5">
      <c r="B1425" s="252">
        <v>43768</v>
      </c>
      <c r="C1425" s="251">
        <v>171.9</v>
      </c>
      <c r="D1425" s="251">
        <f t="shared" si="25"/>
        <v>-0.83166038290163058</v>
      </c>
      <c r="E1425" s="251">
        <v>-3.1893302406493648E-3</v>
      </c>
    </row>
    <row r="1426" spans="2:5">
      <c r="B1426" s="252">
        <v>45489</v>
      </c>
      <c r="C1426" s="267">
        <v>1021.15</v>
      </c>
      <c r="D1426" s="251">
        <f t="shared" si="25"/>
        <v>2.0016166960611406</v>
      </c>
      <c r="E1426" s="251">
        <v>-3.2212406657231374E-3</v>
      </c>
    </row>
    <row r="1427" spans="2:5">
      <c r="B1427" s="252">
        <v>42387</v>
      </c>
      <c r="C1427" s="251">
        <v>340.2</v>
      </c>
      <c r="D1427" s="251">
        <f t="shared" si="25"/>
        <v>-0.1125603234641973</v>
      </c>
      <c r="E1427" s="251">
        <v>-3.2229709932611273E-3</v>
      </c>
    </row>
    <row r="1428" spans="2:5">
      <c r="B1428" s="252">
        <v>42304</v>
      </c>
      <c r="C1428" s="251">
        <v>383.35</v>
      </c>
      <c r="D1428" s="251">
        <f t="shared" si="25"/>
        <v>-0.3235397917769543</v>
      </c>
      <c r="E1428" s="251">
        <v>-3.2501300052002078E-3</v>
      </c>
    </row>
    <row r="1429" spans="2:5">
      <c r="B1429" s="252">
        <v>45092</v>
      </c>
      <c r="C1429" s="251">
        <v>566.70000000000005</v>
      </c>
      <c r="D1429" s="251">
        <f t="shared" si="25"/>
        <v>2.087442113865432</v>
      </c>
      <c r="E1429" s="251">
        <v>-3.2538914783218878E-3</v>
      </c>
    </row>
    <row r="1430" spans="2:5">
      <c r="B1430" s="252">
        <v>44172</v>
      </c>
      <c r="C1430" s="251">
        <v>183.55</v>
      </c>
      <c r="D1430" s="251">
        <f t="shared" si="25"/>
        <v>1.4263053536021151</v>
      </c>
      <c r="E1430" s="251">
        <v>-3.2582134129785193E-3</v>
      </c>
    </row>
    <row r="1431" spans="2:5">
      <c r="B1431" s="252">
        <v>43944</v>
      </c>
      <c r="C1431" s="251">
        <v>75.650000000000006</v>
      </c>
      <c r="D1431" s="251">
        <f t="shared" si="25"/>
        <v>-0.92052319167936125</v>
      </c>
      <c r="E1431" s="251">
        <v>-3.2938076416337285E-3</v>
      </c>
    </row>
    <row r="1432" spans="2:5">
      <c r="B1432" s="252">
        <v>45469</v>
      </c>
      <c r="C1432" s="251">
        <v>951.85</v>
      </c>
      <c r="D1432" s="251">
        <f t="shared" si="25"/>
        <v>4.2807212205270462</v>
      </c>
      <c r="E1432" s="251">
        <v>-3.2984293193717039E-3</v>
      </c>
    </row>
    <row r="1433" spans="2:5">
      <c r="B1433" s="252">
        <v>43488</v>
      </c>
      <c r="C1433" s="251">
        <v>180.25</v>
      </c>
      <c r="D1433" s="251">
        <f t="shared" si="25"/>
        <v>2.7816411682892906E-3</v>
      </c>
      <c r="E1433" s="251">
        <v>-3.3176665745092305E-3</v>
      </c>
    </row>
    <row r="1434" spans="2:5">
      <c r="B1434" s="252">
        <v>44166</v>
      </c>
      <c r="C1434" s="251">
        <v>179.75</v>
      </c>
      <c r="D1434" s="251">
        <f t="shared" si="25"/>
        <v>-0.71761397555534612</v>
      </c>
      <c r="E1434" s="251">
        <v>-3.3268644302744347E-3</v>
      </c>
    </row>
    <row r="1435" spans="2:5">
      <c r="B1435" s="252">
        <v>45189</v>
      </c>
      <c r="C1435" s="251">
        <v>636.54</v>
      </c>
      <c r="D1435" s="251">
        <f t="shared" si="25"/>
        <v>1.3876219054763688</v>
      </c>
      <c r="E1435" s="251">
        <v>-3.3506607377716329E-3</v>
      </c>
    </row>
    <row r="1436" spans="2:5">
      <c r="B1436" s="252">
        <v>43346</v>
      </c>
      <c r="C1436" s="251">
        <v>266.60000000000002</v>
      </c>
      <c r="D1436" s="251">
        <f t="shared" si="25"/>
        <v>-0.43427055702917766</v>
      </c>
      <c r="E1436" s="251">
        <v>-3.3644859813083262E-3</v>
      </c>
    </row>
    <row r="1437" spans="2:5">
      <c r="B1437" s="252">
        <v>42692</v>
      </c>
      <c r="C1437" s="251">
        <v>471.25</v>
      </c>
      <c r="D1437" s="251">
        <f t="shared" si="25"/>
        <v>0.15686755861053142</v>
      </c>
      <c r="E1437" s="251">
        <v>-3.3837369144549489E-3</v>
      </c>
    </row>
    <row r="1438" spans="2:5">
      <c r="B1438" s="252">
        <v>42478</v>
      </c>
      <c r="C1438" s="251">
        <v>407.35</v>
      </c>
      <c r="D1438" s="251">
        <f t="shared" si="25"/>
        <v>-0.27319927917640552</v>
      </c>
      <c r="E1438" s="251">
        <v>-3.4250764525993326E-3</v>
      </c>
    </row>
    <row r="1439" spans="2:5">
      <c r="B1439" s="252">
        <v>45090</v>
      </c>
      <c r="C1439" s="251">
        <v>560.47</v>
      </c>
      <c r="D1439" s="251">
        <f t="shared" si="25"/>
        <v>0.55211852672389916</v>
      </c>
      <c r="E1439" s="251">
        <v>-3.4494407994166906E-3</v>
      </c>
    </row>
    <row r="1440" spans="2:5">
      <c r="B1440" s="252">
        <v>42290</v>
      </c>
      <c r="C1440" s="251">
        <v>361.1</v>
      </c>
      <c r="D1440" s="251">
        <f t="shared" si="25"/>
        <v>-0.13643429391366724</v>
      </c>
      <c r="E1440" s="251">
        <v>-3.4497033255140057E-3</v>
      </c>
    </row>
    <row r="1441" spans="2:5">
      <c r="B1441" s="252">
        <v>44631</v>
      </c>
      <c r="C1441" s="251">
        <v>418.15</v>
      </c>
      <c r="D1441" s="251">
        <f t="shared" si="25"/>
        <v>3.9527656929769985E-2</v>
      </c>
      <c r="E1441" s="251">
        <v>-3.4556720686369051E-3</v>
      </c>
    </row>
    <row r="1442" spans="2:5">
      <c r="B1442" s="252">
        <v>43074</v>
      </c>
      <c r="C1442" s="251">
        <v>402.25</v>
      </c>
      <c r="D1442" s="251">
        <f t="shared" si="25"/>
        <v>-0.14793789319833078</v>
      </c>
      <c r="E1442" s="251">
        <v>-3.4683512944381949E-3</v>
      </c>
    </row>
    <row r="1443" spans="2:5">
      <c r="B1443" s="252">
        <v>45041</v>
      </c>
      <c r="C1443" s="251">
        <v>472.09</v>
      </c>
      <c r="D1443" s="251">
        <f t="shared" si="25"/>
        <v>1.7535141440653252</v>
      </c>
      <c r="E1443" s="251">
        <v>-3.4829231223878795E-3</v>
      </c>
    </row>
    <row r="1444" spans="2:5">
      <c r="B1444" s="252">
        <v>44160</v>
      </c>
      <c r="C1444" s="251">
        <v>171.45</v>
      </c>
      <c r="D1444" s="251">
        <f t="shared" si="25"/>
        <v>9.7631241997439194E-2</v>
      </c>
      <c r="E1444" s="251">
        <v>-3.4873583260681355E-3</v>
      </c>
    </row>
    <row r="1445" spans="2:5">
      <c r="B1445" s="252">
        <v>43669</v>
      </c>
      <c r="C1445" s="251">
        <v>156.19999999999999</v>
      </c>
      <c r="D1445" s="251">
        <f t="shared" si="25"/>
        <v>-0.76014986794422945</v>
      </c>
      <c r="E1445" s="251">
        <v>-3.5087719298246339E-3</v>
      </c>
    </row>
    <row r="1446" spans="2:5">
      <c r="B1446" s="252">
        <v>45243</v>
      </c>
      <c r="C1446" s="251">
        <v>651.24</v>
      </c>
      <c r="D1446" s="251">
        <f t="shared" si="25"/>
        <v>4.1788469184890653</v>
      </c>
      <c r="E1446" s="251">
        <v>-3.534542116134872E-3</v>
      </c>
    </row>
    <row r="1447" spans="2:5">
      <c r="B1447" s="252">
        <v>43895</v>
      </c>
      <c r="C1447" s="251">
        <v>125.75</v>
      </c>
      <c r="D1447" s="251">
        <f t="shared" si="25"/>
        <v>-0.30467238042576716</v>
      </c>
      <c r="E1447" s="251">
        <v>-3.5657686212361554E-3</v>
      </c>
    </row>
    <row r="1448" spans="2:5">
      <c r="B1448" s="252">
        <v>43487</v>
      </c>
      <c r="C1448" s="251">
        <v>180.85</v>
      </c>
      <c r="D1448" s="251">
        <f t="shared" si="25"/>
        <v>0.44506592089492597</v>
      </c>
      <c r="E1448" s="251">
        <v>-3.5812672176308855E-3</v>
      </c>
    </row>
    <row r="1449" spans="2:5">
      <c r="B1449" s="252">
        <v>44062</v>
      </c>
      <c r="C1449" s="251">
        <v>125.15</v>
      </c>
      <c r="D1449" s="251">
        <f t="shared" si="25"/>
        <v>-0.79386622304942933</v>
      </c>
      <c r="E1449" s="251">
        <v>-3.5828025477706101E-3</v>
      </c>
    </row>
    <row r="1450" spans="2:5">
      <c r="B1450" s="252">
        <v>45173</v>
      </c>
      <c r="C1450" s="251">
        <v>607.13</v>
      </c>
      <c r="D1450" s="251">
        <f t="shared" si="25"/>
        <v>0.83339876189038209</v>
      </c>
      <c r="E1450" s="251">
        <v>-3.5941705507780055E-3</v>
      </c>
    </row>
    <row r="1451" spans="2:5">
      <c r="B1451" s="252">
        <v>43186</v>
      </c>
      <c r="C1451" s="251">
        <v>331.15</v>
      </c>
      <c r="D1451" s="251">
        <f t="shared" si="25"/>
        <v>-0.4530333812331731</v>
      </c>
      <c r="E1451" s="251">
        <v>-3.6106514216941339E-3</v>
      </c>
    </row>
    <row r="1452" spans="2:5">
      <c r="B1452" s="252">
        <v>45146</v>
      </c>
      <c r="C1452" s="251">
        <v>605.42999999999995</v>
      </c>
      <c r="D1452" s="251">
        <f t="shared" si="25"/>
        <v>0.77259552042160717</v>
      </c>
      <c r="E1452" s="251">
        <v>-3.6206243931340546E-3</v>
      </c>
    </row>
    <row r="1453" spans="2:5">
      <c r="B1453" s="252">
        <v>44376</v>
      </c>
      <c r="C1453" s="251">
        <v>341.55</v>
      </c>
      <c r="D1453" s="251">
        <f t="shared" si="25"/>
        <v>0.32460732984293189</v>
      </c>
      <c r="E1453" s="251">
        <v>-3.6464410735122521E-3</v>
      </c>
    </row>
    <row r="1454" spans="2:5">
      <c r="B1454" s="252">
        <v>43306</v>
      </c>
      <c r="C1454" s="251">
        <v>257.85000000000002</v>
      </c>
      <c r="D1454" s="251">
        <f t="shared" si="25"/>
        <v>-0.71627420774647887</v>
      </c>
      <c r="E1454" s="251">
        <v>-3.6707882534775449E-3</v>
      </c>
    </row>
    <row r="1455" spans="2:5">
      <c r="B1455" s="252">
        <v>45334</v>
      </c>
      <c r="C1455" s="251">
        <v>908.8</v>
      </c>
      <c r="D1455" s="251">
        <f t="shared" si="25"/>
        <v>-8.0534196681505493E-2</v>
      </c>
      <c r="E1455" s="251">
        <v>-3.7054090201495272E-3</v>
      </c>
    </row>
    <row r="1456" spans="2:5">
      <c r="B1456" s="252">
        <v>45551</v>
      </c>
      <c r="C1456" s="251">
        <v>988.4</v>
      </c>
      <c r="D1456" s="251">
        <f t="shared" si="25"/>
        <v>0.48419551017343632</v>
      </c>
      <c r="E1456" s="251">
        <v>-3.7294627557706334E-3</v>
      </c>
    </row>
    <row r="1457" spans="2:5">
      <c r="B1457" s="252">
        <v>45869</v>
      </c>
      <c r="C1457" s="251">
        <v>665.95</v>
      </c>
      <c r="D1457" s="251">
        <f t="shared" si="25"/>
        <v>0.35149670218163376</v>
      </c>
      <c r="E1457" s="251">
        <v>-3.7399955120053854E-3</v>
      </c>
    </row>
    <row r="1458" spans="2:5">
      <c r="B1458" s="252">
        <v>44600</v>
      </c>
      <c r="C1458" s="251">
        <v>492.75</v>
      </c>
      <c r="D1458" s="251">
        <f t="shared" si="25"/>
        <v>-2.3290386521308225E-2</v>
      </c>
      <c r="E1458" s="251">
        <v>-3.7403962798221242E-3</v>
      </c>
    </row>
    <row r="1459" spans="2:5">
      <c r="B1459" s="252">
        <v>44595</v>
      </c>
      <c r="C1459" s="251">
        <v>504.5</v>
      </c>
      <c r="D1459" s="251">
        <f t="shared" si="25"/>
        <v>-0.35241640459534046</v>
      </c>
      <c r="E1459" s="251">
        <v>-3.7519747235386599E-3</v>
      </c>
    </row>
    <row r="1460" spans="2:5">
      <c r="B1460" s="252">
        <v>45294</v>
      </c>
      <c r="C1460" s="251">
        <v>779.05</v>
      </c>
      <c r="D1460" s="251">
        <f t="shared" si="25"/>
        <v>1.181907295896933</v>
      </c>
      <c r="E1460" s="251">
        <v>-3.7596388700623469E-3</v>
      </c>
    </row>
    <row r="1461" spans="2:5">
      <c r="B1461" s="252">
        <v>43203</v>
      </c>
      <c r="C1461" s="251">
        <v>357.05</v>
      </c>
      <c r="D1461" s="251">
        <f t="shared" si="25"/>
        <v>0.93575494714014651</v>
      </c>
      <c r="E1461" s="251">
        <v>-3.7667410714284765E-3</v>
      </c>
    </row>
    <row r="1462" spans="2:5">
      <c r="B1462" s="252">
        <v>43831</v>
      </c>
      <c r="C1462" s="251">
        <v>184.45</v>
      </c>
      <c r="D1462" s="251">
        <f t="shared" si="25"/>
        <v>1.6291067064891824E-3</v>
      </c>
      <c r="E1462" s="251">
        <v>-3.780718336484024E-3</v>
      </c>
    </row>
    <row r="1463" spans="2:5">
      <c r="B1463" s="252">
        <v>44169</v>
      </c>
      <c r="C1463" s="251">
        <v>184.15</v>
      </c>
      <c r="D1463" s="251">
        <f t="shared" si="25"/>
        <v>-0.59963039460810952</v>
      </c>
      <c r="E1463" s="251">
        <v>-3.7868542061130031E-3</v>
      </c>
    </row>
    <row r="1464" spans="2:5">
      <c r="B1464" s="252">
        <v>42797</v>
      </c>
      <c r="C1464" s="251">
        <v>459.95</v>
      </c>
      <c r="D1464" s="251">
        <f t="shared" si="25"/>
        <v>-0.28196762258613428</v>
      </c>
      <c r="E1464" s="251">
        <v>-3.7903400476499891E-3</v>
      </c>
    </row>
    <row r="1465" spans="2:5">
      <c r="B1465" s="252">
        <v>45238</v>
      </c>
      <c r="C1465" s="251">
        <v>640.57000000000005</v>
      </c>
      <c r="D1465" s="251">
        <f t="shared" si="25"/>
        <v>0.5810687399728498</v>
      </c>
      <c r="E1465" s="251">
        <v>-3.8101458741562188E-3</v>
      </c>
    </row>
    <row r="1466" spans="2:5">
      <c r="B1466" s="252">
        <v>44726</v>
      </c>
      <c r="C1466" s="251">
        <v>405.15</v>
      </c>
      <c r="D1466" s="251">
        <f t="shared" si="25"/>
        <v>-0.39130108173076927</v>
      </c>
      <c r="E1466" s="251">
        <v>-3.8111630194246652E-3</v>
      </c>
    </row>
    <row r="1467" spans="2:5">
      <c r="B1467" s="252">
        <v>45776</v>
      </c>
      <c r="C1467" s="251">
        <v>665.6</v>
      </c>
      <c r="D1467" s="251">
        <f t="shared" si="25"/>
        <v>0.56321191197538689</v>
      </c>
      <c r="E1467" s="251">
        <v>-3.8165082691011816E-3</v>
      </c>
    </row>
    <row r="1468" spans="2:5">
      <c r="B1468" s="252">
        <v>44901</v>
      </c>
      <c r="C1468" s="251">
        <v>425.79</v>
      </c>
      <c r="D1468" s="251">
        <f t="shared" si="25"/>
        <v>-2.9095884163721334E-2</v>
      </c>
      <c r="E1468" s="251">
        <v>-3.8368855719064792E-3</v>
      </c>
    </row>
    <row r="1469" spans="2:5">
      <c r="B1469" s="252">
        <v>44974</v>
      </c>
      <c r="C1469" s="251">
        <v>438.55</v>
      </c>
      <c r="D1469" s="251">
        <f t="shared" si="25"/>
        <v>-0.3472501302374042</v>
      </c>
      <c r="E1469" s="251">
        <v>-3.8388151917136057E-3</v>
      </c>
    </row>
    <row r="1470" spans="2:5">
      <c r="B1470" s="252">
        <v>45748</v>
      </c>
      <c r="C1470" s="251">
        <v>671.85</v>
      </c>
      <c r="D1470" s="251">
        <f t="shared" si="25"/>
        <v>-0.29873179896665097</v>
      </c>
      <c r="E1470" s="251">
        <v>-3.8549929572244384E-3</v>
      </c>
    </row>
    <row r="1471" spans="2:5">
      <c r="B1471" s="252">
        <v>45467</v>
      </c>
      <c r="C1471" s="251">
        <v>958.05</v>
      </c>
      <c r="D1471" s="251">
        <f t="shared" si="25"/>
        <v>-5.7732972707155196E-2</v>
      </c>
      <c r="E1471" s="251">
        <v>-3.8989394884591392E-3</v>
      </c>
    </row>
    <row r="1472" spans="2:5">
      <c r="B1472" s="252">
        <v>45485</v>
      </c>
      <c r="C1472" s="267">
        <v>1016.75</v>
      </c>
      <c r="D1472" s="251">
        <f t="shared" si="25"/>
        <v>1.7098880597014925</v>
      </c>
      <c r="E1472" s="251">
        <v>-3.9674764890281688E-3</v>
      </c>
    </row>
    <row r="1473" spans="2:5">
      <c r="B1473" s="252">
        <v>42467</v>
      </c>
      <c r="C1473" s="251">
        <v>375.2</v>
      </c>
      <c r="D1473" s="251">
        <f t="shared" si="25"/>
        <v>-0.60279062873839451</v>
      </c>
      <c r="E1473" s="251">
        <v>-3.981948500132732E-3</v>
      </c>
    </row>
    <row r="1474" spans="2:5">
      <c r="B1474" s="252">
        <v>45434</v>
      </c>
      <c r="C1474" s="251">
        <v>944.59</v>
      </c>
      <c r="D1474" s="251">
        <f t="shared" si="25"/>
        <v>2.0289882956549623</v>
      </c>
      <c r="E1474" s="251">
        <v>-3.9857861383215121E-3</v>
      </c>
    </row>
    <row r="1475" spans="2:5">
      <c r="B1475" s="252">
        <v>44340</v>
      </c>
      <c r="C1475" s="251">
        <v>311.85000000000002</v>
      </c>
      <c r="D1475" s="251">
        <f t="shared" si="25"/>
        <v>-0.38852941176470585</v>
      </c>
      <c r="E1475" s="251">
        <v>-3.9923347173427019E-3</v>
      </c>
    </row>
    <row r="1476" spans="2:5">
      <c r="B1476" s="252">
        <v>42601</v>
      </c>
      <c r="C1476" s="251">
        <v>510</v>
      </c>
      <c r="D1476" s="251">
        <f t="shared" si="25"/>
        <v>1.9611688566390027E-4</v>
      </c>
      <c r="E1476" s="251">
        <v>-4.0035152817106817E-3</v>
      </c>
    </row>
    <row r="1477" spans="2:5">
      <c r="B1477" s="252">
        <v>44575</v>
      </c>
      <c r="C1477" s="251">
        <v>509.9</v>
      </c>
      <c r="D1477" s="251">
        <f t="shared" si="25"/>
        <v>0.15652430311415544</v>
      </c>
      <c r="E1477" s="251">
        <v>-4.004297294657704E-3</v>
      </c>
    </row>
    <row r="1478" spans="2:5">
      <c r="B1478" s="252">
        <v>44770</v>
      </c>
      <c r="C1478" s="251">
        <v>440.89</v>
      </c>
      <c r="D1478" s="251">
        <f t="shared" si="25"/>
        <v>-0.37617262115316591</v>
      </c>
      <c r="E1478" s="251">
        <v>-4.0435529050330274E-3</v>
      </c>
    </row>
    <row r="1479" spans="2:5">
      <c r="B1479" s="252">
        <v>45695</v>
      </c>
      <c r="C1479" s="251">
        <v>706.75</v>
      </c>
      <c r="D1479" s="251">
        <f t="shared" si="25"/>
        <v>0.57872986798311254</v>
      </c>
      <c r="E1479" s="251">
        <v>-4.0865215246952405E-3</v>
      </c>
    </row>
    <row r="1480" spans="2:5">
      <c r="B1480" s="252">
        <v>44761</v>
      </c>
      <c r="C1480" s="251">
        <v>447.67</v>
      </c>
      <c r="D1480" s="251">
        <f t="shared" si="25"/>
        <v>5.9699372706829276E-2</v>
      </c>
      <c r="E1480" s="251">
        <v>-4.093346087962392E-3</v>
      </c>
    </row>
    <row r="1481" spans="2:5">
      <c r="B1481" s="252">
        <v>43096</v>
      </c>
      <c r="C1481" s="251">
        <v>422.45</v>
      </c>
      <c r="D1481" s="251">
        <f t="shared" si="25"/>
        <v>-7.3879206401403025E-2</v>
      </c>
      <c r="E1481" s="251">
        <v>-4.1254125412541259E-3</v>
      </c>
    </row>
    <row r="1482" spans="2:5">
      <c r="B1482" s="252">
        <v>44657</v>
      </c>
      <c r="C1482" s="251">
        <v>456.15</v>
      </c>
      <c r="D1482" s="251">
        <f t="shared" ref="D1482:D1545" si="26">(C1482-C1483)/C1483</f>
        <v>2.8685474595764766E-2</v>
      </c>
      <c r="E1482" s="251">
        <v>-4.1480187752429521E-3</v>
      </c>
    </row>
    <row r="1483" spans="2:5">
      <c r="B1483" s="252">
        <v>44959</v>
      </c>
      <c r="C1483" s="251">
        <v>443.43</v>
      </c>
      <c r="D1483" s="251">
        <f t="shared" si="26"/>
        <v>-0.56291645310097382</v>
      </c>
      <c r="E1483" s="251">
        <v>-4.1546891843333772E-3</v>
      </c>
    </row>
    <row r="1484" spans="2:5">
      <c r="B1484" s="252">
        <v>45357</v>
      </c>
      <c r="C1484" s="267">
        <v>1014.52</v>
      </c>
      <c r="D1484" s="251">
        <f t="shared" si="26"/>
        <v>7.8473477197831334E-2</v>
      </c>
      <c r="E1484" s="251">
        <v>-4.1619223369586643E-3</v>
      </c>
    </row>
    <row r="1485" spans="2:5">
      <c r="B1485" s="252">
        <v>45441</v>
      </c>
      <c r="C1485" s="251">
        <v>940.7</v>
      </c>
      <c r="D1485" s="251">
        <f t="shared" si="26"/>
        <v>1.0492321097919617</v>
      </c>
      <c r="E1485" s="251">
        <v>-4.1709010840107778E-3</v>
      </c>
    </row>
    <row r="1486" spans="2:5">
      <c r="B1486" s="252">
        <v>42929</v>
      </c>
      <c r="C1486" s="251">
        <v>459.05</v>
      </c>
      <c r="D1486" s="251">
        <f t="shared" si="26"/>
        <v>-0.53356161599739871</v>
      </c>
      <c r="E1486" s="251">
        <v>-4.2299349240780661E-3</v>
      </c>
    </row>
    <row r="1487" spans="2:5">
      <c r="B1487" s="252">
        <v>45355</v>
      </c>
      <c r="C1487" s="251">
        <v>984.16</v>
      </c>
      <c r="D1487" s="251">
        <f t="shared" si="26"/>
        <v>1.2790977722199062</v>
      </c>
      <c r="E1487" s="251">
        <v>-4.2393888804573834E-3</v>
      </c>
    </row>
    <row r="1488" spans="2:5">
      <c r="B1488" s="252">
        <v>44874</v>
      </c>
      <c r="C1488" s="251">
        <v>431.82</v>
      </c>
      <c r="D1488" s="251">
        <f t="shared" si="26"/>
        <v>2.618821292775661E-2</v>
      </c>
      <c r="E1488" s="251">
        <v>-4.242955310612073E-3</v>
      </c>
    </row>
    <row r="1489" spans="2:5">
      <c r="B1489" s="252">
        <v>43090</v>
      </c>
      <c r="C1489" s="251">
        <v>420.8</v>
      </c>
      <c r="D1489" s="251">
        <f t="shared" si="26"/>
        <v>-0.61053264843352317</v>
      </c>
      <c r="E1489" s="251">
        <v>-4.259346900142005E-3</v>
      </c>
    </row>
    <row r="1490" spans="2:5">
      <c r="B1490" s="252">
        <v>45539</v>
      </c>
      <c r="C1490" s="267">
        <v>1080.45</v>
      </c>
      <c r="D1490" s="251">
        <f t="shared" si="26"/>
        <v>0.98429752066115705</v>
      </c>
      <c r="E1490" s="251">
        <v>-4.2853193254076714E-3</v>
      </c>
    </row>
    <row r="1491" spans="2:5">
      <c r="B1491" s="252">
        <v>42664</v>
      </c>
      <c r="C1491" s="251">
        <v>544.5</v>
      </c>
      <c r="D1491" s="251">
        <f t="shared" si="26"/>
        <v>0.88180404354587849</v>
      </c>
      <c r="E1491" s="251">
        <v>-4.2973393069397868E-3</v>
      </c>
    </row>
    <row r="1492" spans="2:5">
      <c r="B1492" s="252">
        <v>44218</v>
      </c>
      <c r="C1492" s="251">
        <v>289.35000000000002</v>
      </c>
      <c r="D1492" s="251">
        <f t="shared" si="26"/>
        <v>-0.33291066282420745</v>
      </c>
      <c r="E1492" s="251">
        <v>-4.3014452856159667E-3</v>
      </c>
    </row>
    <row r="1493" spans="2:5">
      <c r="B1493" s="252">
        <v>44651</v>
      </c>
      <c r="C1493" s="251">
        <v>433.75</v>
      </c>
      <c r="D1493" s="251">
        <f t="shared" si="26"/>
        <v>-1.9308598430893803E-2</v>
      </c>
      <c r="E1493" s="251">
        <v>-4.3612992080798284E-3</v>
      </c>
    </row>
    <row r="1494" spans="2:5">
      <c r="B1494" s="252">
        <v>44956</v>
      </c>
      <c r="C1494" s="251">
        <v>442.29</v>
      </c>
      <c r="D1494" s="251">
        <f t="shared" si="26"/>
        <v>1.4335075653370015</v>
      </c>
      <c r="E1494" s="251">
        <v>-4.3671071291898284E-3</v>
      </c>
    </row>
    <row r="1495" spans="2:5">
      <c r="B1495" s="252">
        <v>43430</v>
      </c>
      <c r="C1495" s="251">
        <v>181.75</v>
      </c>
      <c r="D1495" s="251">
        <f t="shared" si="26"/>
        <v>-0.52352864071306859</v>
      </c>
      <c r="E1495" s="251">
        <v>-4.3823609969871891E-3</v>
      </c>
    </row>
    <row r="1496" spans="2:5">
      <c r="B1496" s="252">
        <v>42298</v>
      </c>
      <c r="C1496" s="251">
        <v>381.45</v>
      </c>
      <c r="D1496" s="251">
        <f t="shared" si="26"/>
        <v>-0.62006972111553782</v>
      </c>
      <c r="E1496" s="251">
        <v>-4.4369046065509295E-3</v>
      </c>
    </row>
    <row r="1497" spans="2:5">
      <c r="B1497" s="252">
        <v>45387</v>
      </c>
      <c r="C1497" s="267">
        <v>1004</v>
      </c>
      <c r="D1497" s="251">
        <f t="shared" si="26"/>
        <v>0.67180084922154704</v>
      </c>
      <c r="E1497" s="251">
        <v>-4.45220081507998E-3</v>
      </c>
    </row>
    <row r="1498" spans="2:5">
      <c r="B1498" s="252">
        <v>45166</v>
      </c>
      <c r="C1498" s="251">
        <v>600.54999999999995</v>
      </c>
      <c r="D1498" s="251">
        <f t="shared" si="26"/>
        <v>0.45835356969402608</v>
      </c>
      <c r="E1498" s="251">
        <v>-4.4592533651615519E-3</v>
      </c>
    </row>
    <row r="1499" spans="2:5">
      <c r="B1499" s="252">
        <v>43000</v>
      </c>
      <c r="C1499" s="251">
        <v>411.8</v>
      </c>
      <c r="D1499" s="251">
        <f t="shared" si="26"/>
        <v>-0.64397181515583801</v>
      </c>
      <c r="E1499" s="251">
        <v>-4.4723800314274533E-3</v>
      </c>
    </row>
    <row r="1500" spans="2:5">
      <c r="B1500" s="252">
        <v>45504</v>
      </c>
      <c r="C1500" s="267">
        <v>1156.6500000000001</v>
      </c>
      <c r="D1500" s="251">
        <f t="shared" si="26"/>
        <v>0.62839645220329465</v>
      </c>
      <c r="E1500" s="251">
        <v>-4.4756207772086061E-3</v>
      </c>
    </row>
    <row r="1501" spans="2:5">
      <c r="B1501" s="252">
        <v>45741</v>
      </c>
      <c r="C1501" s="251">
        <v>710.3</v>
      </c>
      <c r="D1501" s="251">
        <f t="shared" si="26"/>
        <v>1.2946212243579387</v>
      </c>
      <c r="E1501" s="251">
        <v>-4.4849334267695103E-3</v>
      </c>
    </row>
    <row r="1502" spans="2:5">
      <c r="B1502" s="252">
        <v>44391</v>
      </c>
      <c r="C1502" s="251">
        <v>309.55</v>
      </c>
      <c r="D1502" s="251">
        <f t="shared" si="26"/>
        <v>1.8000904568068747</v>
      </c>
      <c r="E1502" s="251">
        <v>-4.5023315645601461E-3</v>
      </c>
    </row>
    <row r="1503" spans="2:5">
      <c r="B1503" s="252">
        <v>43703</v>
      </c>
      <c r="C1503" s="251">
        <v>110.55</v>
      </c>
      <c r="D1503" s="251">
        <f t="shared" si="26"/>
        <v>-8.4850993377483447E-2</v>
      </c>
      <c r="E1503" s="251">
        <v>-4.5024763619991E-3</v>
      </c>
    </row>
    <row r="1504" spans="2:5">
      <c r="B1504" s="252">
        <v>43696</v>
      </c>
      <c r="C1504" s="251">
        <v>120.8</v>
      </c>
      <c r="D1504" s="251">
        <f t="shared" si="26"/>
        <v>-0.87842801791375236</v>
      </c>
      <c r="E1504" s="251">
        <v>-4.5323444581787985E-3</v>
      </c>
    </row>
    <row r="1505" spans="2:5">
      <c r="B1505" s="252">
        <v>45478</v>
      </c>
      <c r="C1505" s="251">
        <v>993.65</v>
      </c>
      <c r="D1505" s="251">
        <f t="shared" si="26"/>
        <v>4.4076190476190478</v>
      </c>
      <c r="E1505" s="251">
        <v>-4.5582047685835186E-3</v>
      </c>
    </row>
    <row r="1506" spans="2:5">
      <c r="B1506" s="252">
        <v>43424</v>
      </c>
      <c r="C1506" s="251">
        <v>183.75</v>
      </c>
      <c r="D1506" s="251">
        <f t="shared" si="26"/>
        <v>-0.74194227933431645</v>
      </c>
      <c r="E1506" s="251">
        <v>-4.604550379198236E-3</v>
      </c>
    </row>
    <row r="1507" spans="2:5">
      <c r="B1507" s="252">
        <v>45821</v>
      </c>
      <c r="C1507" s="251">
        <v>712.05</v>
      </c>
      <c r="D1507" s="251">
        <f t="shared" si="26"/>
        <v>-0.29177441814203303</v>
      </c>
      <c r="E1507" s="251">
        <v>-4.6131264416021086E-3</v>
      </c>
    </row>
    <row r="1508" spans="2:5">
      <c r="B1508" s="252">
        <v>45391</v>
      </c>
      <c r="C1508" s="267">
        <v>1005.4</v>
      </c>
      <c r="D1508" s="251">
        <f t="shared" si="26"/>
        <v>4.5332966428178318</v>
      </c>
      <c r="E1508" s="251">
        <v>-4.6332963725646123E-3</v>
      </c>
    </row>
    <row r="1509" spans="2:5">
      <c r="B1509" s="252">
        <v>44182</v>
      </c>
      <c r="C1509" s="251">
        <v>181.7</v>
      </c>
      <c r="D1509" s="251">
        <f t="shared" si="26"/>
        <v>-0.73304929111878347</v>
      </c>
      <c r="E1509" s="251">
        <v>-4.6562585592989465E-3</v>
      </c>
    </row>
    <row r="1510" spans="2:5">
      <c r="B1510" s="252">
        <v>45702</v>
      </c>
      <c r="C1510" s="251">
        <v>680.65</v>
      </c>
      <c r="D1510" s="251">
        <f t="shared" si="26"/>
        <v>0.30670583040565186</v>
      </c>
      <c r="E1510" s="251">
        <v>-4.6793887548439647E-3</v>
      </c>
    </row>
    <row r="1511" spans="2:5">
      <c r="B1511" s="252">
        <v>45068</v>
      </c>
      <c r="C1511" s="251">
        <v>520.89</v>
      </c>
      <c r="D1511" s="251">
        <f t="shared" si="26"/>
        <v>6.015353535353535</v>
      </c>
      <c r="E1511" s="251">
        <v>-4.6814690258723682E-3</v>
      </c>
    </row>
    <row r="1512" spans="2:5">
      <c r="B1512" s="252">
        <v>43934</v>
      </c>
      <c r="C1512" s="251">
        <v>74.25</v>
      </c>
      <c r="D1512" s="251">
        <f t="shared" si="26"/>
        <v>-0.82471671388101986</v>
      </c>
      <c r="E1512" s="251">
        <v>-4.6916890080428196E-3</v>
      </c>
    </row>
    <row r="1513" spans="2:5">
      <c r="B1513" s="252">
        <v>43018</v>
      </c>
      <c r="C1513" s="251">
        <v>423.6</v>
      </c>
      <c r="D1513" s="251">
        <f t="shared" si="26"/>
        <v>3.0957943925233711E-2</v>
      </c>
      <c r="E1513" s="251">
        <v>-4.6992481203007516E-3</v>
      </c>
    </row>
    <row r="1514" spans="2:5">
      <c r="B1514" s="252">
        <v>44841</v>
      </c>
      <c r="C1514" s="251">
        <v>410.88</v>
      </c>
      <c r="D1514" s="251">
        <f t="shared" si="26"/>
        <v>-0.1327071240105541</v>
      </c>
      <c r="E1514" s="251">
        <v>-4.7234939321269985E-3</v>
      </c>
    </row>
    <row r="1515" spans="2:5">
      <c r="B1515" s="252">
        <v>42815</v>
      </c>
      <c r="C1515" s="251">
        <v>473.75</v>
      </c>
      <c r="D1515" s="251">
        <f t="shared" si="26"/>
        <v>-5.4957111510073826E-2</v>
      </c>
      <c r="E1515" s="251">
        <v>-4.7268907563025207E-3</v>
      </c>
    </row>
    <row r="1516" spans="2:5">
      <c r="B1516" s="252">
        <v>44572</v>
      </c>
      <c r="C1516" s="251">
        <v>501.3</v>
      </c>
      <c r="D1516" s="251">
        <f t="shared" si="26"/>
        <v>-0.17694189502027685</v>
      </c>
      <c r="E1516" s="251">
        <v>-4.7647409172125819E-3</v>
      </c>
    </row>
    <row r="1517" spans="2:5">
      <c r="B1517" s="252">
        <v>45162</v>
      </c>
      <c r="C1517" s="251">
        <v>609.07000000000005</v>
      </c>
      <c r="D1517" s="251">
        <f t="shared" si="26"/>
        <v>0.47136127551636686</v>
      </c>
      <c r="E1517" s="251">
        <v>-4.8038430744594711E-3</v>
      </c>
    </row>
    <row r="1518" spans="2:5">
      <c r="B1518" s="252">
        <v>43068</v>
      </c>
      <c r="C1518" s="251">
        <v>413.95</v>
      </c>
      <c r="D1518" s="251">
        <f t="shared" si="26"/>
        <v>0.53999255952380942</v>
      </c>
      <c r="E1518" s="251">
        <v>-4.8082702247866328E-3</v>
      </c>
    </row>
    <row r="1519" spans="2:5">
      <c r="B1519" s="252">
        <v>43333</v>
      </c>
      <c r="C1519" s="251">
        <v>268.8</v>
      </c>
      <c r="D1519" s="251">
        <f t="shared" si="26"/>
        <v>-0.71856350120406232</v>
      </c>
      <c r="E1519" s="251">
        <v>-4.8130322102925257E-3</v>
      </c>
    </row>
    <row r="1520" spans="2:5">
      <c r="B1520" s="252">
        <v>45350</v>
      </c>
      <c r="C1520" s="251">
        <v>955.1</v>
      </c>
      <c r="D1520" s="251">
        <f t="shared" si="26"/>
        <v>3.6556178406044357</v>
      </c>
      <c r="E1520" s="251">
        <v>-4.834642715735497E-3</v>
      </c>
    </row>
    <row r="1521" spans="2:5">
      <c r="B1521" s="252">
        <v>43560</v>
      </c>
      <c r="C1521" s="251">
        <v>205.15</v>
      </c>
      <c r="D1521" s="251">
        <f t="shared" si="26"/>
        <v>0.17970097757331799</v>
      </c>
      <c r="E1521" s="251">
        <v>-4.8508367693427118E-3</v>
      </c>
    </row>
    <row r="1522" spans="2:5">
      <c r="B1522" s="252">
        <v>43453</v>
      </c>
      <c r="C1522" s="251">
        <v>173.9</v>
      </c>
      <c r="D1522" s="251">
        <f t="shared" si="26"/>
        <v>-0.78529538860423487</v>
      </c>
      <c r="E1522" s="251">
        <v>-4.864091559370497E-3</v>
      </c>
    </row>
    <row r="1523" spans="2:5">
      <c r="B1523" s="252">
        <v>45306</v>
      </c>
      <c r="C1523" s="251">
        <v>809.95</v>
      </c>
      <c r="D1523" s="251">
        <f t="shared" si="26"/>
        <v>1.4192054958183991</v>
      </c>
      <c r="E1523" s="251">
        <v>-4.9020812344890393E-3</v>
      </c>
    </row>
    <row r="1524" spans="2:5">
      <c r="B1524" s="252">
        <v>43208</v>
      </c>
      <c r="C1524" s="251">
        <v>334.8</v>
      </c>
      <c r="D1524" s="251">
        <f t="shared" si="26"/>
        <v>1.2334889926617745</v>
      </c>
      <c r="E1524" s="251">
        <v>-4.9041462327239632E-3</v>
      </c>
    </row>
    <row r="1525" spans="2:5">
      <c r="B1525" s="252">
        <v>43886</v>
      </c>
      <c r="C1525" s="251">
        <v>149.9</v>
      </c>
      <c r="D1525" s="251">
        <f t="shared" si="26"/>
        <v>-6.1365059486537157E-2</v>
      </c>
      <c r="E1525" s="251">
        <v>-4.9784268171257882E-3</v>
      </c>
    </row>
    <row r="1526" spans="2:5">
      <c r="B1526" s="252">
        <v>43809</v>
      </c>
      <c r="C1526" s="251">
        <v>159.69999999999999</v>
      </c>
      <c r="D1526" s="251">
        <f t="shared" si="26"/>
        <v>-0.69122196442382067</v>
      </c>
      <c r="E1526" s="251">
        <v>-4.9844236760125315E-3</v>
      </c>
    </row>
    <row r="1527" spans="2:5">
      <c r="B1527" s="252">
        <v>45076</v>
      </c>
      <c r="C1527" s="251">
        <v>517.20000000000005</v>
      </c>
      <c r="D1527" s="251">
        <f t="shared" si="26"/>
        <v>1.8002165674066057</v>
      </c>
      <c r="E1527" s="251">
        <v>-5.0976243147061217E-3</v>
      </c>
    </row>
    <row r="1528" spans="2:5">
      <c r="B1528" s="252">
        <v>43837</v>
      </c>
      <c r="C1528" s="251">
        <v>184.7</v>
      </c>
      <c r="D1528" s="251">
        <f t="shared" si="26"/>
        <v>5.7846506300114515E-2</v>
      </c>
      <c r="E1528" s="251">
        <v>-5.1171559385942205E-3</v>
      </c>
    </row>
    <row r="1529" spans="2:5">
      <c r="B1529" s="252">
        <v>43825</v>
      </c>
      <c r="C1529" s="251">
        <v>174.6</v>
      </c>
      <c r="D1529" s="251">
        <f t="shared" si="26"/>
        <v>-0.66660301699446245</v>
      </c>
      <c r="E1529" s="251">
        <v>-5.1282051282051603E-3</v>
      </c>
    </row>
    <row r="1530" spans="2:5">
      <c r="B1530" s="252">
        <v>42752</v>
      </c>
      <c r="C1530" s="251">
        <v>523.70000000000005</v>
      </c>
      <c r="D1530" s="251">
        <f t="shared" si="26"/>
        <v>0.35463010863942063</v>
      </c>
      <c r="E1530" s="251">
        <v>-5.1291793313068615E-3</v>
      </c>
    </row>
    <row r="1531" spans="2:5">
      <c r="B1531" s="252">
        <v>42460</v>
      </c>
      <c r="C1531" s="251">
        <v>386.6</v>
      </c>
      <c r="D1531" s="251">
        <f t="shared" si="26"/>
        <v>2.6689682645067086E-2</v>
      </c>
      <c r="E1531" s="251">
        <v>-5.1466803911477095E-3</v>
      </c>
    </row>
    <row r="1532" spans="2:5">
      <c r="B1532" s="252">
        <v>42978</v>
      </c>
      <c r="C1532" s="251">
        <v>376.55</v>
      </c>
      <c r="D1532" s="251">
        <f t="shared" si="26"/>
        <v>-0.58351306810012049</v>
      </c>
      <c r="E1532" s="251">
        <v>-5.1519154557463373E-3</v>
      </c>
    </row>
    <row r="1533" spans="2:5">
      <c r="B1533" s="252">
        <v>45335</v>
      </c>
      <c r="C1533" s="251">
        <v>904.11</v>
      </c>
      <c r="D1533" s="251">
        <f t="shared" si="26"/>
        <v>3.9854425144747725</v>
      </c>
      <c r="E1533" s="251">
        <v>-5.1606514084506392E-3</v>
      </c>
    </row>
    <row r="1534" spans="2:5">
      <c r="B1534" s="252">
        <v>43612</v>
      </c>
      <c r="C1534" s="251">
        <v>181.35</v>
      </c>
      <c r="D1534" s="251">
        <f t="shared" si="26"/>
        <v>-0.67473769168684417</v>
      </c>
      <c r="E1534" s="251">
        <v>-5.2111903455842948E-3</v>
      </c>
    </row>
    <row r="1535" spans="2:5">
      <c r="B1535" s="252">
        <v>42628</v>
      </c>
      <c r="C1535" s="251">
        <v>557.54999999999995</v>
      </c>
      <c r="D1535" s="251">
        <f t="shared" si="26"/>
        <v>0.1852678571428571</v>
      </c>
      <c r="E1535" s="251">
        <v>-5.2631578947369235E-3</v>
      </c>
    </row>
    <row r="1536" spans="2:5">
      <c r="B1536" s="252">
        <v>42818</v>
      </c>
      <c r="C1536" s="251">
        <v>470.4</v>
      </c>
      <c r="D1536" s="251">
        <f t="shared" si="26"/>
        <v>9.331783846600808E-2</v>
      </c>
      <c r="E1536" s="251">
        <v>-5.2865299217593571E-3</v>
      </c>
    </row>
    <row r="1537" spans="2:5">
      <c r="B1537" s="252">
        <v>42919</v>
      </c>
      <c r="C1537" s="251">
        <v>430.25</v>
      </c>
      <c r="D1537" s="251">
        <f t="shared" si="26"/>
        <v>0.13792647447765136</v>
      </c>
      <c r="E1537" s="251">
        <v>-5.3173043578777284E-3</v>
      </c>
    </row>
    <row r="1538" spans="2:5">
      <c r="B1538" s="252">
        <v>42360</v>
      </c>
      <c r="C1538" s="251">
        <v>378.1</v>
      </c>
      <c r="D1538" s="251">
        <f t="shared" si="26"/>
        <v>0.64034707158351423</v>
      </c>
      <c r="E1538" s="251">
        <v>-5.3926081809810723E-3</v>
      </c>
    </row>
    <row r="1539" spans="2:5">
      <c r="B1539" s="252">
        <v>43571</v>
      </c>
      <c r="C1539" s="251">
        <v>230.5</v>
      </c>
      <c r="D1539" s="251">
        <f t="shared" si="26"/>
        <v>-0.37491525423728811</v>
      </c>
      <c r="E1539" s="251">
        <v>-5.3937432578209281E-3</v>
      </c>
    </row>
    <row r="1540" spans="2:5">
      <c r="B1540" s="252">
        <v>43150</v>
      </c>
      <c r="C1540" s="251">
        <v>368.75</v>
      </c>
      <c r="D1540" s="251">
        <f t="shared" si="26"/>
        <v>-0.37120592046927225</v>
      </c>
      <c r="E1540" s="251">
        <v>-5.394470667565745E-3</v>
      </c>
    </row>
    <row r="1541" spans="2:5">
      <c r="B1541" s="252">
        <v>45112</v>
      </c>
      <c r="C1541" s="251">
        <v>586.44000000000005</v>
      </c>
      <c r="D1541" s="251">
        <f t="shared" si="26"/>
        <v>0.2588601481163465</v>
      </c>
      <c r="E1541" s="251">
        <v>-5.4101724810473361E-3</v>
      </c>
    </row>
    <row r="1542" spans="2:5">
      <c r="B1542" s="252">
        <v>42825</v>
      </c>
      <c r="C1542" s="251">
        <v>465.85</v>
      </c>
      <c r="D1542" s="251">
        <f t="shared" si="26"/>
        <v>-0.20258473125641907</v>
      </c>
      <c r="E1542" s="251">
        <v>-5.4440649017932418E-3</v>
      </c>
    </row>
    <row r="1543" spans="2:5">
      <c r="B1543" s="252">
        <v>42621</v>
      </c>
      <c r="C1543" s="251">
        <v>584.20000000000005</v>
      </c>
      <c r="D1543" s="251">
        <f t="shared" si="26"/>
        <v>1.2864970645792566</v>
      </c>
      <c r="E1543" s="251">
        <v>-5.4477357848143207E-3</v>
      </c>
    </row>
    <row r="1544" spans="2:5">
      <c r="B1544" s="252">
        <v>43336</v>
      </c>
      <c r="C1544" s="251">
        <v>255.5</v>
      </c>
      <c r="D1544" s="251">
        <f t="shared" si="26"/>
        <v>-0.34796478244226109</v>
      </c>
      <c r="E1544" s="251">
        <v>-5.4495912806538632E-3</v>
      </c>
    </row>
    <row r="1545" spans="2:5">
      <c r="B1545" s="252">
        <v>42367</v>
      </c>
      <c r="C1545" s="251">
        <v>391.85</v>
      </c>
      <c r="D1545" s="251">
        <f t="shared" si="26"/>
        <v>1.4055711730130624E-3</v>
      </c>
      <c r="E1545" s="251">
        <v>-5.456852791878115E-3</v>
      </c>
    </row>
    <row r="1546" spans="2:5">
      <c r="B1546" s="252">
        <v>42369</v>
      </c>
      <c r="C1546" s="251">
        <v>391.3</v>
      </c>
      <c r="D1546" s="251">
        <f t="shared" ref="D1546:D1609" si="27">(C1546-C1547)/C1547</f>
        <v>-8.1994134897360682E-2</v>
      </c>
      <c r="E1546" s="251">
        <v>-5.4644808743168826E-3</v>
      </c>
    </row>
    <row r="1547" spans="2:5">
      <c r="B1547" s="252">
        <v>43062</v>
      </c>
      <c r="C1547" s="251">
        <v>426.25</v>
      </c>
      <c r="D1547" s="251">
        <f t="shared" si="27"/>
        <v>1.4738827626233313</v>
      </c>
      <c r="E1547" s="251">
        <v>-5.4829678021465766E-3</v>
      </c>
    </row>
    <row r="1548" spans="2:5">
      <c r="B1548" s="252">
        <v>43493</v>
      </c>
      <c r="C1548" s="251">
        <v>172.3</v>
      </c>
      <c r="D1548" s="251">
        <f t="shared" si="27"/>
        <v>0.13504611330698285</v>
      </c>
      <c r="E1548" s="251">
        <v>-5.4834054834054175E-3</v>
      </c>
    </row>
    <row r="1549" spans="2:5">
      <c r="B1549" s="252">
        <v>43508</v>
      </c>
      <c r="C1549" s="251">
        <v>151.80000000000001</v>
      </c>
      <c r="D1549" s="251">
        <f t="shared" si="27"/>
        <v>-0.48481248939419641</v>
      </c>
      <c r="E1549" s="251">
        <v>-5.5682934818211223E-3</v>
      </c>
    </row>
    <row r="1550" spans="2:5">
      <c r="B1550" s="252">
        <v>43249</v>
      </c>
      <c r="C1550" s="251">
        <v>294.64999999999998</v>
      </c>
      <c r="D1550" s="251">
        <f t="shared" si="27"/>
        <v>-0.37607199576495504</v>
      </c>
      <c r="E1550" s="251">
        <v>-5.5686803914952211E-3</v>
      </c>
    </row>
    <row r="1551" spans="2:5">
      <c r="B1551" s="252">
        <v>42836</v>
      </c>
      <c r="C1551" s="251">
        <v>472.25</v>
      </c>
      <c r="D1551" s="251">
        <f t="shared" si="27"/>
        <v>0.89887414555689593</v>
      </c>
      <c r="E1551" s="251">
        <v>-5.5801221309748949E-3</v>
      </c>
    </row>
    <row r="1552" spans="2:5">
      <c r="B1552" s="252">
        <v>43325</v>
      </c>
      <c r="C1552" s="251">
        <v>248.7</v>
      </c>
      <c r="D1552" s="251">
        <f t="shared" si="27"/>
        <v>-0.74221835256071389</v>
      </c>
      <c r="E1552" s="251">
        <v>-5.5977608956417658E-3</v>
      </c>
    </row>
    <row r="1553" spans="2:5">
      <c r="B1553" s="252">
        <v>45365</v>
      </c>
      <c r="C1553" s="251">
        <v>964.77</v>
      </c>
      <c r="D1553" s="251">
        <f t="shared" si="27"/>
        <v>1.1097552975136127</v>
      </c>
      <c r="E1553" s="251">
        <v>-5.6070335288237131E-3</v>
      </c>
    </row>
    <row r="1554" spans="2:5">
      <c r="B1554" s="252">
        <v>45027</v>
      </c>
      <c r="C1554" s="251">
        <v>457.29</v>
      </c>
      <c r="D1554" s="251">
        <f t="shared" si="27"/>
        <v>0.34655477031802118</v>
      </c>
      <c r="E1554" s="251">
        <v>-5.631903974949933E-3</v>
      </c>
    </row>
    <row r="1555" spans="2:5">
      <c r="B1555" s="252">
        <v>44377</v>
      </c>
      <c r="C1555" s="251">
        <v>339.6</v>
      </c>
      <c r="D1555" s="251">
        <f t="shared" si="27"/>
        <v>-0.1331206126356094</v>
      </c>
      <c r="E1555" s="251">
        <v>-5.7092665788317631E-3</v>
      </c>
    </row>
    <row r="1556" spans="2:5">
      <c r="B1556" s="252">
        <v>44628</v>
      </c>
      <c r="C1556" s="251">
        <v>391.75</v>
      </c>
      <c r="D1556" s="251">
        <f t="shared" si="27"/>
        <v>-0.57335932565180459</v>
      </c>
      <c r="E1556" s="251">
        <v>-5.7106598984771571E-3</v>
      </c>
    </row>
    <row r="1557" spans="2:5">
      <c r="B1557" s="252">
        <v>45343</v>
      </c>
      <c r="C1557" s="251">
        <v>918.22</v>
      </c>
      <c r="D1557" s="251">
        <f t="shared" si="27"/>
        <v>1.085725967654007</v>
      </c>
      <c r="E1557" s="251">
        <v>-5.7173795343800462E-3</v>
      </c>
    </row>
    <row r="1558" spans="2:5">
      <c r="B1558" s="252">
        <v>44973</v>
      </c>
      <c r="C1558" s="251">
        <v>440.24</v>
      </c>
      <c r="D1558" s="251">
        <f t="shared" si="27"/>
        <v>-0.43519148117262174</v>
      </c>
      <c r="E1558" s="251">
        <v>-5.7364831293192191E-3</v>
      </c>
    </row>
    <row r="1559" spans="2:5">
      <c r="B1559" s="252">
        <v>45624</v>
      </c>
      <c r="C1559" s="251">
        <v>779.45</v>
      </c>
      <c r="D1559" s="251">
        <f t="shared" si="27"/>
        <v>-0.20109670476092856</v>
      </c>
      <c r="E1559" s="251">
        <v>-5.7401620001275586E-3</v>
      </c>
    </row>
    <row r="1560" spans="2:5">
      <c r="B1560" s="252">
        <v>45476</v>
      </c>
      <c r="C1560" s="251">
        <v>975.65</v>
      </c>
      <c r="D1560" s="251">
        <f t="shared" si="27"/>
        <v>0.98686488137664174</v>
      </c>
      <c r="E1560" s="251">
        <v>-5.7576683990624451E-3</v>
      </c>
    </row>
    <row r="1561" spans="2:5">
      <c r="B1561" s="252">
        <v>42572</v>
      </c>
      <c r="C1561" s="251">
        <v>491.05</v>
      </c>
      <c r="D1561" s="251">
        <f t="shared" si="27"/>
        <v>0.46998952252656784</v>
      </c>
      <c r="E1561" s="251">
        <v>-5.7703988661671713E-3</v>
      </c>
    </row>
    <row r="1562" spans="2:5">
      <c r="B1562" s="252">
        <v>43213</v>
      </c>
      <c r="C1562" s="251">
        <v>334.05</v>
      </c>
      <c r="D1562" s="251">
        <f t="shared" si="27"/>
        <v>-0.64776405833166373</v>
      </c>
      <c r="E1562" s="251">
        <v>-5.8035714285713949E-3</v>
      </c>
    </row>
    <row r="1563" spans="2:5">
      <c r="B1563" s="252">
        <v>45433</v>
      </c>
      <c r="C1563" s="251">
        <v>948.37</v>
      </c>
      <c r="D1563" s="251">
        <f t="shared" si="27"/>
        <v>3.0381945922929527</v>
      </c>
      <c r="E1563" s="251">
        <v>-5.849363174170597E-3</v>
      </c>
    </row>
    <row r="1564" spans="2:5">
      <c r="B1564" s="252">
        <v>43577</v>
      </c>
      <c r="C1564" s="251">
        <v>234.85</v>
      </c>
      <c r="D1564" s="251">
        <f t="shared" si="27"/>
        <v>-0.61939875212705608</v>
      </c>
      <c r="E1564" s="251">
        <v>-5.9259259259259499E-3</v>
      </c>
    </row>
    <row r="1565" spans="2:5">
      <c r="B1565" s="252">
        <v>45141</v>
      </c>
      <c r="C1565" s="251">
        <v>617.04999999999995</v>
      </c>
      <c r="D1565" s="251">
        <f t="shared" si="27"/>
        <v>1.1654676258992804</v>
      </c>
      <c r="E1565" s="251">
        <v>-5.9285035361591413E-3</v>
      </c>
    </row>
    <row r="1566" spans="2:5">
      <c r="B1566" s="252">
        <v>43256</v>
      </c>
      <c r="C1566" s="251">
        <v>284.95</v>
      </c>
      <c r="D1566" s="251">
        <f t="shared" si="27"/>
        <v>-0.37728097204921435</v>
      </c>
      <c r="E1566" s="251">
        <v>-5.9305773591487483E-3</v>
      </c>
    </row>
    <row r="1567" spans="2:5">
      <c r="B1567" s="252">
        <v>44809</v>
      </c>
      <c r="C1567" s="251">
        <v>457.59</v>
      </c>
      <c r="D1567" s="251">
        <f t="shared" si="27"/>
        <v>5.6301939058171713E-2</v>
      </c>
      <c r="E1567" s="251">
        <v>-5.9522516455586408E-3</v>
      </c>
    </row>
    <row r="1568" spans="2:5">
      <c r="B1568" s="252">
        <v>44644</v>
      </c>
      <c r="C1568" s="251">
        <v>433.2</v>
      </c>
      <c r="D1568" s="251">
        <f t="shared" si="27"/>
        <v>0.48661633493479761</v>
      </c>
      <c r="E1568" s="251">
        <v>-5.9660394676457609E-3</v>
      </c>
    </row>
    <row r="1569" spans="2:5">
      <c r="B1569" s="252">
        <v>44404</v>
      </c>
      <c r="C1569" s="251">
        <v>291.39999999999998</v>
      </c>
      <c r="D1569" s="251">
        <f t="shared" si="27"/>
        <v>-0.39205541183343073</v>
      </c>
      <c r="E1569" s="251">
        <v>-5.9696401159815803E-3</v>
      </c>
    </row>
    <row r="1570" spans="2:5">
      <c r="B1570" s="252">
        <v>45050</v>
      </c>
      <c r="C1570" s="251">
        <v>479.32</v>
      </c>
      <c r="D1570" s="251">
        <f t="shared" si="27"/>
        <v>-0.51571608992169737</v>
      </c>
      <c r="E1570" s="251">
        <v>-5.9932394599862852E-3</v>
      </c>
    </row>
    <row r="1571" spans="2:5">
      <c r="B1571" s="252">
        <v>45398</v>
      </c>
      <c r="C1571" s="251">
        <v>989.75</v>
      </c>
      <c r="D1571" s="251">
        <f t="shared" si="27"/>
        <v>0.25519961446761025</v>
      </c>
      <c r="E1571" s="251">
        <v>-6.0056441003083346E-3</v>
      </c>
    </row>
    <row r="1572" spans="2:5">
      <c r="B1572" s="252">
        <v>45296</v>
      </c>
      <c r="C1572" s="251">
        <v>788.52</v>
      </c>
      <c r="D1572" s="251">
        <f t="shared" si="27"/>
        <v>2.6795146990200651</v>
      </c>
      <c r="E1572" s="251">
        <v>-6.0254632547585693E-3</v>
      </c>
    </row>
    <row r="1573" spans="2:5">
      <c r="B1573" s="252">
        <v>43585</v>
      </c>
      <c r="C1573" s="251">
        <v>214.3</v>
      </c>
      <c r="D1573" s="251">
        <f t="shared" si="27"/>
        <v>-0.57996863974911794</v>
      </c>
      <c r="E1573" s="251">
        <v>-6.0296846011130938E-3</v>
      </c>
    </row>
    <row r="1574" spans="2:5">
      <c r="B1574" s="252">
        <v>42677</v>
      </c>
      <c r="C1574" s="251">
        <v>510.2</v>
      </c>
      <c r="D1574" s="251">
        <f t="shared" si="27"/>
        <v>0.21649976156413928</v>
      </c>
      <c r="E1574" s="251">
        <v>-6.0393532047534892E-3</v>
      </c>
    </row>
    <row r="1575" spans="2:5">
      <c r="B1575" s="252">
        <v>43034</v>
      </c>
      <c r="C1575" s="251">
        <v>419.4</v>
      </c>
      <c r="D1575" s="251">
        <f t="shared" si="27"/>
        <v>-0.13507939781398226</v>
      </c>
      <c r="E1575" s="251">
        <v>-6.0433700675435751E-3</v>
      </c>
    </row>
    <row r="1576" spans="2:5">
      <c r="B1576" s="252">
        <v>44503</v>
      </c>
      <c r="C1576" s="251">
        <v>484.9</v>
      </c>
      <c r="D1576" s="251">
        <f t="shared" si="27"/>
        <v>1.690152565880721</v>
      </c>
      <c r="E1576" s="251">
        <v>-6.0469406579892289E-3</v>
      </c>
    </row>
    <row r="1577" spans="2:5">
      <c r="B1577" s="252">
        <v>43613</v>
      </c>
      <c r="C1577" s="251">
        <v>180.25</v>
      </c>
      <c r="D1577" s="251">
        <f t="shared" si="27"/>
        <v>-0.73639953202690844</v>
      </c>
      <c r="E1577" s="251">
        <v>-6.0656189688447441E-3</v>
      </c>
    </row>
    <row r="1578" spans="2:5">
      <c r="B1578" s="252">
        <v>45839</v>
      </c>
      <c r="C1578" s="251">
        <v>683.8</v>
      </c>
      <c r="D1578" s="251">
        <f t="shared" si="27"/>
        <v>2.051582649472417E-3</v>
      </c>
      <c r="E1578" s="251">
        <v>-6.1046511627907635E-3</v>
      </c>
    </row>
    <row r="1579" spans="2:5">
      <c r="B1579" s="252">
        <v>45706</v>
      </c>
      <c r="C1579" s="251">
        <v>682.4</v>
      </c>
      <c r="D1579" s="251">
        <f t="shared" si="27"/>
        <v>-0.2669695895502347</v>
      </c>
      <c r="E1579" s="251">
        <v>-6.117098747451275E-3</v>
      </c>
    </row>
    <row r="1580" spans="2:5">
      <c r="B1580" s="252">
        <v>45329</v>
      </c>
      <c r="C1580" s="251">
        <v>930.93</v>
      </c>
      <c r="D1580" s="251">
        <f t="shared" si="27"/>
        <v>2.3766050054406964</v>
      </c>
      <c r="E1580" s="251">
        <v>-6.1174812632118578E-3</v>
      </c>
    </row>
    <row r="1581" spans="2:5">
      <c r="B1581" s="252">
        <v>43353</v>
      </c>
      <c r="C1581" s="251">
        <v>275.7</v>
      </c>
      <c r="D1581" s="251">
        <f t="shared" si="27"/>
        <v>-0.4193222266686325</v>
      </c>
      <c r="E1581" s="251">
        <v>-6.1283345349675156E-3</v>
      </c>
    </row>
    <row r="1582" spans="2:5">
      <c r="B1582" s="252">
        <v>44775</v>
      </c>
      <c r="C1582" s="251">
        <v>474.79</v>
      </c>
      <c r="D1582" s="251">
        <f t="shared" si="27"/>
        <v>3.5303096380287828E-2</v>
      </c>
      <c r="E1582" s="251">
        <v>-6.154103782471265E-3</v>
      </c>
    </row>
    <row r="1583" spans="2:5">
      <c r="B1583" s="252">
        <v>44530</v>
      </c>
      <c r="C1583" s="251">
        <v>458.6</v>
      </c>
      <c r="D1583" s="251">
        <f t="shared" si="27"/>
        <v>1.8573208722741434</v>
      </c>
      <c r="E1583" s="251">
        <v>-6.1761837685555664E-3</v>
      </c>
    </row>
    <row r="1584" spans="2:5">
      <c r="B1584" s="252">
        <v>43808</v>
      </c>
      <c r="C1584" s="251">
        <v>160.5</v>
      </c>
      <c r="D1584" s="251">
        <f t="shared" si="27"/>
        <v>-0.69827991352570729</v>
      </c>
      <c r="E1584" s="251">
        <v>-6.1919504643962852E-3</v>
      </c>
    </row>
    <row r="1585" spans="2:5">
      <c r="B1585" s="252">
        <v>42640</v>
      </c>
      <c r="C1585" s="251">
        <v>531.95000000000005</v>
      </c>
      <c r="D1585" s="251">
        <f t="shared" si="27"/>
        <v>2.9462166172106823</v>
      </c>
      <c r="E1585" s="251">
        <v>-6.2581729871098628E-3</v>
      </c>
    </row>
    <row r="1586" spans="2:5">
      <c r="B1586" s="252">
        <v>44132</v>
      </c>
      <c r="C1586" s="251">
        <v>134.80000000000001</v>
      </c>
      <c r="D1586" s="251">
        <f t="shared" si="27"/>
        <v>-0.56205328135152699</v>
      </c>
      <c r="E1586" s="251">
        <v>-6.2661260597124532E-3</v>
      </c>
    </row>
    <row r="1587" spans="2:5">
      <c r="B1587" s="252">
        <v>43263</v>
      </c>
      <c r="C1587" s="251">
        <v>307.8</v>
      </c>
      <c r="D1587" s="251">
        <f t="shared" si="27"/>
        <v>-0.2587062280236983</v>
      </c>
      <c r="E1587" s="251">
        <v>-6.2953995157384625E-3</v>
      </c>
    </row>
    <row r="1588" spans="2:5">
      <c r="B1588" s="252">
        <v>45009</v>
      </c>
      <c r="C1588" s="251">
        <v>415.22</v>
      </c>
      <c r="D1588" s="251">
        <f t="shared" si="27"/>
        <v>1.2997507615618942</v>
      </c>
      <c r="E1588" s="251">
        <v>-6.3179055185947118E-3</v>
      </c>
    </row>
    <row r="1589" spans="2:5">
      <c r="B1589" s="252">
        <v>44183</v>
      </c>
      <c r="C1589" s="251">
        <v>180.55</v>
      </c>
      <c r="D1589" s="251">
        <f t="shared" si="27"/>
        <v>-0.53036805826505395</v>
      </c>
      <c r="E1589" s="251">
        <v>-6.3291139240505079E-3</v>
      </c>
    </row>
    <row r="1590" spans="2:5">
      <c r="B1590" s="252">
        <v>42510</v>
      </c>
      <c r="C1590" s="251">
        <v>384.45</v>
      </c>
      <c r="D1590" s="251">
        <f t="shared" si="27"/>
        <v>0.44475760992108215</v>
      </c>
      <c r="E1590" s="251">
        <v>-6.3323856293615631E-3</v>
      </c>
    </row>
    <row r="1591" spans="2:5">
      <c r="B1591" s="252">
        <v>43293</v>
      </c>
      <c r="C1591" s="251">
        <v>266.10000000000002</v>
      </c>
      <c r="D1591" s="251">
        <f t="shared" si="27"/>
        <v>-0.47499260136134946</v>
      </c>
      <c r="E1591" s="251">
        <v>-6.3480209111276649E-3</v>
      </c>
    </row>
    <row r="1592" spans="2:5">
      <c r="B1592" s="252">
        <v>42579</v>
      </c>
      <c r="C1592" s="251">
        <v>506.85</v>
      </c>
      <c r="D1592" s="251">
        <f t="shared" si="27"/>
        <v>-0.17331310857757987</v>
      </c>
      <c r="E1592" s="251">
        <v>-6.3712997451480097E-3</v>
      </c>
    </row>
    <row r="1593" spans="2:5">
      <c r="B1593" s="252">
        <v>45142</v>
      </c>
      <c r="C1593" s="251">
        <v>613.11</v>
      </c>
      <c r="D1593" s="251">
        <f t="shared" si="27"/>
        <v>0.46048118151500717</v>
      </c>
      <c r="E1593" s="251">
        <v>-6.3852199983792908E-3</v>
      </c>
    </row>
    <row r="1594" spans="2:5">
      <c r="B1594" s="252">
        <v>44886</v>
      </c>
      <c r="C1594" s="251">
        <v>419.8</v>
      </c>
      <c r="D1594" s="251">
        <f t="shared" si="27"/>
        <v>-0.54847106149097047</v>
      </c>
      <c r="E1594" s="251">
        <v>-6.3905325443786715E-3</v>
      </c>
    </row>
    <row r="1595" spans="2:5">
      <c r="B1595" s="252">
        <v>45341</v>
      </c>
      <c r="C1595" s="251">
        <v>929.73</v>
      </c>
      <c r="D1595" s="251">
        <f t="shared" si="27"/>
        <v>0.82460994995584336</v>
      </c>
      <c r="E1595" s="251">
        <v>-6.3908689658120762E-3</v>
      </c>
    </row>
    <row r="1596" spans="2:5">
      <c r="B1596" s="252">
        <v>42776</v>
      </c>
      <c r="C1596" s="251">
        <v>509.55</v>
      </c>
      <c r="D1596" s="251">
        <f t="shared" si="27"/>
        <v>-0.34652132093619747</v>
      </c>
      <c r="E1596" s="251">
        <v>-6.4346300087745178E-3</v>
      </c>
    </row>
    <row r="1597" spans="2:5">
      <c r="B1597" s="252">
        <v>45643</v>
      </c>
      <c r="C1597" s="251">
        <v>779.75</v>
      </c>
      <c r="D1597" s="251">
        <f t="shared" si="27"/>
        <v>-0.10967115779858411</v>
      </c>
      <c r="E1597" s="251">
        <v>-6.4347604485218588E-3</v>
      </c>
    </row>
    <row r="1598" spans="2:5">
      <c r="B1598" s="252">
        <v>45323</v>
      </c>
      <c r="C1598" s="251">
        <v>875.8</v>
      </c>
      <c r="D1598" s="251">
        <f t="shared" si="27"/>
        <v>0.55822435726358866</v>
      </c>
      <c r="E1598" s="251">
        <v>-6.4437083087535325E-3</v>
      </c>
    </row>
    <row r="1599" spans="2:5">
      <c r="B1599" s="252">
        <v>42653</v>
      </c>
      <c r="C1599" s="251">
        <v>562.04999999999995</v>
      </c>
      <c r="D1599" s="251">
        <f t="shared" si="27"/>
        <v>0.88544112713854384</v>
      </c>
      <c r="E1599" s="251">
        <v>-6.4521831359379365E-3</v>
      </c>
    </row>
    <row r="1600" spans="2:5">
      <c r="B1600" s="252">
        <v>44417</v>
      </c>
      <c r="C1600" s="251">
        <v>298.10000000000002</v>
      </c>
      <c r="D1600" s="251">
        <f t="shared" si="27"/>
        <v>-0.31322858590978203</v>
      </c>
      <c r="E1600" s="251">
        <v>-6.4989168471920964E-3</v>
      </c>
    </row>
    <row r="1601" spans="2:5">
      <c r="B1601" s="252">
        <v>44897</v>
      </c>
      <c r="C1601" s="251">
        <v>434.06</v>
      </c>
      <c r="D1601" s="251">
        <f t="shared" si="27"/>
        <v>-5.2270742358078597E-2</v>
      </c>
      <c r="E1601" s="251">
        <v>-6.5003433279926187E-3</v>
      </c>
    </row>
    <row r="1602" spans="2:5">
      <c r="B1602" s="252">
        <v>42893</v>
      </c>
      <c r="C1602" s="251">
        <v>458</v>
      </c>
      <c r="D1602" s="251">
        <f t="shared" si="27"/>
        <v>5.3115658772131577E-2</v>
      </c>
      <c r="E1602" s="251">
        <v>-6.5075921908893707E-3</v>
      </c>
    </row>
    <row r="1603" spans="2:5">
      <c r="B1603" s="252">
        <v>43041</v>
      </c>
      <c r="C1603" s="251">
        <v>434.9</v>
      </c>
      <c r="D1603" s="251">
        <f t="shared" si="27"/>
        <v>-0.3631571240298726</v>
      </c>
      <c r="E1603" s="251">
        <v>-6.5105653912050773E-3</v>
      </c>
    </row>
    <row r="1604" spans="2:5">
      <c r="B1604" s="252">
        <v>45866</v>
      </c>
      <c r="C1604" s="251">
        <v>682.9</v>
      </c>
      <c r="D1604" s="251">
        <f t="shared" si="27"/>
        <v>0.69981331673926561</v>
      </c>
      <c r="E1604" s="251">
        <v>-6.5464067500727377E-3</v>
      </c>
    </row>
    <row r="1605" spans="2:5">
      <c r="B1605" s="252">
        <v>42993</v>
      </c>
      <c r="C1605" s="251">
        <v>401.75</v>
      </c>
      <c r="D1605" s="251">
        <f t="shared" si="27"/>
        <v>-0.21967563367971257</v>
      </c>
      <c r="E1605" s="251">
        <v>-6.5529179030662148E-3</v>
      </c>
    </row>
    <row r="1606" spans="2:5">
      <c r="B1606" s="252">
        <v>42748</v>
      </c>
      <c r="C1606" s="251">
        <v>514.85</v>
      </c>
      <c r="D1606" s="251">
        <f t="shared" si="27"/>
        <v>0.31292395573009651</v>
      </c>
      <c r="E1606" s="251">
        <v>-6.5605402797877035E-3</v>
      </c>
    </row>
    <row r="1607" spans="2:5">
      <c r="B1607" s="252">
        <v>44845</v>
      </c>
      <c r="C1607" s="251">
        <v>392.14</v>
      </c>
      <c r="D1607" s="251">
        <f t="shared" si="27"/>
        <v>-0.12050597707852069</v>
      </c>
      <c r="E1607" s="251">
        <v>-6.5614470650825416E-3</v>
      </c>
    </row>
    <row r="1608" spans="2:5">
      <c r="B1608" s="252">
        <v>44819</v>
      </c>
      <c r="C1608" s="251">
        <v>445.87</v>
      </c>
      <c r="D1608" s="251">
        <f t="shared" si="27"/>
        <v>2.6879239040529366</v>
      </c>
      <c r="E1608" s="251">
        <v>-6.5727908738469516E-3</v>
      </c>
    </row>
    <row r="1609" spans="2:5">
      <c r="B1609" s="252">
        <v>44064</v>
      </c>
      <c r="C1609" s="251">
        <v>120.9</v>
      </c>
      <c r="D1609" s="251">
        <f t="shared" si="27"/>
        <v>0.14326241134751777</v>
      </c>
      <c r="E1609" s="251">
        <v>-6.5735414954806665E-3</v>
      </c>
    </row>
    <row r="1610" spans="2:5">
      <c r="B1610" s="252">
        <v>44041</v>
      </c>
      <c r="C1610" s="251">
        <v>105.75</v>
      </c>
      <c r="D1610" s="251">
        <f t="shared" ref="D1610:D1673" si="28">(C1610-C1611)/C1611</f>
        <v>-0.81260300189612089</v>
      </c>
      <c r="E1610" s="251">
        <v>-6.5758572099577535E-3</v>
      </c>
    </row>
    <row r="1611" spans="2:5">
      <c r="B1611" s="252">
        <v>45096</v>
      </c>
      <c r="C1611" s="251">
        <v>564.30999999999995</v>
      </c>
      <c r="D1611" s="251">
        <f t="shared" si="28"/>
        <v>0.17295780503013911</v>
      </c>
      <c r="E1611" s="251">
        <v>-6.5839274711733285E-3</v>
      </c>
    </row>
    <row r="1612" spans="2:5">
      <c r="B1612" s="252">
        <v>42564</v>
      </c>
      <c r="C1612" s="251">
        <v>481.1</v>
      </c>
      <c r="D1612" s="251">
        <f t="shared" si="28"/>
        <v>-0.12023406784310139</v>
      </c>
      <c r="E1612" s="251">
        <v>-6.6074747057608685E-3</v>
      </c>
    </row>
    <row r="1613" spans="2:5">
      <c r="B1613" s="252">
        <v>42663</v>
      </c>
      <c r="C1613" s="251">
        <v>546.85</v>
      </c>
      <c r="D1613" s="251">
        <f t="shared" si="28"/>
        <v>2.318264563106796</v>
      </c>
      <c r="E1613" s="251">
        <v>-6.6303360581289328E-3</v>
      </c>
    </row>
    <row r="1614" spans="2:5">
      <c r="B1614" s="252">
        <v>43797</v>
      </c>
      <c r="C1614" s="251">
        <v>164.8</v>
      </c>
      <c r="D1614" s="251">
        <f t="shared" si="28"/>
        <v>-0.75412159641924659</v>
      </c>
      <c r="E1614" s="251">
        <v>-6.6305003013863431E-3</v>
      </c>
    </row>
    <row r="1615" spans="2:5">
      <c r="B1615" s="252">
        <v>45826</v>
      </c>
      <c r="C1615" s="251">
        <v>670.25</v>
      </c>
      <c r="D1615" s="251">
        <f t="shared" si="28"/>
        <v>-0.2742284786139686</v>
      </c>
      <c r="E1615" s="251">
        <v>-6.6691367173027051E-3</v>
      </c>
    </row>
    <row r="1616" spans="2:5">
      <c r="B1616" s="252">
        <v>45342</v>
      </c>
      <c r="C1616" s="251">
        <v>923.5</v>
      </c>
      <c r="D1616" s="251">
        <f t="shared" si="28"/>
        <v>4.1984238671545171</v>
      </c>
      <c r="E1616" s="251">
        <v>-6.7008701450959078E-3</v>
      </c>
    </row>
    <row r="1617" spans="2:5">
      <c r="B1617" s="252">
        <v>44179</v>
      </c>
      <c r="C1617" s="251">
        <v>177.65</v>
      </c>
      <c r="D1617" s="251">
        <f t="shared" si="28"/>
        <v>-0.67729336966394194</v>
      </c>
      <c r="E1617" s="251">
        <v>-6.7095331283197578E-3</v>
      </c>
    </row>
    <row r="1618" spans="2:5">
      <c r="B1618" s="252">
        <v>42662</v>
      </c>
      <c r="C1618" s="251">
        <v>550.5</v>
      </c>
      <c r="D1618" s="251">
        <f t="shared" si="28"/>
        <v>2.1430202683414219</v>
      </c>
      <c r="E1618" s="251">
        <v>-6.7658998646820028E-3</v>
      </c>
    </row>
    <row r="1619" spans="2:5">
      <c r="B1619" s="252">
        <v>43615</v>
      </c>
      <c r="C1619" s="251">
        <v>175.15</v>
      </c>
      <c r="D1619" s="251">
        <f t="shared" si="28"/>
        <v>-0.75656706045865185</v>
      </c>
      <c r="E1619" s="251">
        <v>-6.8046498440600435E-3</v>
      </c>
    </row>
    <row r="1620" spans="2:5">
      <c r="B1620" s="252">
        <v>45807</v>
      </c>
      <c r="C1620" s="251">
        <v>719.5</v>
      </c>
      <c r="D1620" s="251">
        <f t="shared" si="28"/>
        <v>2.2163611980330802</v>
      </c>
      <c r="E1620" s="251">
        <v>-6.8327696873490855E-3</v>
      </c>
    </row>
    <row r="1621" spans="2:5">
      <c r="B1621" s="252">
        <v>43371</v>
      </c>
      <c r="C1621" s="251">
        <v>223.7</v>
      </c>
      <c r="D1621" s="251">
        <f t="shared" si="28"/>
        <v>-0.43371389514720399</v>
      </c>
      <c r="E1621" s="251">
        <v>-6.8812430632630914E-3</v>
      </c>
    </row>
    <row r="1622" spans="2:5">
      <c r="B1622" s="252">
        <v>44848</v>
      </c>
      <c r="C1622" s="251">
        <v>395.03</v>
      </c>
      <c r="D1622" s="251">
        <f t="shared" si="28"/>
        <v>5.4960608893043092E-2</v>
      </c>
      <c r="E1622" s="251">
        <v>-6.8884028458657248E-3</v>
      </c>
    </row>
    <row r="1623" spans="2:5">
      <c r="B1623" s="252">
        <v>42374</v>
      </c>
      <c r="C1623" s="251">
        <v>374.45</v>
      </c>
      <c r="D1623" s="251">
        <f t="shared" si="28"/>
        <v>-9.9706674360453995E-2</v>
      </c>
      <c r="E1623" s="251">
        <v>-6.8956371833974878E-3</v>
      </c>
    </row>
    <row r="1624" spans="2:5">
      <c r="B1624" s="252">
        <v>44903</v>
      </c>
      <c r="C1624" s="251">
        <v>415.92</v>
      </c>
      <c r="D1624" s="251">
        <f t="shared" si="28"/>
        <v>-0.11042669233237086</v>
      </c>
      <c r="E1624" s="251">
        <v>-6.9005038084095083E-3</v>
      </c>
    </row>
    <row r="1625" spans="2:5">
      <c r="B1625" s="252">
        <v>42801</v>
      </c>
      <c r="C1625" s="251">
        <v>467.55</v>
      </c>
      <c r="D1625" s="251">
        <f t="shared" si="28"/>
        <v>-0.56911805363560963</v>
      </c>
      <c r="E1625" s="251">
        <v>-6.9031435853865756E-3</v>
      </c>
    </row>
    <row r="1626" spans="2:5">
      <c r="B1626" s="252">
        <v>45538</v>
      </c>
      <c r="C1626" s="267">
        <v>1085.0999999999999</v>
      </c>
      <c r="D1626" s="251">
        <f t="shared" si="28"/>
        <v>0.76052567534679949</v>
      </c>
      <c r="E1626" s="251">
        <v>-6.9098064338994018E-3</v>
      </c>
    </row>
    <row r="1627" spans="2:5">
      <c r="B1627" s="252">
        <v>45148</v>
      </c>
      <c r="C1627" s="251">
        <v>616.35</v>
      </c>
      <c r="D1627" s="251">
        <f t="shared" si="28"/>
        <v>-0.20404209982566021</v>
      </c>
      <c r="E1627" s="251">
        <v>-6.912219644238147E-3</v>
      </c>
    </row>
    <row r="1628" spans="2:5">
      <c r="B1628" s="252">
        <v>45677</v>
      </c>
      <c r="C1628" s="251">
        <v>774.35</v>
      </c>
      <c r="D1628" s="251">
        <f t="shared" si="28"/>
        <v>1.5837504170837506</v>
      </c>
      <c r="E1628" s="251">
        <v>-6.925296569413244E-3</v>
      </c>
    </row>
    <row r="1629" spans="2:5">
      <c r="B1629" s="252">
        <v>42429</v>
      </c>
      <c r="C1629" s="251">
        <v>299.7</v>
      </c>
      <c r="D1629" s="251">
        <f t="shared" si="28"/>
        <v>-0.61811926605504586</v>
      </c>
      <c r="E1629" s="251">
        <v>-6.9582504970179676E-3</v>
      </c>
    </row>
    <row r="1630" spans="2:5">
      <c r="B1630" s="252">
        <v>45642</v>
      </c>
      <c r="C1630" s="251">
        <v>784.8</v>
      </c>
      <c r="D1630" s="251">
        <f t="shared" si="28"/>
        <v>1.3102691538113958E-2</v>
      </c>
      <c r="E1630" s="251">
        <v>-6.9593825129697588E-3</v>
      </c>
    </row>
    <row r="1631" spans="2:5">
      <c r="B1631" s="252">
        <v>45667</v>
      </c>
      <c r="C1631" s="251">
        <v>774.65</v>
      </c>
      <c r="D1631" s="251">
        <f t="shared" si="28"/>
        <v>0.7908912264478094</v>
      </c>
      <c r="E1631" s="251">
        <v>-6.9862838097680367E-3</v>
      </c>
    </row>
    <row r="1632" spans="2:5">
      <c r="B1632" s="252">
        <v>42916</v>
      </c>
      <c r="C1632" s="251">
        <v>432.55</v>
      </c>
      <c r="D1632" s="251">
        <f t="shared" si="28"/>
        <v>0.13307138179436806</v>
      </c>
      <c r="E1632" s="251">
        <v>-7.0018365472911187E-3</v>
      </c>
    </row>
    <row r="1633" spans="2:5">
      <c r="B1633" s="252">
        <v>42513</v>
      </c>
      <c r="C1633" s="251">
        <v>381.75</v>
      </c>
      <c r="D1633" s="251">
        <f t="shared" si="28"/>
        <v>2.0070894052776684</v>
      </c>
      <c r="E1633" s="251">
        <v>-7.0230198985563501E-3</v>
      </c>
    </row>
    <row r="1634" spans="2:5">
      <c r="B1634" s="252">
        <v>43753</v>
      </c>
      <c r="C1634" s="251">
        <v>126.95</v>
      </c>
      <c r="D1634" s="251">
        <f t="shared" si="28"/>
        <v>-0.61448527178864265</v>
      </c>
      <c r="E1634" s="251">
        <v>-7.0394994133749821E-3</v>
      </c>
    </row>
    <row r="1635" spans="2:5">
      <c r="B1635" s="252">
        <v>44467</v>
      </c>
      <c r="C1635" s="251">
        <v>329.3</v>
      </c>
      <c r="D1635" s="251">
        <f t="shared" si="28"/>
        <v>-0.29794265003730946</v>
      </c>
      <c r="E1635" s="251">
        <v>-7.0857832051860878E-3</v>
      </c>
    </row>
    <row r="1636" spans="2:5">
      <c r="B1636" s="252">
        <v>42823</v>
      </c>
      <c r="C1636" s="251">
        <v>469.05</v>
      </c>
      <c r="D1636" s="251">
        <f t="shared" si="28"/>
        <v>-0.34612596537206902</v>
      </c>
      <c r="E1636" s="251">
        <v>-7.0914479254868034E-3</v>
      </c>
    </row>
    <row r="1637" spans="2:5">
      <c r="B1637" s="252">
        <v>45286</v>
      </c>
      <c r="C1637" s="251">
        <v>717.34</v>
      </c>
      <c r="D1637" s="251">
        <f t="shared" si="28"/>
        <v>1.4470066518847009</v>
      </c>
      <c r="E1637" s="251">
        <v>-7.1006408570598025E-3</v>
      </c>
    </row>
    <row r="1638" spans="2:5">
      <c r="B1638" s="252">
        <v>44441</v>
      </c>
      <c r="C1638" s="251">
        <v>293.14999999999998</v>
      </c>
      <c r="D1638" s="251">
        <f t="shared" si="28"/>
        <v>-0.20748851040821845</v>
      </c>
      <c r="E1638" s="251">
        <v>-7.1126164267570624E-3</v>
      </c>
    </row>
    <row r="1639" spans="2:5">
      <c r="B1639" s="252">
        <v>43159</v>
      </c>
      <c r="C1639" s="251">
        <v>369.9</v>
      </c>
      <c r="D1639" s="251">
        <f t="shared" si="28"/>
        <v>1.1350649350649349</v>
      </c>
      <c r="E1639" s="251">
        <v>-7.1131391759496282E-3</v>
      </c>
    </row>
    <row r="1640" spans="2:5">
      <c r="B1640" s="252">
        <v>43620</v>
      </c>
      <c r="C1640" s="251">
        <v>173.25</v>
      </c>
      <c r="D1640" s="251">
        <f t="shared" si="28"/>
        <v>-0.65570349761526237</v>
      </c>
      <c r="E1640" s="251">
        <v>-7.1633237822349575E-3</v>
      </c>
    </row>
    <row r="1641" spans="2:5">
      <c r="B1641" s="252">
        <v>42580</v>
      </c>
      <c r="C1641" s="251">
        <v>503.2</v>
      </c>
      <c r="D1641" s="251">
        <f t="shared" si="28"/>
        <v>0.28992566008715703</v>
      </c>
      <c r="E1641" s="251">
        <v>-7.2013416198086887E-3</v>
      </c>
    </row>
    <row r="1642" spans="2:5">
      <c r="B1642" s="252">
        <v>44923</v>
      </c>
      <c r="C1642" s="251">
        <v>390.1</v>
      </c>
      <c r="D1642" s="251">
        <f t="shared" si="28"/>
        <v>0.21280895383180493</v>
      </c>
      <c r="E1642" s="251">
        <v>-7.2275665496003847E-3</v>
      </c>
    </row>
    <row r="1643" spans="2:5">
      <c r="B1643" s="252">
        <v>44251</v>
      </c>
      <c r="C1643" s="251">
        <v>321.64999999999998</v>
      </c>
      <c r="D1643" s="251">
        <f t="shared" si="28"/>
        <v>-0.46876858029992741</v>
      </c>
      <c r="E1643" s="251">
        <v>-7.2530864197531564E-3</v>
      </c>
    </row>
    <row r="1644" spans="2:5">
      <c r="B1644" s="252">
        <v>45152</v>
      </c>
      <c r="C1644" s="251">
        <v>605.48</v>
      </c>
      <c r="D1644" s="251">
        <f t="shared" si="28"/>
        <v>0.48274764295334882</v>
      </c>
      <c r="E1644" s="251">
        <v>-7.2796432318991688E-3</v>
      </c>
    </row>
    <row r="1645" spans="2:5">
      <c r="B1645" s="252">
        <v>42489</v>
      </c>
      <c r="C1645" s="251">
        <v>408.35</v>
      </c>
      <c r="D1645" s="251">
        <f t="shared" si="28"/>
        <v>-0.51040105509262024</v>
      </c>
      <c r="E1645" s="251">
        <v>-7.2930594384344226E-3</v>
      </c>
    </row>
    <row r="1646" spans="2:5">
      <c r="B1646" s="252">
        <v>45596</v>
      </c>
      <c r="C1646" s="251">
        <v>834.05</v>
      </c>
      <c r="D1646" s="251">
        <f t="shared" si="28"/>
        <v>0.24253258845437609</v>
      </c>
      <c r="E1646" s="251">
        <v>-7.3196857890979418E-3</v>
      </c>
    </row>
    <row r="1647" spans="2:5">
      <c r="B1647" s="252">
        <v>45831</v>
      </c>
      <c r="C1647" s="251">
        <v>671.25</v>
      </c>
      <c r="D1647" s="251">
        <f t="shared" si="28"/>
        <v>4.2196734059097976</v>
      </c>
      <c r="E1647" s="251">
        <v>-7.3203194321207407E-3</v>
      </c>
    </row>
    <row r="1648" spans="2:5">
      <c r="B1648" s="252">
        <v>43724</v>
      </c>
      <c r="C1648" s="251">
        <v>128.6</v>
      </c>
      <c r="D1648" s="251">
        <f t="shared" si="28"/>
        <v>-0.6921677518192263</v>
      </c>
      <c r="E1648" s="251">
        <v>-7.3330760324200458E-3</v>
      </c>
    </row>
    <row r="1649" spans="2:5">
      <c r="B1649" s="252">
        <v>44951</v>
      </c>
      <c r="C1649" s="251">
        <v>417.76</v>
      </c>
      <c r="D1649" s="251">
        <f t="shared" si="28"/>
        <v>-0.37484474373363263</v>
      </c>
      <c r="E1649" s="251">
        <v>-7.3422834739218998E-3</v>
      </c>
    </row>
    <row r="1650" spans="2:5">
      <c r="B1650" s="252">
        <v>45712</v>
      </c>
      <c r="C1650" s="251">
        <v>668.25</v>
      </c>
      <c r="D1650" s="251">
        <f t="shared" si="28"/>
        <v>0.47728528794075376</v>
      </c>
      <c r="E1650" s="251">
        <v>-7.3529411764706549E-3</v>
      </c>
    </row>
    <row r="1651" spans="2:5">
      <c r="B1651" s="252">
        <v>42905</v>
      </c>
      <c r="C1651" s="251">
        <v>452.35</v>
      </c>
      <c r="D1651" s="251">
        <f t="shared" si="28"/>
        <v>0.36434926858694017</v>
      </c>
      <c r="E1651" s="251">
        <v>-7.4602303894678599E-3</v>
      </c>
    </row>
    <row r="1652" spans="2:5">
      <c r="B1652" s="252">
        <v>43214</v>
      </c>
      <c r="C1652" s="251">
        <v>331.55</v>
      </c>
      <c r="D1652" s="251">
        <f t="shared" si="28"/>
        <v>-0.53512338754907463</v>
      </c>
      <c r="E1652" s="251">
        <v>-7.4839095943720997E-3</v>
      </c>
    </row>
    <row r="1653" spans="2:5">
      <c r="B1653" s="252">
        <v>45272</v>
      </c>
      <c r="C1653" s="251">
        <v>713.2</v>
      </c>
      <c r="D1653" s="251">
        <f t="shared" si="28"/>
        <v>0.19035300008345168</v>
      </c>
      <c r="E1653" s="251">
        <v>-7.4869882267805882E-3</v>
      </c>
    </row>
    <row r="1654" spans="2:5">
      <c r="B1654" s="252">
        <v>45169</v>
      </c>
      <c r="C1654" s="251">
        <v>599.15</v>
      </c>
      <c r="D1654" s="251">
        <f t="shared" si="28"/>
        <v>-0.33670984169157531</v>
      </c>
      <c r="E1654" s="251">
        <v>-7.5204161076050241E-3</v>
      </c>
    </row>
    <row r="1655" spans="2:5">
      <c r="B1655" s="252">
        <v>45586</v>
      </c>
      <c r="C1655" s="251">
        <v>903.3</v>
      </c>
      <c r="D1655" s="251">
        <f t="shared" si="28"/>
        <v>1.0501588742623693</v>
      </c>
      <c r="E1655" s="251">
        <v>-7.5262319397901697E-3</v>
      </c>
    </row>
    <row r="1656" spans="2:5">
      <c r="B1656" s="252">
        <v>42846</v>
      </c>
      <c r="C1656" s="251">
        <v>440.6</v>
      </c>
      <c r="D1656" s="251">
        <f t="shared" si="28"/>
        <v>-0.55309869155086722</v>
      </c>
      <c r="E1656" s="251">
        <v>-7.5458948079737947E-3</v>
      </c>
    </row>
    <row r="1657" spans="2:5">
      <c r="B1657" s="252">
        <v>45461</v>
      </c>
      <c r="C1657" s="251">
        <v>985.9</v>
      </c>
      <c r="D1657" s="251">
        <f t="shared" si="28"/>
        <v>1.9562218890554721</v>
      </c>
      <c r="E1657" s="251">
        <v>-7.5498288705456015E-3</v>
      </c>
    </row>
    <row r="1658" spans="2:5">
      <c r="B1658" s="252">
        <v>43223</v>
      </c>
      <c r="C1658" s="251">
        <v>333.5</v>
      </c>
      <c r="D1658" s="251">
        <f t="shared" si="28"/>
        <v>-0.23405525826232751</v>
      </c>
      <c r="E1658" s="251">
        <v>-7.5881565243267708E-3</v>
      </c>
    </row>
    <row r="1659" spans="2:5">
      <c r="B1659" s="252">
        <v>44966</v>
      </c>
      <c r="C1659" s="251">
        <v>435.41</v>
      </c>
      <c r="D1659" s="251">
        <f t="shared" si="28"/>
        <v>-6.9557227113428405E-2</v>
      </c>
      <c r="E1659" s="251">
        <v>-7.6125356125355554E-3</v>
      </c>
    </row>
    <row r="1660" spans="2:5">
      <c r="B1660" s="252">
        <v>45035</v>
      </c>
      <c r="C1660" s="251">
        <v>467.96</v>
      </c>
      <c r="D1660" s="251">
        <f t="shared" si="28"/>
        <v>0.35581631174851519</v>
      </c>
      <c r="E1660" s="251">
        <v>-7.6131905418302019E-3</v>
      </c>
    </row>
    <row r="1661" spans="2:5">
      <c r="B1661" s="252">
        <v>43167</v>
      </c>
      <c r="C1661" s="251">
        <v>345.15</v>
      </c>
      <c r="D1661" s="251">
        <f t="shared" si="28"/>
        <v>0.51647627416520203</v>
      </c>
      <c r="E1661" s="251">
        <v>-7.6193214491087806E-3</v>
      </c>
    </row>
    <row r="1662" spans="2:5">
      <c r="B1662" s="252">
        <v>43376</v>
      </c>
      <c r="C1662" s="251">
        <v>227.6</v>
      </c>
      <c r="D1662" s="251">
        <f t="shared" si="28"/>
        <v>-0.41596099563766997</v>
      </c>
      <c r="E1662" s="251">
        <v>-7.6302594288205801E-3</v>
      </c>
    </row>
    <row r="1663" spans="2:5">
      <c r="B1663" s="252">
        <v>42507</v>
      </c>
      <c r="C1663" s="251">
        <v>389.7</v>
      </c>
      <c r="D1663" s="251">
        <f t="shared" si="28"/>
        <v>-0.60056988233364772</v>
      </c>
      <c r="E1663" s="251">
        <v>-7.6394194041252868E-3</v>
      </c>
    </row>
    <row r="1664" spans="2:5">
      <c r="B1664" s="252">
        <v>45378</v>
      </c>
      <c r="C1664" s="251">
        <v>975.64</v>
      </c>
      <c r="D1664" s="251">
        <f t="shared" si="28"/>
        <v>1.0512583310556525</v>
      </c>
      <c r="E1664" s="251">
        <v>-7.6588992747947688E-3</v>
      </c>
    </row>
    <row r="1665" spans="2:5">
      <c r="B1665" s="252">
        <v>45051</v>
      </c>
      <c r="C1665" s="251">
        <v>475.63</v>
      </c>
      <c r="D1665" s="251">
        <f t="shared" si="28"/>
        <v>1.6387239944521497</v>
      </c>
      <c r="E1665" s="251">
        <v>-7.6984060752732994E-3</v>
      </c>
    </row>
    <row r="1666" spans="2:5">
      <c r="B1666" s="252">
        <v>43500</v>
      </c>
      <c r="C1666" s="251">
        <v>180.25</v>
      </c>
      <c r="D1666" s="251">
        <f t="shared" si="28"/>
        <v>-0.61098521635912384</v>
      </c>
      <c r="E1666" s="251">
        <v>-7.7071290944123625E-3</v>
      </c>
    </row>
    <row r="1667" spans="2:5">
      <c r="B1667" s="252">
        <v>42732</v>
      </c>
      <c r="C1667" s="251">
        <v>463.35</v>
      </c>
      <c r="D1667" s="251">
        <f t="shared" si="28"/>
        <v>0.50024283632831468</v>
      </c>
      <c r="E1667" s="251">
        <v>-7.709604882749686E-3</v>
      </c>
    </row>
    <row r="1668" spans="2:5">
      <c r="B1668" s="252">
        <v>44396</v>
      </c>
      <c r="C1668" s="251">
        <v>308.85000000000002</v>
      </c>
      <c r="D1668" s="251">
        <f t="shared" si="28"/>
        <v>-0.38304035157810623</v>
      </c>
      <c r="E1668" s="251">
        <v>-7.7108433734939027E-3</v>
      </c>
    </row>
    <row r="1669" spans="2:5">
      <c r="B1669" s="252">
        <v>44596</v>
      </c>
      <c r="C1669" s="251">
        <v>500.6</v>
      </c>
      <c r="D1669" s="251">
        <f t="shared" si="28"/>
        <v>0.13607480029048666</v>
      </c>
      <c r="E1669" s="251">
        <v>-7.7304261645192813E-3</v>
      </c>
    </row>
    <row r="1670" spans="2:5">
      <c r="B1670" s="252">
        <v>44963</v>
      </c>
      <c r="C1670" s="251">
        <v>440.64</v>
      </c>
      <c r="D1670" s="251">
        <f t="shared" si="28"/>
        <v>3.2185523541813095E-2</v>
      </c>
      <c r="E1670" s="251">
        <v>-7.7463520086470854E-3</v>
      </c>
    </row>
    <row r="1671" spans="2:5">
      <c r="B1671" s="252">
        <v>42920</v>
      </c>
      <c r="C1671" s="251">
        <v>426.9</v>
      </c>
      <c r="D1671" s="251">
        <f t="shared" si="28"/>
        <v>-7.9599844767366687E-2</v>
      </c>
      <c r="E1671" s="251">
        <v>-7.7861708309123132E-3</v>
      </c>
    </row>
    <row r="1672" spans="2:5">
      <c r="B1672" s="252">
        <v>44778</v>
      </c>
      <c r="C1672" s="251">
        <v>463.82</v>
      </c>
      <c r="D1672" s="251">
        <f t="shared" si="28"/>
        <v>0.2373482726423902</v>
      </c>
      <c r="E1672" s="251">
        <v>-7.7867625037436067E-3</v>
      </c>
    </row>
    <row r="1673" spans="2:5">
      <c r="B1673" s="252">
        <v>43139</v>
      </c>
      <c r="C1673" s="251">
        <v>374.85</v>
      </c>
      <c r="D1673" s="251">
        <f t="shared" si="28"/>
        <v>0.68965517241379326</v>
      </c>
      <c r="E1673" s="251">
        <v>-7.8083642138697422E-3</v>
      </c>
    </row>
    <row r="1674" spans="2:5">
      <c r="B1674" s="252">
        <v>43580</v>
      </c>
      <c r="C1674" s="251">
        <v>221.85</v>
      </c>
      <c r="D1674" s="251">
        <f t="shared" ref="D1674:D1737" si="29">(C1674-C1675)/C1675</f>
        <v>-0.71630071995805566</v>
      </c>
      <c r="E1674" s="251">
        <v>-7.8264758497316646E-3</v>
      </c>
    </row>
    <row r="1675" spans="2:5">
      <c r="B1675" s="252">
        <v>45293</v>
      </c>
      <c r="C1675" s="251">
        <v>781.99</v>
      </c>
      <c r="D1675" s="251">
        <f t="shared" si="29"/>
        <v>1.3325577926920209</v>
      </c>
      <c r="E1675" s="251">
        <v>-7.8409480188283628E-3</v>
      </c>
    </row>
    <row r="1676" spans="2:5">
      <c r="B1676" s="252">
        <v>44370</v>
      </c>
      <c r="C1676" s="251">
        <v>335.25</v>
      </c>
      <c r="D1676" s="251">
        <f t="shared" si="29"/>
        <v>0.66501117457164149</v>
      </c>
      <c r="E1676" s="251">
        <v>-7.8425569695175414E-3</v>
      </c>
    </row>
    <row r="1677" spans="2:5">
      <c r="B1677" s="252">
        <v>43558</v>
      </c>
      <c r="C1677" s="251">
        <v>201.35</v>
      </c>
      <c r="D1677" s="251">
        <f t="shared" si="29"/>
        <v>-0.70346097201767299</v>
      </c>
      <c r="E1677" s="251">
        <v>-7.8837152007883438E-3</v>
      </c>
    </row>
    <row r="1678" spans="2:5">
      <c r="B1678" s="252">
        <v>45854</v>
      </c>
      <c r="C1678" s="251">
        <v>679</v>
      </c>
      <c r="D1678" s="251">
        <f t="shared" si="29"/>
        <v>1.0181304800118889</v>
      </c>
      <c r="E1678" s="251">
        <v>-7.8901227352425156E-3</v>
      </c>
    </row>
    <row r="1679" spans="2:5">
      <c r="B1679" s="252">
        <v>43207</v>
      </c>
      <c r="C1679" s="251">
        <v>336.45</v>
      </c>
      <c r="D1679" s="251">
        <f t="shared" si="29"/>
        <v>-0.16740905716406837</v>
      </c>
      <c r="E1679" s="251">
        <v>-7.9610791685094766E-3</v>
      </c>
    </row>
    <row r="1680" spans="2:5">
      <c r="B1680" s="252">
        <v>42480</v>
      </c>
      <c r="C1680" s="251">
        <v>404.1</v>
      </c>
      <c r="D1680" s="251">
        <f t="shared" si="29"/>
        <v>-0.3138986043668715</v>
      </c>
      <c r="E1680" s="251">
        <v>-7.9783969559346999E-3</v>
      </c>
    </row>
    <row r="1681" spans="2:5">
      <c r="B1681" s="252">
        <v>45110</v>
      </c>
      <c r="C1681" s="251">
        <v>588.98</v>
      </c>
      <c r="D1681" s="251">
        <f t="shared" si="29"/>
        <v>4.5933523266856602</v>
      </c>
      <c r="E1681" s="251">
        <v>-7.9835612746749461E-3</v>
      </c>
    </row>
    <row r="1682" spans="2:5">
      <c r="B1682" s="252">
        <v>43994</v>
      </c>
      <c r="C1682" s="251">
        <v>105.3</v>
      </c>
      <c r="D1682" s="251">
        <f t="shared" si="29"/>
        <v>-0.75269499048826882</v>
      </c>
      <c r="E1682" s="251">
        <v>-8.0075365049459106E-3</v>
      </c>
    </row>
    <row r="1683" spans="2:5">
      <c r="B1683" s="252">
        <v>44755</v>
      </c>
      <c r="C1683" s="251">
        <v>425.79</v>
      </c>
      <c r="D1683" s="251">
        <f t="shared" si="29"/>
        <v>4.6552783581172416E-2</v>
      </c>
      <c r="E1683" s="251">
        <v>-8.0143512801994204E-3</v>
      </c>
    </row>
    <row r="1684" spans="2:5">
      <c r="B1684" s="252">
        <v>43081</v>
      </c>
      <c r="C1684" s="251">
        <v>406.85</v>
      </c>
      <c r="D1684" s="251">
        <f t="shared" si="29"/>
        <v>-9.2460405978139606E-2</v>
      </c>
      <c r="E1684" s="251">
        <v>-8.0458368889429598E-3</v>
      </c>
    </row>
    <row r="1685" spans="2:5">
      <c r="B1685" s="252">
        <v>42901</v>
      </c>
      <c r="C1685" s="251">
        <v>448.3</v>
      </c>
      <c r="D1685" s="251">
        <f t="shared" si="29"/>
        <v>-0.26731605269179226</v>
      </c>
      <c r="E1685" s="251">
        <v>-8.076114614448451E-3</v>
      </c>
    </row>
    <row r="1686" spans="2:5">
      <c r="B1686" s="252">
        <v>45155</v>
      </c>
      <c r="C1686" s="251">
        <v>611.86</v>
      </c>
      <c r="D1686" s="251">
        <f t="shared" si="29"/>
        <v>1.0001961425302388</v>
      </c>
      <c r="E1686" s="251">
        <v>-8.0894869092972502E-3</v>
      </c>
    </row>
    <row r="1687" spans="2:5">
      <c r="B1687" s="252">
        <v>43265</v>
      </c>
      <c r="C1687" s="251">
        <v>305.89999999999998</v>
      </c>
      <c r="D1687" s="251">
        <f t="shared" si="29"/>
        <v>4.3493092273580079E-2</v>
      </c>
      <c r="E1687" s="251">
        <v>-8.1063553826199748E-3</v>
      </c>
    </row>
    <row r="1688" spans="2:5">
      <c r="B1688" s="252">
        <v>44403</v>
      </c>
      <c r="C1688" s="251">
        <v>293.14999999999998</v>
      </c>
      <c r="D1688" s="251">
        <f t="shared" si="29"/>
        <v>0.71834701055099637</v>
      </c>
      <c r="E1688" s="251">
        <v>-8.1204533919811677E-3</v>
      </c>
    </row>
    <row r="1689" spans="2:5">
      <c r="B1689" s="252">
        <v>43782</v>
      </c>
      <c r="C1689" s="251">
        <v>170.6</v>
      </c>
      <c r="D1689" s="251">
        <f t="shared" si="29"/>
        <v>-0.57381963527354485</v>
      </c>
      <c r="E1689" s="251">
        <v>-8.1395348837209631E-3</v>
      </c>
    </row>
    <row r="1690" spans="2:5">
      <c r="B1690" s="252">
        <v>43125</v>
      </c>
      <c r="C1690" s="251">
        <v>400.3</v>
      </c>
      <c r="D1690" s="251">
        <f t="shared" si="29"/>
        <v>-0.34958160695426116</v>
      </c>
      <c r="E1690" s="251">
        <v>-8.1764122893954686E-3</v>
      </c>
    </row>
    <row r="1691" spans="2:5">
      <c r="B1691" s="252">
        <v>45208</v>
      </c>
      <c r="C1691" s="251">
        <v>615.45000000000005</v>
      </c>
      <c r="D1691" s="251">
        <f t="shared" si="29"/>
        <v>-0.35029769445148207</v>
      </c>
      <c r="E1691" s="251">
        <v>-8.1865502070809261E-3</v>
      </c>
    </row>
    <row r="1692" spans="2:5">
      <c r="B1692" s="252">
        <v>45351</v>
      </c>
      <c r="C1692" s="251">
        <v>947.28</v>
      </c>
      <c r="D1692" s="251">
        <f t="shared" si="29"/>
        <v>1.1488068233372652</v>
      </c>
      <c r="E1692" s="251">
        <v>-8.1876243325306776E-3</v>
      </c>
    </row>
    <row r="1693" spans="2:5">
      <c r="B1693" s="252">
        <v>44812</v>
      </c>
      <c r="C1693" s="251">
        <v>440.84</v>
      </c>
      <c r="D1693" s="251">
        <f t="shared" si="29"/>
        <v>0.17541661111851742</v>
      </c>
      <c r="E1693" s="251">
        <v>-8.1893448524119044E-3</v>
      </c>
    </row>
    <row r="1694" spans="2:5">
      <c r="B1694" s="252">
        <v>42986</v>
      </c>
      <c r="C1694" s="251">
        <v>375.05</v>
      </c>
      <c r="D1694" s="251">
        <f t="shared" si="29"/>
        <v>-0.25776766277458935</v>
      </c>
      <c r="E1694" s="251">
        <v>-8.197805103794701E-3</v>
      </c>
    </row>
    <row r="1695" spans="2:5">
      <c r="B1695" s="252">
        <v>42779</v>
      </c>
      <c r="C1695" s="251">
        <v>505.3</v>
      </c>
      <c r="D1695" s="251">
        <f t="shared" si="29"/>
        <v>-0.28247873564034476</v>
      </c>
      <c r="E1695" s="251">
        <v>-8.3406927681287414E-3</v>
      </c>
    </row>
    <row r="1696" spans="2:5">
      <c r="B1696" s="252">
        <v>45260</v>
      </c>
      <c r="C1696" s="251">
        <v>704.23</v>
      </c>
      <c r="D1696" s="251">
        <f t="shared" si="29"/>
        <v>6.5143081856131727E-2</v>
      </c>
      <c r="E1696" s="251">
        <v>-8.350230933873987E-3</v>
      </c>
    </row>
    <row r="1697" spans="2:5">
      <c r="B1697" s="252">
        <v>45219</v>
      </c>
      <c r="C1697" s="251">
        <v>661.16</v>
      </c>
      <c r="D1697" s="251">
        <f t="shared" si="29"/>
        <v>-0.3114638007164876</v>
      </c>
      <c r="E1697" s="251">
        <v>-8.3690794012659213E-3</v>
      </c>
    </row>
    <row r="1698" spans="2:5">
      <c r="B1698" s="252">
        <v>45401</v>
      </c>
      <c r="C1698" s="251">
        <v>960.24</v>
      </c>
      <c r="D1698" s="251">
        <f t="shared" si="29"/>
        <v>1.9027811366384524</v>
      </c>
      <c r="E1698" s="251">
        <v>-8.3853112478830226E-3</v>
      </c>
    </row>
    <row r="1699" spans="2:5">
      <c r="B1699" s="252">
        <v>43231</v>
      </c>
      <c r="C1699" s="251">
        <v>330.8</v>
      </c>
      <c r="D1699" s="251">
        <f t="shared" si="29"/>
        <v>-0.28959518952002572</v>
      </c>
      <c r="E1699" s="251">
        <v>-8.3932853717026707E-3</v>
      </c>
    </row>
    <row r="1700" spans="2:5">
      <c r="B1700" s="252">
        <v>42727</v>
      </c>
      <c r="C1700" s="251">
        <v>465.65</v>
      </c>
      <c r="D1700" s="251">
        <f t="shared" si="29"/>
        <v>4.6442424242424236</v>
      </c>
      <c r="E1700" s="251">
        <v>-8.4114139693357015E-3</v>
      </c>
    </row>
    <row r="1701" spans="2:5">
      <c r="B1701" s="252">
        <v>43958</v>
      </c>
      <c r="C1701" s="251">
        <v>82.5</v>
      </c>
      <c r="D1701" s="251">
        <f t="shared" si="29"/>
        <v>-0.33225414811817078</v>
      </c>
      <c r="E1701" s="251">
        <v>-8.4134615384615728E-3</v>
      </c>
    </row>
    <row r="1702" spans="2:5">
      <c r="B1702" s="252">
        <v>44060</v>
      </c>
      <c r="C1702" s="251">
        <v>123.55</v>
      </c>
      <c r="D1702" s="251">
        <f t="shared" si="29"/>
        <v>-0.67149694230257906</v>
      </c>
      <c r="E1702" s="251">
        <v>-8.4269662921348087E-3</v>
      </c>
    </row>
    <row r="1703" spans="2:5">
      <c r="B1703" s="252">
        <v>42976</v>
      </c>
      <c r="C1703" s="251">
        <v>376.1</v>
      </c>
      <c r="D1703" s="251">
        <f t="shared" si="29"/>
        <v>0.12537402752842619</v>
      </c>
      <c r="E1703" s="251">
        <v>-8.4365937252833863E-3</v>
      </c>
    </row>
    <row r="1704" spans="2:5">
      <c r="B1704" s="252">
        <v>42397</v>
      </c>
      <c r="C1704" s="251">
        <v>334.2</v>
      </c>
      <c r="D1704" s="251">
        <f t="shared" si="29"/>
        <v>0.97168141592920343</v>
      </c>
      <c r="E1704" s="251">
        <v>-8.4557187360926357E-3</v>
      </c>
    </row>
    <row r="1705" spans="2:5">
      <c r="B1705" s="252">
        <v>43874</v>
      </c>
      <c r="C1705" s="251">
        <v>169.5</v>
      </c>
      <c r="D1705" s="251">
        <f t="shared" si="29"/>
        <v>-0.57180750284198567</v>
      </c>
      <c r="E1705" s="251">
        <v>-8.4820122842935875E-3</v>
      </c>
    </row>
    <row r="1706" spans="2:5">
      <c r="B1706" s="252">
        <v>43130</v>
      </c>
      <c r="C1706" s="251">
        <v>395.85</v>
      </c>
      <c r="D1706" s="251">
        <f t="shared" si="29"/>
        <v>-5.0058793885435812E-2</v>
      </c>
      <c r="E1706" s="251">
        <v>-8.515967438947971E-3</v>
      </c>
    </row>
    <row r="1707" spans="2:5">
      <c r="B1707" s="252">
        <v>44914</v>
      </c>
      <c r="C1707" s="251">
        <v>416.71</v>
      </c>
      <c r="D1707" s="251">
        <f t="shared" si="29"/>
        <v>2.4467328370554173</v>
      </c>
      <c r="E1707" s="251">
        <v>-8.5415179633595798E-3</v>
      </c>
    </row>
    <row r="1708" spans="2:5">
      <c r="B1708" s="252">
        <v>43691</v>
      </c>
      <c r="C1708" s="251">
        <v>120.9</v>
      </c>
      <c r="D1708" s="251">
        <f t="shared" si="29"/>
        <v>-0.73590510932960518</v>
      </c>
      <c r="E1708" s="251">
        <v>-8.6100861008609857E-3</v>
      </c>
    </row>
    <row r="1709" spans="2:5">
      <c r="B1709" s="252">
        <v>44798</v>
      </c>
      <c r="C1709" s="251">
        <v>457.79</v>
      </c>
      <c r="D1709" s="251">
        <f t="shared" si="29"/>
        <v>0.14048330842052828</v>
      </c>
      <c r="E1709" s="251">
        <v>-8.6190094635856841E-3</v>
      </c>
    </row>
    <row r="1710" spans="2:5">
      <c r="B1710" s="252">
        <v>43006</v>
      </c>
      <c r="C1710" s="251">
        <v>401.4</v>
      </c>
      <c r="D1710" s="251">
        <f t="shared" si="29"/>
        <v>1.189852700490998</v>
      </c>
      <c r="E1710" s="251">
        <v>-8.644109656705359E-3</v>
      </c>
    </row>
    <row r="1711" spans="2:5">
      <c r="B1711" s="252">
        <v>43483</v>
      </c>
      <c r="C1711" s="251">
        <v>183.3</v>
      </c>
      <c r="D1711" s="251">
        <f t="shared" si="29"/>
        <v>0.39179954441913462</v>
      </c>
      <c r="E1711" s="251">
        <v>-8.6533261222282009E-3</v>
      </c>
    </row>
    <row r="1712" spans="2:5">
      <c r="B1712" s="252">
        <v>44103</v>
      </c>
      <c r="C1712" s="251">
        <v>131.69999999999999</v>
      </c>
      <c r="D1712" s="251">
        <f t="shared" si="29"/>
        <v>4.6483909415971351E-2</v>
      </c>
      <c r="E1712" s="251">
        <v>-8.6563793752352704E-3</v>
      </c>
    </row>
    <row r="1713" spans="2:5">
      <c r="B1713" s="252">
        <v>43754</v>
      </c>
      <c r="C1713" s="251">
        <v>125.85</v>
      </c>
      <c r="D1713" s="251">
        <f t="shared" si="29"/>
        <v>-0.87123343735611603</v>
      </c>
      <c r="E1713" s="251">
        <v>-8.6648286727058575E-3</v>
      </c>
    </row>
    <row r="1714" spans="2:5">
      <c r="B1714" s="252">
        <v>45462</v>
      </c>
      <c r="C1714" s="251">
        <v>977.35</v>
      </c>
      <c r="D1714" s="251">
        <f t="shared" si="29"/>
        <v>6.2567949554251004E-2</v>
      </c>
      <c r="E1714" s="251">
        <v>-8.6722791358149458E-3</v>
      </c>
    </row>
    <row r="1715" spans="2:5">
      <c r="B1715" s="252">
        <v>45573</v>
      </c>
      <c r="C1715" s="251">
        <v>919.8</v>
      </c>
      <c r="D1715" s="251">
        <f t="shared" si="29"/>
        <v>4.0386195562859486</v>
      </c>
      <c r="E1715" s="251">
        <v>-8.6759713315730652E-3</v>
      </c>
    </row>
    <row r="1716" spans="2:5">
      <c r="B1716" s="252">
        <v>43426</v>
      </c>
      <c r="C1716" s="251">
        <v>182.55</v>
      </c>
      <c r="D1716" s="251">
        <f t="shared" si="29"/>
        <v>-0.55279274865262118</v>
      </c>
      <c r="E1716" s="251">
        <v>-8.6885691012761022E-3</v>
      </c>
    </row>
    <row r="1717" spans="2:5">
      <c r="B1717" s="252">
        <v>43003</v>
      </c>
      <c r="C1717" s="251">
        <v>408.2</v>
      </c>
      <c r="D1717" s="251">
        <f t="shared" si="29"/>
        <v>-0.14243697478991599</v>
      </c>
      <c r="E1717" s="251">
        <v>-8.7421078193298269E-3</v>
      </c>
    </row>
    <row r="1718" spans="2:5">
      <c r="B1718" s="252">
        <v>44559</v>
      </c>
      <c r="C1718" s="251">
        <v>476</v>
      </c>
      <c r="D1718" s="251">
        <f t="shared" si="29"/>
        <v>-4.3696634856855848E-2</v>
      </c>
      <c r="E1718" s="251">
        <v>-8.7463556851311713E-3</v>
      </c>
    </row>
    <row r="1719" spans="2:5">
      <c r="B1719" s="252">
        <v>42741</v>
      </c>
      <c r="C1719" s="251">
        <v>497.75</v>
      </c>
      <c r="D1719" s="251">
        <f t="shared" si="29"/>
        <v>0.63169972135715446</v>
      </c>
      <c r="E1719" s="251">
        <v>-8.7623220153340182E-3</v>
      </c>
    </row>
    <row r="1720" spans="2:5">
      <c r="B1720" s="252">
        <v>44291</v>
      </c>
      <c r="C1720" s="251">
        <v>305.05</v>
      </c>
      <c r="D1720" s="251">
        <f t="shared" si="29"/>
        <v>0.87954405422057913</v>
      </c>
      <c r="E1720" s="251">
        <v>-8.7733549959382248E-3</v>
      </c>
    </row>
    <row r="1721" spans="2:5">
      <c r="B1721" s="252">
        <v>43649</v>
      </c>
      <c r="C1721" s="251">
        <v>162.30000000000001</v>
      </c>
      <c r="D1721" s="251">
        <f t="shared" si="29"/>
        <v>-0.50608642726719411</v>
      </c>
      <c r="E1721" s="251">
        <v>-8.8549618320609997E-3</v>
      </c>
    </row>
    <row r="1722" spans="2:5">
      <c r="B1722" s="252">
        <v>43215</v>
      </c>
      <c r="C1722" s="251">
        <v>328.6</v>
      </c>
      <c r="D1722" s="251">
        <f t="shared" si="29"/>
        <v>0.23048118329900771</v>
      </c>
      <c r="E1722" s="251">
        <v>-8.8976021716181217E-3</v>
      </c>
    </row>
    <row r="1723" spans="2:5">
      <c r="B1723" s="252">
        <v>43285</v>
      </c>
      <c r="C1723" s="251">
        <v>267.05</v>
      </c>
      <c r="D1723" s="251">
        <f t="shared" si="29"/>
        <v>6.6706610744957123E-2</v>
      </c>
      <c r="E1723" s="251">
        <v>-8.9070328446835302E-3</v>
      </c>
    </row>
    <row r="1724" spans="2:5">
      <c r="B1724" s="252">
        <v>43364</v>
      </c>
      <c r="C1724" s="251">
        <v>250.35</v>
      </c>
      <c r="D1724" s="251">
        <f t="shared" si="29"/>
        <v>-0.46214497486357581</v>
      </c>
      <c r="E1724" s="251">
        <v>-8.9073634204275536E-3</v>
      </c>
    </row>
    <row r="1725" spans="2:5">
      <c r="B1725" s="252">
        <v>44805</v>
      </c>
      <c r="C1725" s="251">
        <v>465.46</v>
      </c>
      <c r="D1725" s="251">
        <f t="shared" si="29"/>
        <v>-0.23397462271448088</v>
      </c>
      <c r="E1725" s="251">
        <v>-8.9215373150218196E-3</v>
      </c>
    </row>
    <row r="1726" spans="2:5">
      <c r="B1726" s="252">
        <v>45145</v>
      </c>
      <c r="C1726" s="251">
        <v>607.63</v>
      </c>
      <c r="D1726" s="251">
        <f t="shared" si="29"/>
        <v>0.82938431431582127</v>
      </c>
      <c r="E1726" s="251">
        <v>-8.9380372200747304E-3</v>
      </c>
    </row>
    <row r="1727" spans="2:5">
      <c r="B1727" s="252">
        <v>43228</v>
      </c>
      <c r="C1727" s="251">
        <v>332.15</v>
      </c>
      <c r="D1727" s="251">
        <f t="shared" si="29"/>
        <v>-0.56502095337873237</v>
      </c>
      <c r="E1727" s="251">
        <v>-8.9512158734894823E-3</v>
      </c>
    </row>
    <row r="1728" spans="2:5">
      <c r="B1728" s="252">
        <v>45672</v>
      </c>
      <c r="C1728" s="251">
        <v>763.6</v>
      </c>
      <c r="D1728" s="251">
        <f t="shared" si="29"/>
        <v>1.9442837863890494</v>
      </c>
      <c r="E1728" s="251">
        <v>-8.955223880596986E-3</v>
      </c>
    </row>
    <row r="1729" spans="2:5">
      <c r="B1729" s="252">
        <v>43342</v>
      </c>
      <c r="C1729" s="251">
        <v>259.35000000000002</v>
      </c>
      <c r="D1729" s="251">
        <f t="shared" si="29"/>
        <v>-0.47484053862508857</v>
      </c>
      <c r="E1729" s="251">
        <v>-8.9797478028275351E-3</v>
      </c>
    </row>
    <row r="1730" spans="2:5">
      <c r="B1730" s="252">
        <v>42607</v>
      </c>
      <c r="C1730" s="251">
        <v>493.85</v>
      </c>
      <c r="D1730" s="251">
        <f t="shared" si="29"/>
        <v>2.054100969188485E-2</v>
      </c>
      <c r="E1730" s="251">
        <v>-9.0297983345038624E-3</v>
      </c>
    </row>
    <row r="1731" spans="2:5">
      <c r="B1731" s="252">
        <v>44790</v>
      </c>
      <c r="C1731" s="251">
        <v>483.91</v>
      </c>
      <c r="D1731" s="251">
        <f t="shared" si="29"/>
        <v>0.16801834419502779</v>
      </c>
      <c r="E1731" s="251">
        <v>-9.0715485112830199E-3</v>
      </c>
    </row>
    <row r="1732" spans="2:5">
      <c r="B1732" s="252">
        <v>43053</v>
      </c>
      <c r="C1732" s="251">
        <v>414.3</v>
      </c>
      <c r="D1732" s="251">
        <f t="shared" si="29"/>
        <v>-3.6399581346668167E-2</v>
      </c>
      <c r="E1732" s="251">
        <v>-9.0887347524515934E-3</v>
      </c>
    </row>
    <row r="1733" spans="2:5">
      <c r="B1733" s="252">
        <v>43104</v>
      </c>
      <c r="C1733" s="251">
        <v>429.95</v>
      </c>
      <c r="D1733" s="251">
        <f t="shared" si="29"/>
        <v>2.7114190157668337E-2</v>
      </c>
      <c r="E1733" s="251">
        <v>-9.1034800645309714E-3</v>
      </c>
    </row>
    <row r="1734" spans="2:5">
      <c r="B1734" s="252">
        <v>43097</v>
      </c>
      <c r="C1734" s="251">
        <v>418.6</v>
      </c>
      <c r="D1734" s="251">
        <f t="shared" si="29"/>
        <v>0.18684434363481722</v>
      </c>
      <c r="E1734" s="251">
        <v>-9.1135045567521979E-3</v>
      </c>
    </row>
    <row r="1735" spans="2:5">
      <c r="B1735" s="252">
        <v>44362</v>
      </c>
      <c r="C1735" s="251">
        <v>352.7</v>
      </c>
      <c r="D1735" s="251">
        <f t="shared" si="29"/>
        <v>-0.21482635796972396</v>
      </c>
      <c r="E1735" s="251">
        <v>-9.1304958561595727E-3</v>
      </c>
    </row>
    <row r="1736" spans="2:5">
      <c r="B1736" s="252">
        <v>42842</v>
      </c>
      <c r="C1736" s="251">
        <v>449.2</v>
      </c>
      <c r="D1736" s="251">
        <f t="shared" si="29"/>
        <v>0.1222985633978763</v>
      </c>
      <c r="E1736" s="251">
        <v>-9.1540752178229483E-3</v>
      </c>
    </row>
    <row r="1737" spans="2:5">
      <c r="B1737" s="252">
        <v>42324</v>
      </c>
      <c r="C1737" s="251">
        <v>400.25</v>
      </c>
      <c r="D1737" s="251">
        <f t="shared" si="29"/>
        <v>-0.63985243172717865</v>
      </c>
      <c r="E1737" s="251">
        <v>-9.1595494491892287E-3</v>
      </c>
    </row>
    <row r="1738" spans="2:5">
      <c r="B1738" s="252">
        <v>45534</v>
      </c>
      <c r="C1738" s="267">
        <v>1111.3499999999999</v>
      </c>
      <c r="D1738" s="251">
        <f t="shared" ref="D1738:D1801" si="30">(C1738-C1739)/C1739</f>
        <v>2.3244092132814833</v>
      </c>
      <c r="E1738" s="251">
        <v>-9.1829001916820582E-3</v>
      </c>
    </row>
    <row r="1739" spans="2:5">
      <c r="B1739" s="252">
        <v>44368</v>
      </c>
      <c r="C1739" s="251">
        <v>334.3</v>
      </c>
      <c r="D1739" s="251">
        <f t="shared" si="30"/>
        <v>-0.13873502511915489</v>
      </c>
      <c r="E1739" s="251">
        <v>-9.1879075281563905E-3</v>
      </c>
    </row>
    <row r="1740" spans="2:5">
      <c r="B1740" s="252">
        <v>44692</v>
      </c>
      <c r="C1740" s="251">
        <v>388.15</v>
      </c>
      <c r="D1740" s="251">
        <f t="shared" si="30"/>
        <v>-0.42207763202954013</v>
      </c>
      <c r="E1740" s="251">
        <v>-9.1895341416720431E-3</v>
      </c>
    </row>
    <row r="1741" spans="2:5">
      <c r="B1741" s="252">
        <v>45254</v>
      </c>
      <c r="C1741" s="251">
        <v>671.63</v>
      </c>
      <c r="D1741" s="251">
        <f t="shared" si="30"/>
        <v>1.5986844650802865</v>
      </c>
      <c r="E1741" s="251">
        <v>-9.1906883427256628E-3</v>
      </c>
    </row>
    <row r="1742" spans="2:5">
      <c r="B1742" s="252">
        <v>43315</v>
      </c>
      <c r="C1742" s="251">
        <v>258.45</v>
      </c>
      <c r="D1742" s="251">
        <f t="shared" si="30"/>
        <v>-0.38169856459330148</v>
      </c>
      <c r="E1742" s="251">
        <v>-9.2006900517540118E-3</v>
      </c>
    </row>
    <row r="1743" spans="2:5">
      <c r="B1743" s="252">
        <v>43123</v>
      </c>
      <c r="C1743" s="251">
        <v>418</v>
      </c>
      <c r="D1743" s="251">
        <f t="shared" si="30"/>
        <v>-0.12277019937040923</v>
      </c>
      <c r="E1743" s="251">
        <v>-9.2438966579757708E-3</v>
      </c>
    </row>
    <row r="1744" spans="2:5">
      <c r="B1744" s="252">
        <v>42811</v>
      </c>
      <c r="C1744" s="251">
        <v>476.5</v>
      </c>
      <c r="D1744" s="251">
        <f t="shared" si="30"/>
        <v>1.7881802223522529</v>
      </c>
      <c r="E1744" s="251">
        <v>-9.252521052084392E-3</v>
      </c>
    </row>
    <row r="1745" spans="2:5">
      <c r="B1745" s="252">
        <v>43460</v>
      </c>
      <c r="C1745" s="251">
        <v>170.9</v>
      </c>
      <c r="D1745" s="251">
        <f t="shared" si="30"/>
        <v>-0.83003480855295875</v>
      </c>
      <c r="E1745" s="251">
        <v>-9.2753623188405465E-3</v>
      </c>
    </row>
    <row r="1746" spans="2:5">
      <c r="B1746" s="252">
        <v>45483</v>
      </c>
      <c r="C1746" s="267">
        <v>1005.5</v>
      </c>
      <c r="D1746" s="251">
        <f t="shared" si="30"/>
        <v>1.4403562847365485</v>
      </c>
      <c r="E1746" s="251">
        <v>-9.3108034878565896E-3</v>
      </c>
    </row>
    <row r="1747" spans="2:5">
      <c r="B1747" s="252">
        <v>44904</v>
      </c>
      <c r="C1747" s="251">
        <v>412.03</v>
      </c>
      <c r="D1747" s="251">
        <f t="shared" si="30"/>
        <v>1.2884198833657314</v>
      </c>
      <c r="E1747" s="251">
        <v>-9.3527601461820611E-3</v>
      </c>
    </row>
    <row r="1748" spans="2:5">
      <c r="B1748" s="252">
        <v>43431</v>
      </c>
      <c r="C1748" s="251">
        <v>180.05</v>
      </c>
      <c r="D1748" s="251">
        <f t="shared" si="30"/>
        <v>-0.31695751138088013</v>
      </c>
      <c r="E1748" s="251">
        <v>-9.3535075653369392E-3</v>
      </c>
    </row>
    <row r="1749" spans="2:5">
      <c r="B1749" s="252">
        <v>43294</v>
      </c>
      <c r="C1749" s="251">
        <v>263.60000000000002</v>
      </c>
      <c r="D1749" s="251">
        <f t="shared" si="30"/>
        <v>-0.5044647053294482</v>
      </c>
      <c r="E1749" s="251">
        <v>-9.3949642991356629E-3</v>
      </c>
    </row>
    <row r="1750" spans="2:5">
      <c r="B1750" s="252">
        <v>42673</v>
      </c>
      <c r="C1750" s="251">
        <v>531.95000000000005</v>
      </c>
      <c r="D1750" s="251">
        <f t="shared" si="30"/>
        <v>0.26972192385726235</v>
      </c>
      <c r="E1750" s="251">
        <v>-9.4040968342643475E-3</v>
      </c>
    </row>
    <row r="1751" spans="2:5">
      <c r="B1751" s="252">
        <v>43118</v>
      </c>
      <c r="C1751" s="251">
        <v>418.95</v>
      </c>
      <c r="D1751" s="251">
        <f t="shared" si="30"/>
        <v>0.1992271361099183</v>
      </c>
      <c r="E1751" s="251">
        <v>-9.4573826693462593E-3</v>
      </c>
    </row>
    <row r="1752" spans="2:5">
      <c r="B1752" s="252">
        <v>44363</v>
      </c>
      <c r="C1752" s="251">
        <v>349.35</v>
      </c>
      <c r="D1752" s="251">
        <f t="shared" si="30"/>
        <v>0.92161716171617158</v>
      </c>
      <c r="E1752" s="251">
        <v>-9.4981570740004708E-3</v>
      </c>
    </row>
    <row r="1753" spans="2:5">
      <c r="B1753" s="252">
        <v>44173</v>
      </c>
      <c r="C1753" s="251">
        <v>181.8</v>
      </c>
      <c r="D1753" s="251">
        <f t="shared" si="30"/>
        <v>0.75144508670520249</v>
      </c>
      <c r="E1753" s="251">
        <v>-9.5341868700626522E-3</v>
      </c>
    </row>
    <row r="1754" spans="2:5">
      <c r="B1754" s="252">
        <v>44007</v>
      </c>
      <c r="C1754" s="251">
        <v>103.8</v>
      </c>
      <c r="D1754" s="251">
        <f t="shared" si="30"/>
        <v>-0.82792918241495916</v>
      </c>
      <c r="E1754" s="251">
        <v>-9.5419847328244278E-3</v>
      </c>
    </row>
    <row r="1755" spans="2:5">
      <c r="B1755" s="252">
        <v>45163</v>
      </c>
      <c r="C1755" s="251">
        <v>603.24</v>
      </c>
      <c r="D1755" s="251">
        <f t="shared" si="30"/>
        <v>1.0476578411405295</v>
      </c>
      <c r="E1755" s="251">
        <v>-9.5719703810728494E-3</v>
      </c>
    </row>
    <row r="1756" spans="2:5">
      <c r="B1756" s="252">
        <v>44446</v>
      </c>
      <c r="C1756" s="251">
        <v>294.60000000000002</v>
      </c>
      <c r="D1756" s="251">
        <f t="shared" si="30"/>
        <v>-0.30090175605125763</v>
      </c>
      <c r="E1756" s="251">
        <v>-9.5814422592031129E-3</v>
      </c>
    </row>
    <row r="1757" spans="2:5">
      <c r="B1757" s="252">
        <v>43066</v>
      </c>
      <c r="C1757" s="251">
        <v>421.4</v>
      </c>
      <c r="D1757" s="251">
        <f t="shared" si="30"/>
        <v>0.39098861198217527</v>
      </c>
      <c r="E1757" s="251">
        <v>-9.6357226792009934E-3</v>
      </c>
    </row>
    <row r="1758" spans="2:5">
      <c r="B1758" s="252">
        <v>43266</v>
      </c>
      <c r="C1758" s="251">
        <v>302.95</v>
      </c>
      <c r="D1758" s="251">
        <f t="shared" si="30"/>
        <v>0.20409379968203495</v>
      </c>
      <c r="E1758" s="251">
        <v>-9.6436744033997681E-3</v>
      </c>
    </row>
    <row r="1759" spans="2:5">
      <c r="B1759" s="252">
        <v>43319</v>
      </c>
      <c r="C1759" s="251">
        <v>251.6</v>
      </c>
      <c r="D1759" s="251">
        <f t="shared" si="30"/>
        <v>-5.6617922759655027E-2</v>
      </c>
      <c r="E1759" s="251">
        <v>-9.6437709112380116E-3</v>
      </c>
    </row>
    <row r="1760" spans="2:5">
      <c r="B1760" s="252">
        <v>43283</v>
      </c>
      <c r="C1760" s="251">
        <v>266.7</v>
      </c>
      <c r="D1760" s="251">
        <f t="shared" si="30"/>
        <v>-0.51776512069433145</v>
      </c>
      <c r="E1760" s="251">
        <v>-9.6546602302265971E-3</v>
      </c>
    </row>
    <row r="1761" spans="2:5">
      <c r="B1761" s="252">
        <v>42636</v>
      </c>
      <c r="C1761" s="251">
        <v>553.04999999999995</v>
      </c>
      <c r="D1761" s="251">
        <f t="shared" si="30"/>
        <v>-0.42700994612515547</v>
      </c>
      <c r="E1761" s="251">
        <v>-9.6696212731669628E-3</v>
      </c>
    </row>
    <row r="1762" spans="2:5">
      <c r="B1762" s="252">
        <v>45566</v>
      </c>
      <c r="C1762" s="251">
        <v>965.2</v>
      </c>
      <c r="D1762" s="251">
        <f t="shared" si="30"/>
        <v>-0.11262296589133032</v>
      </c>
      <c r="E1762" s="251">
        <v>-9.6957882316728392E-3</v>
      </c>
    </row>
    <row r="1763" spans="2:5">
      <c r="B1763" s="252">
        <v>45523</v>
      </c>
      <c r="C1763" s="267">
        <v>1087.7</v>
      </c>
      <c r="D1763" s="251">
        <f t="shared" si="30"/>
        <v>1.2718633164149802</v>
      </c>
      <c r="E1763" s="251">
        <v>-9.6963627259069197E-3</v>
      </c>
    </row>
    <row r="1764" spans="2:5">
      <c r="B1764" s="252">
        <v>45048</v>
      </c>
      <c r="C1764" s="251">
        <v>478.77</v>
      </c>
      <c r="D1764" s="251">
        <f t="shared" si="30"/>
        <v>0.10493884144934218</v>
      </c>
      <c r="E1764" s="251">
        <v>-9.700905969470066E-3</v>
      </c>
    </row>
    <row r="1765" spans="2:5">
      <c r="B1765" s="252">
        <v>43110</v>
      </c>
      <c r="C1765" s="251">
        <v>433.3</v>
      </c>
      <c r="D1765" s="251">
        <f t="shared" si="30"/>
        <v>-0.32977571539056455</v>
      </c>
      <c r="E1765" s="251">
        <v>-9.7131756370700487E-3</v>
      </c>
    </row>
    <row r="1766" spans="2:5">
      <c r="B1766" s="252">
        <v>45876</v>
      </c>
      <c r="C1766" s="251">
        <v>646.5</v>
      </c>
      <c r="D1766" s="251">
        <f t="shared" si="30"/>
        <v>5.6010192580977052E-2</v>
      </c>
      <c r="E1766" s="251">
        <v>-9.726583441832002E-3</v>
      </c>
    </row>
    <row r="1767" spans="2:5">
      <c r="B1767" s="252">
        <v>45197</v>
      </c>
      <c r="C1767" s="251">
        <v>612.21</v>
      </c>
      <c r="D1767" s="251">
        <f t="shared" si="30"/>
        <v>2.6571684587813622</v>
      </c>
      <c r="E1767" s="251">
        <v>-9.7534937888198309E-3</v>
      </c>
    </row>
    <row r="1768" spans="2:5">
      <c r="B1768" s="252">
        <v>43629</v>
      </c>
      <c r="C1768" s="251">
        <v>167.4</v>
      </c>
      <c r="D1768" s="251">
        <f t="shared" si="30"/>
        <v>-0.45755022683084901</v>
      </c>
      <c r="E1768" s="251">
        <v>-9.760425909494266E-3</v>
      </c>
    </row>
    <row r="1769" spans="2:5">
      <c r="B1769" s="252">
        <v>44456</v>
      </c>
      <c r="C1769" s="251">
        <v>308.60000000000002</v>
      </c>
      <c r="D1769" s="251">
        <f t="shared" si="30"/>
        <v>0.70027548209366408</v>
      </c>
      <c r="E1769" s="251">
        <v>-9.7866196053263427E-3</v>
      </c>
    </row>
    <row r="1770" spans="2:5">
      <c r="B1770" s="252">
        <v>43486</v>
      </c>
      <c r="C1770" s="251">
        <v>181.5</v>
      </c>
      <c r="D1770" s="251">
        <f t="shared" si="30"/>
        <v>-0.61259338313767342</v>
      </c>
      <c r="E1770" s="251">
        <v>-9.8199672667758382E-3</v>
      </c>
    </row>
    <row r="1771" spans="2:5">
      <c r="B1771" s="252">
        <v>42725</v>
      </c>
      <c r="C1771" s="251">
        <v>468.5</v>
      </c>
      <c r="D1771" s="251">
        <f t="shared" si="30"/>
        <v>0.10821998817267889</v>
      </c>
      <c r="E1771" s="251">
        <v>-9.8277501849307353E-3</v>
      </c>
    </row>
    <row r="1772" spans="2:5">
      <c r="B1772" s="252">
        <v>43031</v>
      </c>
      <c r="C1772" s="251">
        <v>422.75</v>
      </c>
      <c r="D1772" s="251">
        <f t="shared" si="30"/>
        <v>1.2704081632653064</v>
      </c>
      <c r="E1772" s="251">
        <v>-9.837217472771961E-3</v>
      </c>
    </row>
    <row r="1773" spans="2:5">
      <c r="B1773" s="252">
        <v>43860</v>
      </c>
      <c r="C1773" s="251">
        <v>186.2</v>
      </c>
      <c r="D1773" s="251">
        <f t="shared" si="30"/>
        <v>-0.5932721712538227</v>
      </c>
      <c r="E1773" s="251">
        <v>-9.8378090933263634E-3</v>
      </c>
    </row>
    <row r="1774" spans="2:5">
      <c r="B1774" s="252">
        <v>42793</v>
      </c>
      <c r="C1774" s="251">
        <v>457.8</v>
      </c>
      <c r="D1774" s="251">
        <f t="shared" si="30"/>
        <v>-0.25687850012174329</v>
      </c>
      <c r="E1774" s="251">
        <v>-9.8410295230885927E-3</v>
      </c>
    </row>
    <row r="1775" spans="2:5">
      <c r="B1775" s="252">
        <v>45763</v>
      </c>
      <c r="C1775" s="251">
        <v>616.04999999999995</v>
      </c>
      <c r="D1775" s="251">
        <f t="shared" si="30"/>
        <v>0.19458987783595094</v>
      </c>
      <c r="E1775" s="251">
        <v>-9.8842815814851985E-3</v>
      </c>
    </row>
    <row r="1776" spans="2:5">
      <c r="B1776" s="252">
        <v>44581</v>
      </c>
      <c r="C1776" s="251">
        <v>515.70000000000005</v>
      </c>
      <c r="D1776" s="251">
        <f t="shared" si="30"/>
        <v>1.9476993426693345</v>
      </c>
      <c r="E1776" s="251">
        <v>-9.8876835941249432E-3</v>
      </c>
    </row>
    <row r="1777" spans="2:5">
      <c r="B1777" s="252">
        <v>43815</v>
      </c>
      <c r="C1777" s="251">
        <v>174.95</v>
      </c>
      <c r="D1777" s="251">
        <f t="shared" si="30"/>
        <v>-0.73556529625151157</v>
      </c>
      <c r="E1777" s="251">
        <v>-9.903791737408036E-3</v>
      </c>
    </row>
    <row r="1778" spans="2:5">
      <c r="B1778" s="252">
        <v>45713</v>
      </c>
      <c r="C1778" s="251">
        <v>661.6</v>
      </c>
      <c r="D1778" s="251">
        <f t="shared" si="30"/>
        <v>2.9136350192250813</v>
      </c>
      <c r="E1778" s="251">
        <v>-9.9513655069210279E-3</v>
      </c>
    </row>
    <row r="1779" spans="2:5">
      <c r="B1779" s="252">
        <v>43628</v>
      </c>
      <c r="C1779" s="251">
        <v>169.05</v>
      </c>
      <c r="D1779" s="251">
        <f t="shared" si="30"/>
        <v>-0.54489164086687303</v>
      </c>
      <c r="E1779" s="251">
        <v>-9.9560761346997873E-3</v>
      </c>
    </row>
    <row r="1780" spans="2:5">
      <c r="B1780" s="252">
        <v>42468</v>
      </c>
      <c r="C1780" s="251">
        <v>371.45</v>
      </c>
      <c r="D1780" s="251">
        <f t="shared" si="30"/>
        <v>1.6011904761904758</v>
      </c>
      <c r="E1780" s="251">
        <v>-9.9946695095948831E-3</v>
      </c>
    </row>
    <row r="1781" spans="2:5">
      <c r="B1781" s="252">
        <v>44071</v>
      </c>
      <c r="C1781" s="251">
        <v>142.80000000000001</v>
      </c>
      <c r="D1781" s="251">
        <f t="shared" si="30"/>
        <v>-0.69461077844311381</v>
      </c>
      <c r="E1781" s="251">
        <v>-1.0051993067590909E-2</v>
      </c>
    </row>
    <row r="1782" spans="2:5">
      <c r="B1782" s="252">
        <v>44554</v>
      </c>
      <c r="C1782" s="251">
        <v>467.6</v>
      </c>
      <c r="D1782" s="251">
        <f t="shared" si="30"/>
        <v>3.2913629335100586E-2</v>
      </c>
      <c r="E1782" s="251">
        <v>-1.0056102466391447E-2</v>
      </c>
    </row>
    <row r="1783" spans="2:5">
      <c r="B1783" s="252">
        <v>42908</v>
      </c>
      <c r="C1783" s="251">
        <v>452.7</v>
      </c>
      <c r="D1783" s="251">
        <f t="shared" si="30"/>
        <v>9.5727943846060787E-2</v>
      </c>
      <c r="E1783" s="251">
        <v>-1.0059042204242341E-2</v>
      </c>
    </row>
    <row r="1784" spans="2:5">
      <c r="B1784" s="252">
        <v>42340</v>
      </c>
      <c r="C1784" s="251">
        <v>413.15</v>
      </c>
      <c r="D1784" s="251">
        <f t="shared" si="30"/>
        <v>-0.54707404240391155</v>
      </c>
      <c r="E1784" s="251">
        <v>-1.0063495866778592E-2</v>
      </c>
    </row>
    <row r="1785" spans="2:5">
      <c r="B1785" s="252">
        <v>45331</v>
      </c>
      <c r="C1785" s="251">
        <v>912.18</v>
      </c>
      <c r="D1785" s="251">
        <f t="shared" si="30"/>
        <v>1.2643167432046665</v>
      </c>
      <c r="E1785" s="251">
        <v>-1.0070974323356506E-2</v>
      </c>
    </row>
    <row r="1786" spans="2:5">
      <c r="B1786" s="252">
        <v>42328</v>
      </c>
      <c r="C1786" s="251">
        <v>402.85</v>
      </c>
      <c r="D1786" s="251">
        <f t="shared" si="30"/>
        <v>1.1600536193029491</v>
      </c>
      <c r="E1786" s="251">
        <v>-1.0074947782282751E-2</v>
      </c>
    </row>
    <row r="1787" spans="2:5">
      <c r="B1787" s="252">
        <v>43854</v>
      </c>
      <c r="C1787" s="251">
        <v>186.5</v>
      </c>
      <c r="D1787" s="251">
        <f t="shared" si="30"/>
        <v>0.52244897959183678</v>
      </c>
      <c r="E1787" s="251">
        <v>-1.0084925690021262E-2</v>
      </c>
    </row>
    <row r="1788" spans="2:5">
      <c r="B1788" s="252">
        <v>43683</v>
      </c>
      <c r="C1788" s="251">
        <v>122.5</v>
      </c>
      <c r="D1788" s="251">
        <f t="shared" si="30"/>
        <v>-0.78984388402813521</v>
      </c>
      <c r="E1788" s="251">
        <v>-1.0101010101010102E-2</v>
      </c>
    </row>
    <row r="1789" spans="2:5">
      <c r="B1789" s="252">
        <v>45756</v>
      </c>
      <c r="C1789" s="251">
        <v>582.9</v>
      </c>
      <c r="D1789" s="251">
        <f t="shared" si="30"/>
        <v>0.51284713210485322</v>
      </c>
      <c r="E1789" s="251">
        <v>-1.0104440859302106E-2</v>
      </c>
    </row>
    <row r="1790" spans="2:5">
      <c r="B1790" s="252">
        <v>42964</v>
      </c>
      <c r="C1790" s="251">
        <v>385.3</v>
      </c>
      <c r="D1790" s="251">
        <f t="shared" si="30"/>
        <v>-0.62905555020698956</v>
      </c>
      <c r="E1790" s="251">
        <v>-1.0147719974309541E-2</v>
      </c>
    </row>
    <row r="1791" spans="2:5">
      <c r="B1791" s="252">
        <v>45544</v>
      </c>
      <c r="C1791" s="267">
        <v>1038.7</v>
      </c>
      <c r="D1791" s="251">
        <f t="shared" si="30"/>
        <v>0.69719449028610658</v>
      </c>
      <c r="E1791" s="251">
        <v>-1.0149139943774588E-2</v>
      </c>
    </row>
    <row r="1792" spans="2:5">
      <c r="B1792" s="252">
        <v>45161</v>
      </c>
      <c r="C1792" s="251">
        <v>612.01</v>
      </c>
      <c r="D1792" s="251">
        <f t="shared" si="30"/>
        <v>0.32240708729472767</v>
      </c>
      <c r="E1792" s="251">
        <v>-1.015704604635361E-2</v>
      </c>
    </row>
    <row r="1793" spans="2:5">
      <c r="B1793" s="252">
        <v>42802</v>
      </c>
      <c r="C1793" s="251">
        <v>462.8</v>
      </c>
      <c r="D1793" s="251">
        <f t="shared" si="30"/>
        <v>-0.49775356499468237</v>
      </c>
      <c r="E1793" s="251">
        <v>-1.0159341246925462E-2</v>
      </c>
    </row>
    <row r="1794" spans="2:5">
      <c r="B1794" s="252">
        <v>45330</v>
      </c>
      <c r="C1794" s="251">
        <v>921.46</v>
      </c>
      <c r="D1794" s="251">
        <f t="shared" si="30"/>
        <v>1.1148470312822751</v>
      </c>
      <c r="E1794" s="251">
        <v>-1.0172623075848789E-2</v>
      </c>
    </row>
    <row r="1795" spans="2:5">
      <c r="B1795" s="252">
        <v>44753</v>
      </c>
      <c r="C1795" s="251">
        <v>435.71</v>
      </c>
      <c r="D1795" s="251">
        <f t="shared" si="30"/>
        <v>0.12022110811158244</v>
      </c>
      <c r="E1795" s="251">
        <v>-1.0177423385356365E-2</v>
      </c>
    </row>
    <row r="1796" spans="2:5">
      <c r="B1796" s="252">
        <v>44729</v>
      </c>
      <c r="C1796" s="251">
        <v>388.95</v>
      </c>
      <c r="D1796" s="251">
        <f t="shared" si="30"/>
        <v>-0.36920207590009735</v>
      </c>
      <c r="E1796" s="251">
        <v>-1.0179412138948976E-2</v>
      </c>
    </row>
    <row r="1797" spans="2:5">
      <c r="B1797" s="252">
        <v>45124</v>
      </c>
      <c r="C1797" s="251">
        <v>616.6</v>
      </c>
      <c r="D1797" s="251">
        <f t="shared" si="30"/>
        <v>-0.13441426265178633</v>
      </c>
      <c r="E1797" s="251">
        <v>-1.0241099232720144E-2</v>
      </c>
    </row>
    <row r="1798" spans="2:5">
      <c r="B1798" s="252">
        <v>45268</v>
      </c>
      <c r="C1798" s="251">
        <v>712.35</v>
      </c>
      <c r="D1798" s="251">
        <f t="shared" si="30"/>
        <v>0.38786603541995451</v>
      </c>
      <c r="E1798" s="251">
        <v>-1.0253845191946973E-2</v>
      </c>
    </row>
    <row r="1799" spans="2:5">
      <c r="B1799" s="252">
        <v>45071</v>
      </c>
      <c r="C1799" s="251">
        <v>513.27</v>
      </c>
      <c r="D1799" s="251">
        <f t="shared" si="30"/>
        <v>0.14928347514554402</v>
      </c>
      <c r="E1799" s="251">
        <v>-1.0277670651754802E-2</v>
      </c>
    </row>
    <row r="1800" spans="2:5">
      <c r="B1800" s="252">
        <v>42858</v>
      </c>
      <c r="C1800" s="251">
        <v>446.6</v>
      </c>
      <c r="D1800" s="251">
        <f t="shared" si="30"/>
        <v>9.6785284510916336E-2</v>
      </c>
      <c r="E1800" s="251">
        <v>-1.0304709141274187E-2</v>
      </c>
    </row>
    <row r="1801" spans="2:5">
      <c r="B1801" s="252">
        <v>44746</v>
      </c>
      <c r="C1801" s="251">
        <v>407.19</v>
      </c>
      <c r="D1801" s="251">
        <f t="shared" si="30"/>
        <v>0.88557536466774722</v>
      </c>
      <c r="E1801" s="251">
        <v>-1.0305519772500812E-2</v>
      </c>
    </row>
    <row r="1802" spans="2:5">
      <c r="B1802" s="252">
        <v>43567</v>
      </c>
      <c r="C1802" s="251">
        <v>215.95</v>
      </c>
      <c r="D1802" s="251">
        <f t="shared" ref="D1802:D1865" si="31">(C1802-C1803)/C1803</f>
        <v>-0.69569506094553657</v>
      </c>
      <c r="E1802" s="251">
        <v>-1.0311640696608617E-2</v>
      </c>
    </row>
    <row r="1803" spans="2:5">
      <c r="B1803" s="252">
        <v>45694</v>
      </c>
      <c r="C1803" s="251">
        <v>709.65</v>
      </c>
      <c r="D1803" s="251">
        <f t="shared" si="31"/>
        <v>0.62838458008260656</v>
      </c>
      <c r="E1803" s="251">
        <v>-1.0320061362526989E-2</v>
      </c>
    </row>
    <row r="1804" spans="2:5">
      <c r="B1804" s="252">
        <v>44643</v>
      </c>
      <c r="C1804" s="251">
        <v>435.8</v>
      </c>
      <c r="D1804" s="251">
        <f t="shared" si="31"/>
        <v>-0.28583133951689554</v>
      </c>
      <c r="E1804" s="251">
        <v>-1.0332689905756809E-2</v>
      </c>
    </row>
    <row r="1805" spans="2:5">
      <c r="B1805" s="252">
        <v>45125</v>
      </c>
      <c r="C1805" s="251">
        <v>610.22</v>
      </c>
      <c r="D1805" s="251">
        <f t="shared" si="31"/>
        <v>0.30305359812086274</v>
      </c>
      <c r="E1805" s="251">
        <v>-1.0347064547518643E-2</v>
      </c>
    </row>
    <row r="1806" spans="2:5">
      <c r="B1806" s="252">
        <v>42832</v>
      </c>
      <c r="C1806" s="251">
        <v>468.3</v>
      </c>
      <c r="D1806" s="251">
        <f t="shared" si="31"/>
        <v>-0.23219438614900309</v>
      </c>
      <c r="E1806" s="251">
        <v>-1.0355029585798769E-2</v>
      </c>
    </row>
    <row r="1807" spans="2:5">
      <c r="B1807" s="252">
        <v>45149</v>
      </c>
      <c r="C1807" s="251">
        <v>609.91999999999996</v>
      </c>
      <c r="D1807" s="251">
        <f t="shared" si="31"/>
        <v>0.496919867468401</v>
      </c>
      <c r="E1807" s="251">
        <v>-1.0432384197290603E-2</v>
      </c>
    </row>
    <row r="1808" spans="2:5">
      <c r="B1808" s="252">
        <v>42318</v>
      </c>
      <c r="C1808" s="251">
        <v>407.45</v>
      </c>
      <c r="D1808" s="251">
        <f t="shared" si="31"/>
        <v>-0.61890286676331663</v>
      </c>
      <c r="E1808" s="251">
        <v>-1.0443230115361291E-2</v>
      </c>
    </row>
    <row r="1809" spans="2:5">
      <c r="B1809" s="252">
        <v>45540</v>
      </c>
      <c r="C1809" s="267">
        <v>1069.1500000000001</v>
      </c>
      <c r="D1809" s="251">
        <f t="shared" si="31"/>
        <v>0.7285058363242477</v>
      </c>
      <c r="E1809" s="251">
        <v>-1.0458605210791757E-2</v>
      </c>
    </row>
    <row r="1810" spans="2:5">
      <c r="B1810" s="252">
        <v>45191</v>
      </c>
      <c r="C1810" s="251">
        <v>618.54</v>
      </c>
      <c r="D1810" s="251">
        <f t="shared" si="31"/>
        <v>0.47940684046878718</v>
      </c>
      <c r="E1810" s="251">
        <v>-1.0525979012029755E-2</v>
      </c>
    </row>
    <row r="1811" spans="2:5">
      <c r="B1811" s="252">
        <v>43052</v>
      </c>
      <c r="C1811" s="251">
        <v>418.1</v>
      </c>
      <c r="D1811" s="251">
        <f t="shared" si="31"/>
        <v>1.5517241379310347</v>
      </c>
      <c r="E1811" s="251">
        <v>-1.0531298071234147E-2</v>
      </c>
    </row>
    <row r="1812" spans="2:5">
      <c r="B1812" s="252">
        <v>43864</v>
      </c>
      <c r="C1812" s="251">
        <v>163.85</v>
      </c>
      <c r="D1812" s="251">
        <f t="shared" si="31"/>
        <v>-0.52020497803806731</v>
      </c>
      <c r="E1812" s="251">
        <v>-1.0567632850241546E-2</v>
      </c>
    </row>
    <row r="1813" spans="2:5">
      <c r="B1813" s="252">
        <v>43168</v>
      </c>
      <c r="C1813" s="251">
        <v>341.5</v>
      </c>
      <c r="D1813" s="251">
        <f t="shared" si="31"/>
        <v>-0.70159035302341843</v>
      </c>
      <c r="E1813" s="251">
        <v>-1.057511227002746E-2</v>
      </c>
    </row>
    <row r="1814" spans="2:5">
      <c r="B1814" s="252">
        <v>45505</v>
      </c>
      <c r="C1814" s="267">
        <v>1144.4000000000001</v>
      </c>
      <c r="D1814" s="251">
        <f t="shared" si="31"/>
        <v>2.3108635903370467</v>
      </c>
      <c r="E1814" s="251">
        <v>-1.0590930705053386E-2</v>
      </c>
    </row>
    <row r="1815" spans="2:5">
      <c r="B1815" s="252">
        <v>44364</v>
      </c>
      <c r="C1815" s="251">
        <v>345.65</v>
      </c>
      <c r="D1815" s="251">
        <f t="shared" si="31"/>
        <v>-0.48581586659327913</v>
      </c>
      <c r="E1815" s="251">
        <v>-1.059109775296993E-2</v>
      </c>
    </row>
    <row r="1816" spans="2:5">
      <c r="B1816" s="252">
        <v>45250</v>
      </c>
      <c r="C1816" s="251">
        <v>672.23</v>
      </c>
      <c r="D1816" s="251">
        <f t="shared" si="31"/>
        <v>0.56241719930273104</v>
      </c>
      <c r="E1816" s="251">
        <v>-1.0626241813231329E-2</v>
      </c>
    </row>
    <row r="1817" spans="2:5">
      <c r="B1817" s="252">
        <v>44678</v>
      </c>
      <c r="C1817" s="251">
        <v>430.25</v>
      </c>
      <c r="D1817" s="251">
        <f t="shared" si="31"/>
        <v>4.7397633769901235E-2</v>
      </c>
      <c r="E1817" s="251">
        <v>-1.0692113129454995E-2</v>
      </c>
    </row>
    <row r="1818" spans="2:5">
      <c r="B1818" s="252">
        <v>45012</v>
      </c>
      <c r="C1818" s="251">
        <v>410.78</v>
      </c>
      <c r="D1818" s="251">
        <f t="shared" si="31"/>
        <v>-0.13728866953691066</v>
      </c>
      <c r="E1818" s="251">
        <v>-1.06931265353308E-2</v>
      </c>
    </row>
    <row r="1819" spans="2:5">
      <c r="B1819" s="252">
        <v>42886</v>
      </c>
      <c r="C1819" s="251">
        <v>476.15</v>
      </c>
      <c r="D1819" s="251">
        <f t="shared" si="31"/>
        <v>-0.29406968124536698</v>
      </c>
      <c r="E1819" s="251">
        <v>-1.0700186993559182E-2</v>
      </c>
    </row>
    <row r="1820" spans="2:5">
      <c r="B1820" s="252">
        <v>45852</v>
      </c>
      <c r="C1820" s="251">
        <v>674.5</v>
      </c>
      <c r="D1820" s="251">
        <f t="shared" si="31"/>
        <v>0.36566106499291362</v>
      </c>
      <c r="E1820" s="251">
        <v>-1.0706952185391545E-2</v>
      </c>
    </row>
    <row r="1821" spans="2:5">
      <c r="B1821" s="252">
        <v>42571</v>
      </c>
      <c r="C1821" s="251">
        <v>493.9</v>
      </c>
      <c r="D1821" s="251">
        <f t="shared" si="31"/>
        <v>-0.10816179126038278</v>
      </c>
      <c r="E1821" s="251">
        <v>-1.0716074111166795E-2</v>
      </c>
    </row>
    <row r="1822" spans="2:5">
      <c r="B1822" s="252">
        <v>42668</v>
      </c>
      <c r="C1822" s="251">
        <v>553.79999999999995</v>
      </c>
      <c r="D1822" s="251">
        <f t="shared" si="31"/>
        <v>-0.38971844178742637</v>
      </c>
      <c r="E1822" s="251">
        <v>-1.0718113612004289E-2</v>
      </c>
    </row>
    <row r="1823" spans="2:5">
      <c r="B1823" s="252">
        <v>45581</v>
      </c>
      <c r="C1823" s="251">
        <v>907.45</v>
      </c>
      <c r="D1823" s="251">
        <f t="shared" si="31"/>
        <v>1.0638404330323639</v>
      </c>
      <c r="E1823" s="251">
        <v>-1.0738035539081991E-2</v>
      </c>
    </row>
    <row r="1824" spans="2:5">
      <c r="B1824" s="252">
        <v>44970</v>
      </c>
      <c r="C1824" s="251">
        <v>439.69</v>
      </c>
      <c r="D1824" s="251">
        <f t="shared" si="31"/>
        <v>-0.19830431215242963</v>
      </c>
      <c r="E1824" s="251">
        <v>-1.0776637868970528E-2</v>
      </c>
    </row>
    <row r="1825" spans="2:5">
      <c r="B1825" s="252">
        <v>42633</v>
      </c>
      <c r="C1825" s="251">
        <v>548.45000000000005</v>
      </c>
      <c r="D1825" s="251">
        <f t="shared" si="31"/>
        <v>0.26706711331870164</v>
      </c>
      <c r="E1825" s="251">
        <v>-1.0821534854360175E-2</v>
      </c>
    </row>
    <row r="1826" spans="2:5">
      <c r="B1826" s="252">
        <v>44683</v>
      </c>
      <c r="C1826" s="251">
        <v>432.85</v>
      </c>
      <c r="D1826" s="251">
        <f t="shared" si="31"/>
        <v>-0.15773189858146358</v>
      </c>
      <c r="E1826" s="251">
        <v>-1.0854661791590493E-2</v>
      </c>
    </row>
    <row r="1827" spans="2:5">
      <c r="B1827" s="252">
        <v>45063</v>
      </c>
      <c r="C1827" s="251">
        <v>513.91</v>
      </c>
      <c r="D1827" s="251">
        <f t="shared" si="31"/>
        <v>0.1886434601595928</v>
      </c>
      <c r="E1827" s="251">
        <v>-1.0855548070445552E-2</v>
      </c>
    </row>
    <row r="1828" spans="2:5">
      <c r="B1828" s="252">
        <v>43115</v>
      </c>
      <c r="C1828" s="251">
        <v>432.35</v>
      </c>
      <c r="D1828" s="251">
        <f t="shared" si="31"/>
        <v>-0.57812926895905692</v>
      </c>
      <c r="E1828" s="251">
        <v>-1.0867078471745596E-2</v>
      </c>
    </row>
    <row r="1829" spans="2:5">
      <c r="B1829" s="252">
        <v>45362</v>
      </c>
      <c r="C1829" s="267">
        <v>1024.8399999999999</v>
      </c>
      <c r="D1829" s="251">
        <f t="shared" si="31"/>
        <v>1.3706685172334026</v>
      </c>
      <c r="E1829" s="251">
        <v>-1.0867676865167448E-2</v>
      </c>
    </row>
    <row r="1830" spans="2:5">
      <c r="B1830" s="252">
        <v>43025</v>
      </c>
      <c r="C1830" s="251">
        <v>432.3</v>
      </c>
      <c r="D1830" s="251">
        <f t="shared" si="31"/>
        <v>-0.38580663493642109</v>
      </c>
      <c r="E1830" s="251">
        <v>-1.0868321702322388E-2</v>
      </c>
    </row>
    <row r="1831" spans="2:5">
      <c r="B1831" s="252">
        <v>45811</v>
      </c>
      <c r="C1831" s="251">
        <v>703.85</v>
      </c>
      <c r="D1831" s="251">
        <f t="shared" si="31"/>
        <v>3.3353865106251925</v>
      </c>
      <c r="E1831" s="251">
        <v>-1.0890949971894322E-2</v>
      </c>
    </row>
    <row r="1832" spans="2:5">
      <c r="B1832" s="252">
        <v>43791</v>
      </c>
      <c r="C1832" s="251">
        <v>162.35</v>
      </c>
      <c r="D1832" s="251">
        <f t="shared" si="31"/>
        <v>-0.77185216413715563</v>
      </c>
      <c r="E1832" s="251">
        <v>-1.0965580261955597E-2</v>
      </c>
    </row>
    <row r="1833" spans="2:5">
      <c r="B1833" s="252">
        <v>45810</v>
      </c>
      <c r="C1833" s="251">
        <v>711.6</v>
      </c>
      <c r="D1833" s="251">
        <f t="shared" si="31"/>
        <v>0.42762563948239551</v>
      </c>
      <c r="E1833" s="251">
        <v>-1.0979847116052783E-2</v>
      </c>
    </row>
    <row r="1834" spans="2:5">
      <c r="B1834" s="252">
        <v>44608</v>
      </c>
      <c r="C1834" s="251">
        <v>498.45</v>
      </c>
      <c r="D1834" s="251">
        <f t="shared" si="31"/>
        <v>8.2810157930180539E-2</v>
      </c>
      <c r="E1834" s="251">
        <v>-1.1011904761904785E-2</v>
      </c>
    </row>
    <row r="1835" spans="2:5">
      <c r="B1835" s="252">
        <v>44806</v>
      </c>
      <c r="C1835" s="251">
        <v>460.33</v>
      </c>
      <c r="D1835" s="251">
        <f t="shared" si="31"/>
        <v>0.44780625884573044</v>
      </c>
      <c r="E1835" s="251">
        <v>-1.1021355218493524E-2</v>
      </c>
    </row>
    <row r="1836" spans="2:5">
      <c r="B1836" s="252">
        <v>44463</v>
      </c>
      <c r="C1836" s="251">
        <v>317.95</v>
      </c>
      <c r="D1836" s="251">
        <f t="shared" si="31"/>
        <v>-0.18390657084188919</v>
      </c>
      <c r="E1836" s="251">
        <v>-1.1041990668740315E-2</v>
      </c>
    </row>
    <row r="1837" spans="2:5">
      <c r="B1837" s="252">
        <v>42348</v>
      </c>
      <c r="C1837" s="251">
        <v>389.6</v>
      </c>
      <c r="D1837" s="251">
        <f t="shared" si="31"/>
        <v>-0.36309689231825537</v>
      </c>
      <c r="E1837" s="251">
        <v>-1.1042010407412022E-2</v>
      </c>
    </row>
    <row r="1838" spans="2:5">
      <c r="B1838" s="252">
        <v>45203</v>
      </c>
      <c r="C1838" s="251">
        <v>611.71</v>
      </c>
      <c r="D1838" s="251">
        <f t="shared" si="31"/>
        <v>1.052373762791478</v>
      </c>
      <c r="E1838" s="251">
        <v>-1.104213147088293E-2</v>
      </c>
    </row>
    <row r="1839" spans="2:5">
      <c r="B1839" s="252">
        <v>44306</v>
      </c>
      <c r="C1839" s="251">
        <v>298.05</v>
      </c>
      <c r="D1839" s="251">
        <f t="shared" si="31"/>
        <v>-0.70588235294117641</v>
      </c>
      <c r="E1839" s="251">
        <v>-1.1114797611147864E-2</v>
      </c>
    </row>
    <row r="1840" spans="2:5">
      <c r="B1840" s="252">
        <v>45363</v>
      </c>
      <c r="C1840" s="267">
        <v>1013.37</v>
      </c>
      <c r="D1840" s="251">
        <f t="shared" si="31"/>
        <v>1.0334503862747064</v>
      </c>
      <c r="E1840" s="251">
        <v>-1.1191990944927906E-2</v>
      </c>
    </row>
    <row r="1841" spans="2:5">
      <c r="B1841" s="252">
        <v>42606</v>
      </c>
      <c r="C1841" s="251">
        <v>498.35</v>
      </c>
      <c r="D1841" s="251">
        <f t="shared" si="31"/>
        <v>0.16586735290677282</v>
      </c>
      <c r="E1841" s="251">
        <v>-1.1210317460317415E-2</v>
      </c>
    </row>
    <row r="1842" spans="2:5">
      <c r="B1842" s="252">
        <v>42866</v>
      </c>
      <c r="C1842" s="251">
        <v>427.45</v>
      </c>
      <c r="D1842" s="251">
        <f t="shared" si="31"/>
        <v>-0.31005261968557313</v>
      </c>
      <c r="E1842" s="251">
        <v>-1.12190608373815E-2</v>
      </c>
    </row>
    <row r="1843" spans="2:5">
      <c r="B1843" s="252">
        <v>45119</v>
      </c>
      <c r="C1843" s="251">
        <v>619.54</v>
      </c>
      <c r="D1843" s="251">
        <f t="shared" si="31"/>
        <v>0.53370466641911118</v>
      </c>
      <c r="E1843" s="251">
        <v>-1.1219815822653632E-2</v>
      </c>
    </row>
    <row r="1844" spans="2:5">
      <c r="B1844" s="252">
        <v>44690</v>
      </c>
      <c r="C1844" s="251">
        <v>403.95</v>
      </c>
      <c r="D1844" s="251">
        <f t="shared" si="31"/>
        <v>-0.19731743666169899</v>
      </c>
      <c r="E1844" s="251">
        <v>-1.1259331783135535E-2</v>
      </c>
    </row>
    <row r="1845" spans="2:5">
      <c r="B1845" s="252">
        <v>42577</v>
      </c>
      <c r="C1845" s="251">
        <v>503.25</v>
      </c>
      <c r="D1845" s="251">
        <f t="shared" si="31"/>
        <v>0.28020859832103784</v>
      </c>
      <c r="E1845" s="251">
        <v>-1.1296660117878193E-2</v>
      </c>
    </row>
    <row r="1846" spans="2:5">
      <c r="B1846" s="252">
        <v>44734</v>
      </c>
      <c r="C1846" s="251">
        <v>393.1</v>
      </c>
      <c r="D1846" s="251">
        <f t="shared" si="31"/>
        <v>-0.576628971459343</v>
      </c>
      <c r="E1846" s="251">
        <v>-1.1317907444668008E-2</v>
      </c>
    </row>
    <row r="1847" spans="2:5">
      <c r="B1847" s="252">
        <v>45575</v>
      </c>
      <c r="C1847" s="251">
        <v>928.5</v>
      </c>
      <c r="D1847" s="251">
        <f t="shared" si="31"/>
        <v>-1.7085873983739824E-2</v>
      </c>
      <c r="E1847" s="251">
        <v>-1.1340041526912609E-2</v>
      </c>
    </row>
    <row r="1848" spans="2:5">
      <c r="B1848" s="252">
        <v>45440</v>
      </c>
      <c r="C1848" s="251">
        <v>944.64</v>
      </c>
      <c r="D1848" s="251">
        <f t="shared" si="31"/>
        <v>1.1911903333618995E-2</v>
      </c>
      <c r="E1848" s="251">
        <v>-1.1417508241326951E-2</v>
      </c>
    </row>
    <row r="1849" spans="2:5">
      <c r="B1849" s="252">
        <v>45428</v>
      </c>
      <c r="C1849" s="251">
        <v>933.52</v>
      </c>
      <c r="D1849" s="251">
        <f t="shared" si="31"/>
        <v>1.2647258612324113</v>
      </c>
      <c r="E1849" s="251">
        <v>-1.1510075286693002E-2</v>
      </c>
    </row>
    <row r="1850" spans="2:5">
      <c r="B1850" s="252">
        <v>42485</v>
      </c>
      <c r="C1850" s="251">
        <v>412.2</v>
      </c>
      <c r="D1850" s="251">
        <f t="shared" si="31"/>
        <v>0.35726045439578535</v>
      </c>
      <c r="E1850" s="251">
        <v>-1.1510791366906503E-2</v>
      </c>
    </row>
    <row r="1851" spans="2:5">
      <c r="B1851" s="252">
        <v>44424</v>
      </c>
      <c r="C1851" s="251">
        <v>303.7</v>
      </c>
      <c r="D1851" s="251">
        <f t="shared" si="31"/>
        <v>-0.40021724103880718</v>
      </c>
      <c r="E1851" s="251">
        <v>-1.1554109031733154E-2</v>
      </c>
    </row>
    <row r="1852" spans="2:5">
      <c r="B1852" s="252">
        <v>42681</v>
      </c>
      <c r="C1852" s="251">
        <v>506.35</v>
      </c>
      <c r="D1852" s="251">
        <f t="shared" si="31"/>
        <v>1.7737606135305395</v>
      </c>
      <c r="E1852" s="251">
        <v>-1.1614288502830241E-2</v>
      </c>
    </row>
    <row r="1853" spans="2:5">
      <c r="B1853" s="252">
        <v>43838</v>
      </c>
      <c r="C1853" s="251">
        <v>182.55</v>
      </c>
      <c r="D1853" s="251">
        <f t="shared" si="31"/>
        <v>-6.3846153846153789E-2</v>
      </c>
      <c r="E1853" s="251">
        <v>-1.164049810503507E-2</v>
      </c>
    </row>
    <row r="1854" spans="2:5">
      <c r="B1854" s="252">
        <v>43850</v>
      </c>
      <c r="C1854" s="251">
        <v>195</v>
      </c>
      <c r="D1854" s="251">
        <f t="shared" si="31"/>
        <v>-0.58488557743480574</v>
      </c>
      <c r="E1854" s="251">
        <v>-1.1657374556512981E-2</v>
      </c>
    </row>
    <row r="1855" spans="2:5">
      <c r="B1855" s="252">
        <v>45037</v>
      </c>
      <c r="C1855" s="251">
        <v>469.75</v>
      </c>
      <c r="D1855" s="251">
        <f t="shared" si="31"/>
        <v>0.59480563571549816</v>
      </c>
      <c r="E1855" s="251">
        <v>-1.1739212757452685E-2</v>
      </c>
    </row>
    <row r="1856" spans="2:5">
      <c r="B1856" s="252">
        <v>44308</v>
      </c>
      <c r="C1856" s="251">
        <v>294.55</v>
      </c>
      <c r="D1856" s="251">
        <f t="shared" si="31"/>
        <v>-0.34277171608987661</v>
      </c>
      <c r="E1856" s="251">
        <v>-1.1742996141586982E-2</v>
      </c>
    </row>
    <row r="1857" spans="2:5">
      <c r="B1857" s="252">
        <v>44767</v>
      </c>
      <c r="C1857" s="251">
        <v>448.17</v>
      </c>
      <c r="D1857" s="251">
        <f t="shared" si="31"/>
        <v>-4.7257653061224411E-2</v>
      </c>
      <c r="E1857" s="251">
        <v>-1.1753031973539104E-2</v>
      </c>
    </row>
    <row r="1858" spans="2:5">
      <c r="B1858" s="252">
        <v>44560</v>
      </c>
      <c r="C1858" s="251">
        <v>470.4</v>
      </c>
      <c r="D1858" s="251">
        <f t="shared" si="31"/>
        <v>-0.48719066826556195</v>
      </c>
      <c r="E1858" s="251">
        <v>-1.176470588235299E-2</v>
      </c>
    </row>
    <row r="1859" spans="2:5">
      <c r="B1859" s="252">
        <v>45580</v>
      </c>
      <c r="C1859" s="251">
        <v>917.3</v>
      </c>
      <c r="D1859" s="251">
        <f t="shared" si="31"/>
        <v>4.1088833194096352</v>
      </c>
      <c r="E1859" s="251">
        <v>-1.1796391058443356E-2</v>
      </c>
    </row>
    <row r="1860" spans="2:5">
      <c r="B1860" s="252">
        <v>43538</v>
      </c>
      <c r="C1860" s="251">
        <v>179.55</v>
      </c>
      <c r="D1860" s="251">
        <f t="shared" si="31"/>
        <v>-0.4475384615384615</v>
      </c>
      <c r="E1860" s="251">
        <v>-1.1832691249311928E-2</v>
      </c>
    </row>
    <row r="1861" spans="2:5">
      <c r="B1861" s="252">
        <v>44238</v>
      </c>
      <c r="C1861" s="251">
        <v>325</v>
      </c>
      <c r="D1861" s="251">
        <f t="shared" si="31"/>
        <v>-0.35509475146343883</v>
      </c>
      <c r="E1861" s="251">
        <v>-1.1857707509881354E-2</v>
      </c>
    </row>
    <row r="1862" spans="2:5">
      <c r="B1862" s="252">
        <v>42604</v>
      </c>
      <c r="C1862" s="251">
        <v>503.95</v>
      </c>
      <c r="D1862" s="251">
        <f t="shared" si="31"/>
        <v>0.33267222001851121</v>
      </c>
      <c r="E1862" s="251">
        <v>-1.1862745098039237E-2</v>
      </c>
    </row>
    <row r="1863" spans="2:5">
      <c r="B1863" s="252">
        <v>42985</v>
      </c>
      <c r="C1863" s="251">
        <v>378.15</v>
      </c>
      <c r="D1863" s="251">
        <f t="shared" si="31"/>
        <v>0.12645218945487038</v>
      </c>
      <c r="E1863" s="251">
        <v>-1.188920825712049E-2</v>
      </c>
    </row>
    <row r="1864" spans="2:5">
      <c r="B1864" s="252">
        <v>43178</v>
      </c>
      <c r="C1864" s="251">
        <v>335.7</v>
      </c>
      <c r="D1864" s="251">
        <f t="shared" si="31"/>
        <v>-0.56619499903081993</v>
      </c>
      <c r="E1864" s="251">
        <v>-1.1920529801324537E-2</v>
      </c>
    </row>
    <row r="1865" spans="2:5">
      <c r="B1865" s="252">
        <v>45617</v>
      </c>
      <c r="C1865" s="251">
        <v>773.85</v>
      </c>
      <c r="D1865" s="251">
        <f t="shared" si="31"/>
        <v>0.56459765467044076</v>
      </c>
      <c r="E1865" s="251">
        <v>-1.193820224719104E-2</v>
      </c>
    </row>
    <row r="1866" spans="2:5">
      <c r="B1866" s="252">
        <v>44599</v>
      </c>
      <c r="C1866" s="251">
        <v>494.6</v>
      </c>
      <c r="D1866" s="251">
        <f t="shared" ref="D1866:D1929" si="32">(C1866-C1867)/C1867</f>
        <v>0.53961089494163428</v>
      </c>
      <c r="E1866" s="251">
        <v>-1.1985617259288853E-2</v>
      </c>
    </row>
    <row r="1867" spans="2:5">
      <c r="B1867" s="252">
        <v>44263</v>
      </c>
      <c r="C1867" s="251">
        <v>321.25</v>
      </c>
      <c r="D1867" s="251">
        <f t="shared" si="32"/>
        <v>-0.3087681549220011</v>
      </c>
      <c r="E1867" s="251">
        <v>-1.1994464093495241E-2</v>
      </c>
    </row>
    <row r="1868" spans="2:5">
      <c r="B1868" s="252">
        <v>42821</v>
      </c>
      <c r="C1868" s="251">
        <v>464.75</v>
      </c>
      <c r="D1868" s="251">
        <f t="shared" si="32"/>
        <v>-5.0367797302819733E-2</v>
      </c>
      <c r="E1868" s="251">
        <v>-1.201105442176866E-2</v>
      </c>
    </row>
    <row r="1869" spans="2:5">
      <c r="B1869" s="252">
        <v>44544</v>
      </c>
      <c r="C1869" s="251">
        <v>489.4</v>
      </c>
      <c r="D1869" s="251">
        <f t="shared" si="32"/>
        <v>0.21756437367831818</v>
      </c>
      <c r="E1869" s="251">
        <v>-1.2011708892702221E-2</v>
      </c>
    </row>
    <row r="1870" spans="2:5">
      <c r="B1870" s="252">
        <v>43082</v>
      </c>
      <c r="C1870" s="251">
        <v>401.95</v>
      </c>
      <c r="D1870" s="251">
        <f t="shared" si="32"/>
        <v>-9.7309558030901869E-2</v>
      </c>
      <c r="E1870" s="251">
        <v>-1.2043750768096433E-2</v>
      </c>
    </row>
    <row r="1871" spans="2:5">
      <c r="B1871" s="252">
        <v>44958</v>
      </c>
      <c r="C1871" s="251">
        <v>445.28</v>
      </c>
      <c r="D1871" s="251">
        <f t="shared" si="32"/>
        <v>3.5321119592875316</v>
      </c>
      <c r="E1871" s="251">
        <v>-1.2047658139380106E-2</v>
      </c>
    </row>
    <row r="1872" spans="2:5">
      <c r="B1872" s="252">
        <v>44012</v>
      </c>
      <c r="C1872" s="251">
        <v>98.25</v>
      </c>
      <c r="D1872" s="251">
        <f t="shared" si="32"/>
        <v>-0.66056313698393498</v>
      </c>
      <c r="E1872" s="251">
        <v>-1.2066365007541506E-2</v>
      </c>
    </row>
    <row r="1873" spans="2:5">
      <c r="B1873" s="252">
        <v>44320</v>
      </c>
      <c r="C1873" s="251">
        <v>289.45</v>
      </c>
      <c r="D1873" s="251">
        <f t="shared" si="32"/>
        <v>-8.8490001574555263E-2</v>
      </c>
      <c r="E1873" s="251">
        <v>-1.2116040955631438E-2</v>
      </c>
    </row>
    <row r="1874" spans="2:5">
      <c r="B1874" s="252">
        <v>44267</v>
      </c>
      <c r="C1874" s="251">
        <v>317.55</v>
      </c>
      <c r="D1874" s="251">
        <f t="shared" si="32"/>
        <v>4.0976889034584491E-2</v>
      </c>
      <c r="E1874" s="251">
        <v>-1.2132524498366706E-2</v>
      </c>
    </row>
    <row r="1875" spans="2:5">
      <c r="B1875" s="252">
        <v>43270</v>
      </c>
      <c r="C1875" s="251">
        <v>305.05</v>
      </c>
      <c r="D1875" s="251">
        <f t="shared" si="32"/>
        <v>-0.36593223861982954</v>
      </c>
      <c r="E1875" s="251">
        <v>-1.2143782383419689E-2</v>
      </c>
    </row>
    <row r="1876" spans="2:5">
      <c r="B1876" s="252">
        <v>42738</v>
      </c>
      <c r="C1876" s="251">
        <v>481.1</v>
      </c>
      <c r="D1876" s="251">
        <f t="shared" si="32"/>
        <v>8.4291187739463674E-2</v>
      </c>
      <c r="E1876" s="251">
        <v>-1.2216404886561932E-2</v>
      </c>
    </row>
    <row r="1877" spans="2:5">
      <c r="B1877" s="252">
        <v>42843</v>
      </c>
      <c r="C1877" s="251">
        <v>443.7</v>
      </c>
      <c r="D1877" s="251">
        <f t="shared" si="32"/>
        <v>1.561038961038961</v>
      </c>
      <c r="E1877" s="251">
        <v>-1.2243989314336599E-2</v>
      </c>
    </row>
    <row r="1878" spans="2:5">
      <c r="B1878" s="252">
        <v>43490</v>
      </c>
      <c r="C1878" s="251">
        <v>173.25</v>
      </c>
      <c r="D1878" s="251">
        <f t="shared" si="32"/>
        <v>-0.60548787430263007</v>
      </c>
      <c r="E1878" s="251">
        <v>-1.2257696693272552E-2</v>
      </c>
    </row>
    <row r="1879" spans="2:5">
      <c r="B1879" s="252">
        <v>44714</v>
      </c>
      <c r="C1879" s="251">
        <v>439.15</v>
      </c>
      <c r="D1879" s="251">
        <f t="shared" si="32"/>
        <v>0.16100462656972894</v>
      </c>
      <c r="E1879" s="251">
        <v>-1.2258209626630781E-2</v>
      </c>
    </row>
    <row r="1880" spans="2:5">
      <c r="B1880" s="252">
        <v>42356</v>
      </c>
      <c r="C1880" s="251">
        <v>378.25</v>
      </c>
      <c r="D1880" s="251">
        <f t="shared" si="32"/>
        <v>-0.12825535837750629</v>
      </c>
      <c r="E1880" s="251">
        <v>-1.2273142707925287E-2</v>
      </c>
    </row>
    <row r="1881" spans="2:5">
      <c r="B1881" s="252">
        <v>43103</v>
      </c>
      <c r="C1881" s="251">
        <v>433.9</v>
      </c>
      <c r="D1881" s="251">
        <f t="shared" si="32"/>
        <v>5.3666828557552122E-2</v>
      </c>
      <c r="E1881" s="251">
        <v>-1.2292283177782914E-2</v>
      </c>
    </row>
    <row r="1882" spans="2:5">
      <c r="B1882" s="252">
        <v>44742</v>
      </c>
      <c r="C1882" s="251">
        <v>411.8</v>
      </c>
      <c r="D1882" s="251">
        <f t="shared" si="32"/>
        <v>1.4526503871351995</v>
      </c>
      <c r="E1882" s="251">
        <v>-1.2351600911380206E-2</v>
      </c>
    </row>
    <row r="1883" spans="2:5">
      <c r="B1883" s="252">
        <v>43663</v>
      </c>
      <c r="C1883" s="251">
        <v>167.9</v>
      </c>
      <c r="D1883" s="251">
        <f t="shared" si="32"/>
        <v>-0.75978253093926607</v>
      </c>
      <c r="E1883" s="251">
        <v>-1.2352941176470554E-2</v>
      </c>
    </row>
    <row r="1884" spans="2:5">
      <c r="B1884" s="252">
        <v>45791</v>
      </c>
      <c r="C1884" s="251">
        <v>698.95</v>
      </c>
      <c r="D1884" s="251">
        <f t="shared" si="32"/>
        <v>0.53936791102301518</v>
      </c>
      <c r="E1884" s="251">
        <v>-1.2363996043521265E-2</v>
      </c>
    </row>
    <row r="1885" spans="2:5">
      <c r="B1885" s="252">
        <v>44620</v>
      </c>
      <c r="C1885" s="251">
        <v>454.05</v>
      </c>
      <c r="D1885" s="251">
        <f t="shared" si="32"/>
        <v>-0.14892221180880971</v>
      </c>
      <c r="E1885" s="251">
        <v>-1.2398042414355603E-2</v>
      </c>
    </row>
    <row r="1886" spans="2:5">
      <c r="B1886" s="252">
        <v>42683</v>
      </c>
      <c r="C1886" s="251">
        <v>533.5</v>
      </c>
      <c r="D1886" s="251">
        <f t="shared" si="32"/>
        <v>0.38625438482525654</v>
      </c>
      <c r="E1886" s="251">
        <v>-1.2402813772676869E-2</v>
      </c>
    </row>
    <row r="1887" spans="2:5">
      <c r="B1887" s="252">
        <v>42508</v>
      </c>
      <c r="C1887" s="251">
        <v>384.85</v>
      </c>
      <c r="D1887" s="251">
        <f t="shared" si="32"/>
        <v>0.16904617253948978</v>
      </c>
      <c r="E1887" s="251">
        <v>-1.2445470875031988E-2</v>
      </c>
    </row>
    <row r="1888" spans="2:5">
      <c r="B1888" s="252">
        <v>44243</v>
      </c>
      <c r="C1888" s="251">
        <v>329.2</v>
      </c>
      <c r="D1888" s="251">
        <f t="shared" si="32"/>
        <v>-0.27672195979347469</v>
      </c>
      <c r="E1888" s="251">
        <v>-1.2449377531123546E-2</v>
      </c>
    </row>
    <row r="1889" spans="2:5">
      <c r="B1889" s="252">
        <v>42558</v>
      </c>
      <c r="C1889" s="251">
        <v>455.15</v>
      </c>
      <c r="D1889" s="251">
        <f t="shared" si="32"/>
        <v>2.7215862632869992</v>
      </c>
      <c r="E1889" s="251">
        <v>-1.2475591234541115E-2</v>
      </c>
    </row>
    <row r="1890" spans="2:5">
      <c r="B1890" s="252">
        <v>44054</v>
      </c>
      <c r="C1890" s="251">
        <v>122.3</v>
      </c>
      <c r="D1890" s="251">
        <f t="shared" si="32"/>
        <v>-0.71320029078629554</v>
      </c>
      <c r="E1890" s="251">
        <v>-1.2515139281388754E-2</v>
      </c>
    </row>
    <row r="1891" spans="2:5">
      <c r="B1891" s="252">
        <v>44981</v>
      </c>
      <c r="C1891" s="251">
        <v>426.43</v>
      </c>
      <c r="D1891" s="251">
        <f t="shared" si="32"/>
        <v>0.12425520696018981</v>
      </c>
      <c r="E1891" s="251">
        <v>-1.2596383170861597E-2</v>
      </c>
    </row>
    <row r="1892" spans="2:5">
      <c r="B1892" s="252">
        <v>42975</v>
      </c>
      <c r="C1892" s="251">
        <v>379.3</v>
      </c>
      <c r="D1892" s="251">
        <f t="shared" si="32"/>
        <v>-4.0175406349288994E-3</v>
      </c>
      <c r="E1892" s="251">
        <v>-1.2625276584667359E-2</v>
      </c>
    </row>
    <row r="1893" spans="2:5">
      <c r="B1893" s="252">
        <v>44932</v>
      </c>
      <c r="C1893" s="251">
        <v>380.83</v>
      </c>
      <c r="D1893" s="251">
        <f t="shared" si="32"/>
        <v>-0.29729679859765668</v>
      </c>
      <c r="E1893" s="251">
        <v>-1.2651992429545502E-2</v>
      </c>
    </row>
    <row r="1894" spans="2:5">
      <c r="B1894" s="252">
        <v>42762</v>
      </c>
      <c r="C1894" s="251">
        <v>541.95000000000005</v>
      </c>
      <c r="D1894" s="251">
        <f t="shared" si="32"/>
        <v>4.1589719181342222</v>
      </c>
      <c r="E1894" s="251">
        <v>-1.2661687010384282E-2</v>
      </c>
    </row>
    <row r="1895" spans="2:5">
      <c r="B1895" s="252">
        <v>44032</v>
      </c>
      <c r="C1895" s="251">
        <v>105.05</v>
      </c>
      <c r="D1895" s="251">
        <f t="shared" si="32"/>
        <v>-0.60223400227186674</v>
      </c>
      <c r="E1895" s="251">
        <v>-1.2687969924812109E-2</v>
      </c>
    </row>
    <row r="1896" spans="2:5">
      <c r="B1896" s="252">
        <v>43312</v>
      </c>
      <c r="C1896" s="251">
        <v>264.10000000000002</v>
      </c>
      <c r="D1896" s="251">
        <f t="shared" si="32"/>
        <v>-0.30573080967402722</v>
      </c>
      <c r="E1896" s="251">
        <v>-1.271028037383169E-2</v>
      </c>
    </row>
    <row r="1897" spans="2:5">
      <c r="B1897" s="252">
        <v>42965</v>
      </c>
      <c r="C1897" s="251">
        <v>380.4</v>
      </c>
      <c r="D1897" s="251">
        <f t="shared" si="32"/>
        <v>-7.2376121732344922E-2</v>
      </c>
      <c r="E1897" s="251">
        <v>-1.2717363093693314E-2</v>
      </c>
    </row>
    <row r="1898" spans="2:5">
      <c r="B1898" s="252">
        <v>45000</v>
      </c>
      <c r="C1898" s="251">
        <v>410.08</v>
      </c>
      <c r="D1898" s="251">
        <f t="shared" si="32"/>
        <v>2.1208523592085231</v>
      </c>
      <c r="E1898" s="251">
        <v>-1.2735633290801022E-2</v>
      </c>
    </row>
    <row r="1899" spans="2:5">
      <c r="B1899" s="252">
        <v>44097</v>
      </c>
      <c r="C1899" s="251">
        <v>131.4</v>
      </c>
      <c r="D1899" s="251">
        <f t="shared" si="32"/>
        <v>-0.60898675792292811</v>
      </c>
      <c r="E1899" s="251">
        <v>-1.2772351615326737E-2</v>
      </c>
    </row>
    <row r="1900" spans="2:5">
      <c r="B1900" s="252">
        <v>43222</v>
      </c>
      <c r="C1900" s="251">
        <v>336.05</v>
      </c>
      <c r="D1900" s="251">
        <f t="shared" si="32"/>
        <v>-0.21888801078517969</v>
      </c>
      <c r="E1900" s="251">
        <v>-1.2779083431257245E-2</v>
      </c>
    </row>
    <row r="1901" spans="2:5">
      <c r="B1901" s="252">
        <v>44881</v>
      </c>
      <c r="C1901" s="251">
        <v>430.22</v>
      </c>
      <c r="D1901" s="251">
        <f t="shared" si="32"/>
        <v>5.1162790697680764E-4</v>
      </c>
      <c r="E1901" s="251">
        <v>-1.2804038549793447E-2</v>
      </c>
    </row>
    <row r="1902" spans="2:5">
      <c r="B1902" s="252">
        <v>42954</v>
      </c>
      <c r="C1902" s="251">
        <v>430</v>
      </c>
      <c r="D1902" s="251">
        <f t="shared" si="32"/>
        <v>-0.40065509791623111</v>
      </c>
      <c r="E1902" s="251">
        <v>-1.2855831037649271E-2</v>
      </c>
    </row>
    <row r="1903" spans="2:5">
      <c r="B1903" s="252">
        <v>45799</v>
      </c>
      <c r="C1903" s="251">
        <v>717.45</v>
      </c>
      <c r="D1903" s="251">
        <f t="shared" si="32"/>
        <v>0.80345382333718784</v>
      </c>
      <c r="E1903" s="251">
        <v>-1.2864611997798444E-2</v>
      </c>
    </row>
    <row r="1904" spans="2:5">
      <c r="B1904" s="252">
        <v>44853</v>
      </c>
      <c r="C1904" s="251">
        <v>397.82</v>
      </c>
      <c r="D1904" s="251">
        <f t="shared" si="32"/>
        <v>1.9393023548670994E-3</v>
      </c>
      <c r="E1904" s="251">
        <v>-1.2878092355028407E-2</v>
      </c>
    </row>
    <row r="1905" spans="2:5">
      <c r="B1905" s="252">
        <v>43075</v>
      </c>
      <c r="C1905" s="251">
        <v>397.05</v>
      </c>
      <c r="D1905" s="251">
        <f t="shared" si="32"/>
        <v>-4.5438153624233625E-2</v>
      </c>
      <c r="E1905" s="251">
        <v>-1.292728402734615E-2</v>
      </c>
    </row>
    <row r="1906" spans="2:5">
      <c r="B1906" s="252">
        <v>43067</v>
      </c>
      <c r="C1906" s="251">
        <v>415.95</v>
      </c>
      <c r="D1906" s="251">
        <f t="shared" si="32"/>
        <v>0.27260211106011922</v>
      </c>
      <c r="E1906" s="251">
        <v>-1.2933080208827691E-2</v>
      </c>
    </row>
    <row r="1907" spans="2:5">
      <c r="B1907" s="252">
        <v>43187</v>
      </c>
      <c r="C1907" s="251">
        <v>326.85000000000002</v>
      </c>
      <c r="D1907" s="251">
        <f t="shared" si="32"/>
        <v>-0.18062170970167951</v>
      </c>
      <c r="E1907" s="251">
        <v>-1.2985052091197206E-2</v>
      </c>
    </row>
    <row r="1908" spans="2:5">
      <c r="B1908" s="252">
        <v>43070</v>
      </c>
      <c r="C1908" s="251">
        <v>398.9</v>
      </c>
      <c r="D1908" s="251">
        <f t="shared" si="32"/>
        <v>-4.8334764767630607E-2</v>
      </c>
      <c r="E1908" s="251">
        <v>-1.2990226401088706E-2</v>
      </c>
    </row>
    <row r="1909" spans="2:5">
      <c r="B1909" s="252">
        <v>44987</v>
      </c>
      <c r="C1909" s="251">
        <v>419.16</v>
      </c>
      <c r="D1909" s="251">
        <f t="shared" si="32"/>
        <v>-0.3381858372148101</v>
      </c>
      <c r="E1909" s="251">
        <v>-1.3021262567990705E-2</v>
      </c>
    </row>
    <row r="1910" spans="2:5">
      <c r="B1910" s="252">
        <v>45135</v>
      </c>
      <c r="C1910" s="251">
        <v>633.35</v>
      </c>
      <c r="D1910" s="251">
        <f t="shared" si="32"/>
        <v>1.0978800927459427</v>
      </c>
      <c r="E1910" s="251">
        <v>-1.3043071744686163E-2</v>
      </c>
    </row>
    <row r="1911" spans="2:5">
      <c r="B1911" s="252">
        <v>44315</v>
      </c>
      <c r="C1911" s="251">
        <v>301.89999999999998</v>
      </c>
      <c r="D1911" s="251">
        <f t="shared" si="32"/>
        <v>2.6172671651937419E-2</v>
      </c>
      <c r="E1911" s="251">
        <v>-1.3076168682576007E-2</v>
      </c>
    </row>
    <row r="1912" spans="2:5">
      <c r="B1912" s="252">
        <v>44418</v>
      </c>
      <c r="C1912" s="251">
        <v>294.2</v>
      </c>
      <c r="D1912" s="251">
        <f t="shared" si="32"/>
        <v>-0.19275620798463439</v>
      </c>
      <c r="E1912" s="251">
        <v>-1.3082858101308398E-2</v>
      </c>
    </row>
    <row r="1913" spans="2:5">
      <c r="B1913" s="252">
        <v>43152</v>
      </c>
      <c r="C1913" s="251">
        <v>364.45</v>
      </c>
      <c r="D1913" s="251">
        <f t="shared" si="32"/>
        <v>-0.62117353567901867</v>
      </c>
      <c r="E1913" s="251">
        <v>-1.3132954237747151E-2</v>
      </c>
    </row>
    <row r="1914" spans="2:5">
      <c r="B1914" s="252">
        <v>45553</v>
      </c>
      <c r="C1914" s="251">
        <v>962.05</v>
      </c>
      <c r="D1914" s="251">
        <f t="shared" si="32"/>
        <v>6.1741237882177478</v>
      </c>
      <c r="E1914" s="251">
        <v>-1.3231447766552223E-2</v>
      </c>
    </row>
    <row r="1915" spans="2:5">
      <c r="B1915" s="252">
        <v>44117</v>
      </c>
      <c r="C1915" s="251">
        <v>134.1</v>
      </c>
      <c r="D1915" s="251">
        <f t="shared" si="32"/>
        <v>-0.81020451489632717</v>
      </c>
      <c r="E1915" s="251">
        <v>-1.3245033112582865E-2</v>
      </c>
    </row>
    <row r="1916" spans="2:5">
      <c r="B1916" s="252">
        <v>45689</v>
      </c>
      <c r="C1916" s="251">
        <v>706.55</v>
      </c>
      <c r="D1916" s="251">
        <f t="shared" si="32"/>
        <v>0.90573162508428851</v>
      </c>
      <c r="E1916" s="251">
        <v>-1.3336126239352141E-2</v>
      </c>
    </row>
    <row r="1917" spans="2:5">
      <c r="B1917" s="252">
        <v>43147</v>
      </c>
      <c r="C1917" s="251">
        <v>370.75</v>
      </c>
      <c r="D1917" s="251">
        <f t="shared" si="32"/>
        <v>-0.13366047435448064</v>
      </c>
      <c r="E1917" s="251">
        <v>-1.3437998935604075E-2</v>
      </c>
    </row>
    <row r="1918" spans="2:5">
      <c r="B1918" s="252">
        <v>44641</v>
      </c>
      <c r="C1918" s="251">
        <v>427.95</v>
      </c>
      <c r="D1918" s="251">
        <f t="shared" si="32"/>
        <v>-0.13221129473790935</v>
      </c>
      <c r="E1918" s="251">
        <v>-1.3485477178423289E-2</v>
      </c>
    </row>
    <row r="1919" spans="2:5">
      <c r="B1919" s="252">
        <v>44610</v>
      </c>
      <c r="C1919" s="251">
        <v>493.15</v>
      </c>
      <c r="D1919" s="251">
        <f t="shared" si="32"/>
        <v>0.18725473674073712</v>
      </c>
      <c r="E1919" s="251">
        <v>-1.3601360136013624E-2</v>
      </c>
    </row>
    <row r="1920" spans="2:5">
      <c r="B1920" s="252">
        <v>44999</v>
      </c>
      <c r="C1920" s="251">
        <v>415.37</v>
      </c>
      <c r="D1920" s="251">
        <f t="shared" si="32"/>
        <v>-0.57395763885327455</v>
      </c>
      <c r="E1920" s="251">
        <v>-1.3607219187841411E-2</v>
      </c>
    </row>
    <row r="1921" spans="2:5">
      <c r="B1921" s="252">
        <v>45552</v>
      </c>
      <c r="C1921" s="251">
        <v>974.95</v>
      </c>
      <c r="D1921" s="251">
        <f t="shared" si="32"/>
        <v>3.2087200518022883</v>
      </c>
      <c r="E1921" s="251">
        <v>-1.3607851072440239E-2</v>
      </c>
    </row>
    <row r="1922" spans="2:5">
      <c r="B1922" s="252">
        <v>43578</v>
      </c>
      <c r="C1922" s="251">
        <v>231.65</v>
      </c>
      <c r="D1922" s="251">
        <f t="shared" si="32"/>
        <v>-0.43313348831518411</v>
      </c>
      <c r="E1922" s="251">
        <v>-1.3625718543751282E-2</v>
      </c>
    </row>
    <row r="1923" spans="2:5">
      <c r="B1923" s="252">
        <v>43054</v>
      </c>
      <c r="C1923" s="251">
        <v>408.65</v>
      </c>
      <c r="D1923" s="251">
        <f t="shared" si="32"/>
        <v>-0.19380930773935176</v>
      </c>
      <c r="E1923" s="251">
        <v>-1.3637460777214661E-2</v>
      </c>
    </row>
    <row r="1924" spans="2:5">
      <c r="B1924" s="252">
        <v>45064</v>
      </c>
      <c r="C1924" s="251">
        <v>506.89</v>
      </c>
      <c r="D1924" s="251">
        <f t="shared" si="32"/>
        <v>1.6524856096284666</v>
      </c>
      <c r="E1924" s="251">
        <v>-1.3659979373820285E-2</v>
      </c>
    </row>
    <row r="1925" spans="2:5">
      <c r="B1925" s="252">
        <v>43833</v>
      </c>
      <c r="C1925" s="251">
        <v>191.1</v>
      </c>
      <c r="D1925" s="251">
        <f t="shared" si="32"/>
        <v>0.13919523099850967</v>
      </c>
      <c r="E1925" s="251">
        <v>-1.367741935483874E-2</v>
      </c>
    </row>
    <row r="1926" spans="2:5">
      <c r="B1926" s="252">
        <v>43788</v>
      </c>
      <c r="C1926" s="251">
        <v>167.75</v>
      </c>
      <c r="D1926" s="251">
        <f t="shared" si="32"/>
        <v>-0.56395726651243794</v>
      </c>
      <c r="E1926" s="251">
        <v>-1.381540270429156E-2</v>
      </c>
    </row>
    <row r="1927" spans="2:5">
      <c r="B1927" s="252">
        <v>44924</v>
      </c>
      <c r="C1927" s="251">
        <v>384.71</v>
      </c>
      <c r="D1927" s="251">
        <f t="shared" si="32"/>
        <v>-0.21270848255397523</v>
      </c>
      <c r="E1927" s="251">
        <v>-1.3816970007690445E-2</v>
      </c>
    </row>
    <row r="1928" spans="2:5">
      <c r="B1928" s="252">
        <v>44524</v>
      </c>
      <c r="C1928" s="251">
        <v>488.65</v>
      </c>
      <c r="D1928" s="251">
        <f t="shared" si="32"/>
        <v>-0.5463912740775122</v>
      </c>
      <c r="E1928" s="251">
        <v>-1.3824419778002065E-2</v>
      </c>
    </row>
    <row r="1929" spans="2:5">
      <c r="B1929" s="252">
        <v>45531</v>
      </c>
      <c r="C1929" s="267">
        <v>1077.25</v>
      </c>
      <c r="D1929" s="251">
        <f t="shared" si="32"/>
        <v>1.6934616827103388</v>
      </c>
      <c r="E1929" s="251">
        <v>-1.3868546320029375E-2</v>
      </c>
    </row>
    <row r="1930" spans="2:5">
      <c r="B1930" s="252">
        <v>42342</v>
      </c>
      <c r="C1930" s="251">
        <v>399.95</v>
      </c>
      <c r="D1930" s="251">
        <f t="shared" ref="D1930:D1993" si="33">(C1930-C1931)/C1931</f>
        <v>-4.1691625733796651E-2</v>
      </c>
      <c r="E1930" s="251">
        <v>-1.3929980276134206E-2</v>
      </c>
    </row>
    <row r="1931" spans="2:5">
      <c r="B1931" s="252">
        <v>42339</v>
      </c>
      <c r="C1931" s="251">
        <v>417.35</v>
      </c>
      <c r="D1931" s="251">
        <f t="shared" si="33"/>
        <v>5.7353543629659861E-3</v>
      </c>
      <c r="E1931" s="251">
        <v>-1.3939751919669173E-2</v>
      </c>
    </row>
    <row r="1932" spans="2:5">
      <c r="B1932" s="252">
        <v>44868</v>
      </c>
      <c r="C1932" s="251">
        <v>414.97</v>
      </c>
      <c r="D1932" s="251">
        <f t="shared" si="33"/>
        <v>1.1005821311060491</v>
      </c>
      <c r="E1932" s="251">
        <v>-1.3971723892123073E-2</v>
      </c>
    </row>
    <row r="1933" spans="2:5">
      <c r="B1933" s="252">
        <v>43846</v>
      </c>
      <c r="C1933" s="251">
        <v>197.55</v>
      </c>
      <c r="D1933" s="251">
        <f t="shared" si="33"/>
        <v>-0.80446014966148005</v>
      </c>
      <c r="E1933" s="251">
        <v>-1.397554280009974E-2</v>
      </c>
    </row>
    <row r="1934" spans="2:5">
      <c r="B1934" s="252">
        <v>45415</v>
      </c>
      <c r="C1934" s="267">
        <v>1010.28</v>
      </c>
      <c r="D1934" s="251">
        <f t="shared" si="33"/>
        <v>4.8443337484433323E-2</v>
      </c>
      <c r="E1934" s="251">
        <v>-1.4014678326046344E-2</v>
      </c>
    </row>
    <row r="1935" spans="2:5">
      <c r="B1935" s="252">
        <v>45560</v>
      </c>
      <c r="C1935" s="251">
        <v>963.6</v>
      </c>
      <c r="D1935" s="251">
        <f t="shared" si="33"/>
        <v>1.5178991377057751</v>
      </c>
      <c r="E1935" s="251">
        <v>-1.4018213445206111E-2</v>
      </c>
    </row>
    <row r="1936" spans="2:5">
      <c r="B1936" s="252">
        <v>42984</v>
      </c>
      <c r="C1936" s="251">
        <v>382.7</v>
      </c>
      <c r="D1936" s="251">
        <f t="shared" si="33"/>
        <v>8.3368719037508809E-2</v>
      </c>
      <c r="E1936" s="251">
        <v>-1.4040963545021226E-2</v>
      </c>
    </row>
    <row r="1937" spans="2:5">
      <c r="B1937" s="252">
        <v>43200</v>
      </c>
      <c r="C1937" s="251">
        <v>353.25</v>
      </c>
      <c r="D1937" s="251">
        <f t="shared" si="33"/>
        <v>2.1695827725437415</v>
      </c>
      <c r="E1937" s="251">
        <v>-1.4094334356684375E-2</v>
      </c>
    </row>
    <row r="1938" spans="2:5">
      <c r="B1938" s="252">
        <v>44047</v>
      </c>
      <c r="C1938" s="251">
        <v>111.45</v>
      </c>
      <c r="D1938" s="251">
        <f t="shared" si="33"/>
        <v>-0.75100536193029499</v>
      </c>
      <c r="E1938" s="251">
        <v>-1.4153029632905744E-2</v>
      </c>
    </row>
    <row r="1939" spans="2:5">
      <c r="B1939" s="252">
        <v>44622</v>
      </c>
      <c r="C1939" s="251">
        <v>447.6</v>
      </c>
      <c r="D1939" s="251">
        <f t="shared" si="33"/>
        <v>8.9104092656576969E-2</v>
      </c>
      <c r="E1939" s="251">
        <v>-1.4205483977535488E-2</v>
      </c>
    </row>
    <row r="1940" spans="2:5">
      <c r="B1940" s="252">
        <v>44938</v>
      </c>
      <c r="C1940" s="251">
        <v>410.98</v>
      </c>
      <c r="D1940" s="251">
        <f t="shared" si="33"/>
        <v>1.4311150547175391</v>
      </c>
      <c r="E1940" s="251">
        <v>-1.422369336307598E-2</v>
      </c>
    </row>
    <row r="1941" spans="2:5">
      <c r="B1941" s="252">
        <v>43777</v>
      </c>
      <c r="C1941" s="251">
        <v>169.05</v>
      </c>
      <c r="D1941" s="251">
        <f t="shared" si="33"/>
        <v>-0.66421690336676931</v>
      </c>
      <c r="E1941" s="251">
        <v>-1.4285714285714219E-2</v>
      </c>
    </row>
    <row r="1942" spans="2:5">
      <c r="B1942" s="252">
        <v>44511</v>
      </c>
      <c r="C1942" s="251">
        <v>503.45</v>
      </c>
      <c r="D1942" s="251">
        <f t="shared" si="33"/>
        <v>0.121719174724834</v>
      </c>
      <c r="E1942" s="251">
        <v>-1.4292706803720042E-2</v>
      </c>
    </row>
    <row r="1943" spans="2:5">
      <c r="B1943" s="252">
        <v>44818</v>
      </c>
      <c r="C1943" s="251">
        <v>448.82</v>
      </c>
      <c r="D1943" s="251">
        <f t="shared" si="33"/>
        <v>5.1223796697505576E-2</v>
      </c>
      <c r="E1943" s="251">
        <v>-1.4427194273040676E-2</v>
      </c>
    </row>
    <row r="1944" spans="2:5">
      <c r="B1944" s="252">
        <v>43027</v>
      </c>
      <c r="C1944" s="251">
        <v>426.95</v>
      </c>
      <c r="D1944" s="251">
        <f t="shared" si="33"/>
        <v>0.20267605633802813</v>
      </c>
      <c r="E1944" s="251">
        <v>-1.4427516158818099E-2</v>
      </c>
    </row>
    <row r="1945" spans="2:5">
      <c r="B1945" s="252">
        <v>42381</v>
      </c>
      <c r="C1945" s="251">
        <v>355</v>
      </c>
      <c r="D1945" s="251">
        <f t="shared" si="33"/>
        <v>0.97003329633740298</v>
      </c>
      <c r="E1945" s="251">
        <v>-1.4436424208772872E-2</v>
      </c>
    </row>
    <row r="1946" spans="2:5">
      <c r="B1946" s="252">
        <v>43544</v>
      </c>
      <c r="C1946" s="251">
        <v>180.2</v>
      </c>
      <c r="D1946" s="251">
        <f t="shared" si="33"/>
        <v>-0.67704935660776377</v>
      </c>
      <c r="E1946" s="251">
        <v>-1.4492753623188437E-2</v>
      </c>
    </row>
    <row r="1947" spans="2:5">
      <c r="B1947" s="252">
        <v>45085</v>
      </c>
      <c r="C1947" s="251">
        <v>557.98</v>
      </c>
      <c r="D1947" s="251">
        <f t="shared" si="33"/>
        <v>-0.22384198080400608</v>
      </c>
      <c r="E1947" s="251">
        <v>-1.4517838219710397E-2</v>
      </c>
    </row>
    <row r="1948" spans="2:5">
      <c r="B1948" s="252">
        <v>45797</v>
      </c>
      <c r="C1948" s="251">
        <v>718.9</v>
      </c>
      <c r="D1948" s="251">
        <f t="shared" si="33"/>
        <v>3.165121668597914</v>
      </c>
      <c r="E1948" s="251">
        <v>-1.453050034270051E-2</v>
      </c>
    </row>
    <row r="1949" spans="2:5">
      <c r="B1949" s="252">
        <v>43616</v>
      </c>
      <c r="C1949" s="251">
        <v>172.6</v>
      </c>
      <c r="D1949" s="251">
        <f t="shared" si="33"/>
        <v>-0.61601779755283648</v>
      </c>
      <c r="E1949" s="251">
        <v>-1.455894947188131E-2</v>
      </c>
    </row>
    <row r="1950" spans="2:5">
      <c r="B1950" s="252">
        <v>44658</v>
      </c>
      <c r="C1950" s="251">
        <v>449.5</v>
      </c>
      <c r="D1950" s="251">
        <f t="shared" si="33"/>
        <v>0.34641305975737596</v>
      </c>
      <c r="E1950" s="251">
        <v>-1.4578537761701146E-2</v>
      </c>
    </row>
    <row r="1951" spans="2:5">
      <c r="B1951" s="252">
        <v>43180</v>
      </c>
      <c r="C1951" s="251">
        <v>333.85</v>
      </c>
      <c r="D1951" s="251">
        <f t="shared" si="33"/>
        <v>0.13806033748082494</v>
      </c>
      <c r="E1951" s="251">
        <v>-1.4610389610389577E-2</v>
      </c>
    </row>
    <row r="1952" spans="2:5">
      <c r="B1952" s="252">
        <v>44426</v>
      </c>
      <c r="C1952" s="251">
        <v>293.35000000000002</v>
      </c>
      <c r="D1952" s="251">
        <f t="shared" si="33"/>
        <v>-0.25479486853804129</v>
      </c>
      <c r="E1952" s="251">
        <v>-1.4612025529055982E-2</v>
      </c>
    </row>
    <row r="1953" spans="2:5">
      <c r="B1953" s="252">
        <v>43132</v>
      </c>
      <c r="C1953" s="251">
        <v>393.65</v>
      </c>
      <c r="D1953" s="251">
        <f t="shared" si="33"/>
        <v>-0.28615468310816949</v>
      </c>
      <c r="E1953" s="251">
        <v>-1.464330413016276E-2</v>
      </c>
    </row>
    <row r="1954" spans="2:5">
      <c r="B1954" s="252">
        <v>42649</v>
      </c>
      <c r="C1954" s="251">
        <v>551.45000000000005</v>
      </c>
      <c r="D1954" s="251">
        <f t="shared" si="33"/>
        <v>0.69078644795339594</v>
      </c>
      <c r="E1954" s="251">
        <v>-1.4652014652014531E-2</v>
      </c>
    </row>
    <row r="1955" spans="2:5">
      <c r="B1955" s="252">
        <v>44231</v>
      </c>
      <c r="C1955" s="251">
        <v>326.14999999999998</v>
      </c>
      <c r="D1955" s="251">
        <f t="shared" si="33"/>
        <v>-0.25933916203020335</v>
      </c>
      <c r="E1955" s="251">
        <v>-1.4652567975830885E-2</v>
      </c>
    </row>
    <row r="1956" spans="2:5">
      <c r="B1956" s="252">
        <v>42949</v>
      </c>
      <c r="C1956" s="251">
        <v>440.35</v>
      </c>
      <c r="D1956" s="251">
        <f t="shared" si="33"/>
        <v>1.1926647669822588E-2</v>
      </c>
      <c r="E1956" s="251">
        <v>-1.465652271201601E-2</v>
      </c>
    </row>
    <row r="1957" spans="2:5">
      <c r="B1957" s="252">
        <v>44978</v>
      </c>
      <c r="C1957" s="251">
        <v>435.16</v>
      </c>
      <c r="D1957" s="251">
        <f t="shared" si="33"/>
        <v>-0.3156678041799682</v>
      </c>
      <c r="E1957" s="251">
        <v>-1.4672584005071918E-2</v>
      </c>
    </row>
    <row r="1958" spans="2:5">
      <c r="B1958" s="252">
        <v>45224</v>
      </c>
      <c r="C1958" s="251">
        <v>635.89</v>
      </c>
      <c r="D1958" s="251">
        <f t="shared" si="33"/>
        <v>0.41450339228117</v>
      </c>
      <c r="E1958" s="251">
        <v>-1.467398041403252E-2</v>
      </c>
    </row>
    <row r="1959" spans="2:5">
      <c r="B1959" s="252">
        <v>42899</v>
      </c>
      <c r="C1959" s="251">
        <v>449.55</v>
      </c>
      <c r="D1959" s="251">
        <f t="shared" si="33"/>
        <v>3.5567022183317587E-2</v>
      </c>
      <c r="E1959" s="251">
        <v>-1.468493150684929E-2</v>
      </c>
    </row>
    <row r="1960" spans="2:5">
      <c r="B1960" s="252">
        <v>44964</v>
      </c>
      <c r="C1960" s="251">
        <v>434.11</v>
      </c>
      <c r="D1960" s="251">
        <f t="shared" si="33"/>
        <v>1.6143330322192111</v>
      </c>
      <c r="E1960" s="251">
        <v>-1.4819353667392822E-2</v>
      </c>
    </row>
    <row r="1961" spans="2:5">
      <c r="B1961" s="252">
        <v>43468</v>
      </c>
      <c r="C1961" s="251">
        <v>166.05</v>
      </c>
      <c r="D1961" s="251">
        <f t="shared" si="33"/>
        <v>-0.61314446800083866</v>
      </c>
      <c r="E1961" s="251">
        <v>-1.4832393948383269E-2</v>
      </c>
    </row>
    <row r="1962" spans="2:5">
      <c r="B1962" s="252">
        <v>44754</v>
      </c>
      <c r="C1962" s="251">
        <v>429.23</v>
      </c>
      <c r="D1962" s="251">
        <f t="shared" si="33"/>
        <v>1.4520422736361038</v>
      </c>
      <c r="E1962" s="251">
        <v>-1.4872277432236951E-2</v>
      </c>
    </row>
    <row r="1963" spans="2:5">
      <c r="B1963" s="252">
        <v>43770</v>
      </c>
      <c r="C1963" s="251">
        <v>175.05</v>
      </c>
      <c r="D1963" s="251">
        <f t="shared" si="33"/>
        <v>-0.5325767690253671</v>
      </c>
      <c r="E1963" s="251">
        <v>-1.4912774338773086E-2</v>
      </c>
    </row>
    <row r="1964" spans="2:5">
      <c r="B1964" s="252">
        <v>42958</v>
      </c>
      <c r="C1964" s="251">
        <v>374.5</v>
      </c>
      <c r="D1964" s="251">
        <f t="shared" si="33"/>
        <v>1.1182126696832577</v>
      </c>
      <c r="E1964" s="251">
        <v>-1.4992109416096761E-2</v>
      </c>
    </row>
    <row r="1965" spans="2:5">
      <c r="B1965" s="252">
        <v>43418</v>
      </c>
      <c r="C1965" s="251">
        <v>176.8</v>
      </c>
      <c r="D1965" s="251">
        <f t="shared" si="33"/>
        <v>-0.8148303309593633</v>
      </c>
      <c r="E1965" s="251">
        <v>-1.5041782729804951E-2</v>
      </c>
    </row>
    <row r="1966" spans="2:5">
      <c r="B1966" s="252">
        <v>45370</v>
      </c>
      <c r="C1966" s="251">
        <v>954.8</v>
      </c>
      <c r="D1966" s="251">
        <f t="shared" si="33"/>
        <v>0.82911877394636002</v>
      </c>
      <c r="E1966" s="251">
        <v>-1.5121820394859077E-2</v>
      </c>
    </row>
    <row r="1967" spans="2:5">
      <c r="B1967" s="252">
        <v>42670</v>
      </c>
      <c r="C1967" s="251">
        <v>522</v>
      </c>
      <c r="D1967" s="251">
        <f t="shared" si="33"/>
        <v>-0.32584269662921345</v>
      </c>
      <c r="E1967" s="251">
        <v>-1.5187246486180464E-2</v>
      </c>
    </row>
    <row r="1968" spans="2:5">
      <c r="B1968" s="252">
        <v>45610</v>
      </c>
      <c r="C1968" s="251">
        <v>774.3</v>
      </c>
      <c r="D1968" s="251">
        <f t="shared" si="33"/>
        <v>0.8161987193019492</v>
      </c>
      <c r="E1968" s="251">
        <v>-1.5198728139904668E-2</v>
      </c>
    </row>
    <row r="1969" spans="2:5">
      <c r="B1969" s="252">
        <v>44825</v>
      </c>
      <c r="C1969" s="251">
        <v>426.33</v>
      </c>
      <c r="D1969" s="251">
        <f t="shared" si="33"/>
        <v>0.1159010600706713</v>
      </c>
      <c r="E1969" s="251">
        <v>-1.5199464091843664E-2</v>
      </c>
    </row>
    <row r="1970" spans="2:5">
      <c r="B1970" s="252">
        <v>42311</v>
      </c>
      <c r="C1970" s="251">
        <v>382.05</v>
      </c>
      <c r="D1970" s="251">
        <f t="shared" si="33"/>
        <v>-0.45107758620689653</v>
      </c>
      <c r="E1970" s="251">
        <v>-1.5208145379559163E-2</v>
      </c>
    </row>
    <row r="1971" spans="2:5">
      <c r="B1971" s="252">
        <v>45698</v>
      </c>
      <c r="C1971" s="251">
        <v>696</v>
      </c>
      <c r="D1971" s="251">
        <f t="shared" si="33"/>
        <v>0.62833680368715339</v>
      </c>
      <c r="E1971" s="251">
        <v>-1.5210470463388751E-2</v>
      </c>
    </row>
    <row r="1972" spans="2:5">
      <c r="B1972" s="252">
        <v>44900</v>
      </c>
      <c r="C1972" s="251">
        <v>427.43</v>
      </c>
      <c r="D1972" s="251">
        <f t="shared" si="33"/>
        <v>0.62706509326227644</v>
      </c>
      <c r="E1972" s="251">
        <v>-1.5274386029581153E-2</v>
      </c>
    </row>
    <row r="1973" spans="2:5">
      <c r="B1973" s="252">
        <v>44225</v>
      </c>
      <c r="C1973" s="251">
        <v>262.7</v>
      </c>
      <c r="D1973" s="251">
        <f t="shared" si="33"/>
        <v>-0.52022646333668154</v>
      </c>
      <c r="E1973" s="251">
        <v>-1.536731634182917E-2</v>
      </c>
    </row>
    <row r="1974" spans="2:5">
      <c r="B1974" s="252">
        <v>42660</v>
      </c>
      <c r="C1974" s="251">
        <v>547.54999999999995</v>
      </c>
      <c r="D1974" s="251">
        <f t="shared" si="33"/>
        <v>-0.26409515489550434</v>
      </c>
      <c r="E1974" s="251">
        <v>-1.5374932566085358E-2</v>
      </c>
    </row>
    <row r="1975" spans="2:5">
      <c r="B1975" s="252">
        <v>45645</v>
      </c>
      <c r="C1975" s="251">
        <v>744.05</v>
      </c>
      <c r="D1975" s="251">
        <f t="shared" si="33"/>
        <v>0.80726256983240219</v>
      </c>
      <c r="E1975" s="251">
        <v>-1.5416170438004619E-2</v>
      </c>
    </row>
    <row r="1976" spans="2:5">
      <c r="B1976" s="252">
        <v>44634</v>
      </c>
      <c r="C1976" s="251">
        <v>411.7</v>
      </c>
      <c r="D1976" s="251">
        <f t="shared" si="33"/>
        <v>-0.61467546445785948</v>
      </c>
      <c r="E1976" s="251">
        <v>-1.5425086691378665E-2</v>
      </c>
    </row>
    <row r="1977" spans="2:5">
      <c r="B1977" s="252">
        <v>45526</v>
      </c>
      <c r="C1977" s="267">
        <v>1068.45</v>
      </c>
      <c r="D1977" s="251">
        <f t="shared" si="33"/>
        <v>1.6387997036305264</v>
      </c>
      <c r="E1977" s="251">
        <v>-1.543494286767416E-2</v>
      </c>
    </row>
    <row r="1978" spans="2:5">
      <c r="B1978" s="252">
        <v>43005</v>
      </c>
      <c r="C1978" s="251">
        <v>404.9</v>
      </c>
      <c r="D1978" s="251">
        <f t="shared" si="33"/>
        <v>3.8900966183574877</v>
      </c>
      <c r="E1978" s="251">
        <v>-1.544072948328273E-2</v>
      </c>
    </row>
    <row r="1979" spans="2:5">
      <c r="B1979" s="252">
        <v>43973</v>
      </c>
      <c r="C1979" s="251">
        <v>82.8</v>
      </c>
      <c r="D1979" s="251">
        <f t="shared" si="33"/>
        <v>-0.4089935760171306</v>
      </c>
      <c r="E1979" s="251">
        <v>-1.5457788347205674E-2</v>
      </c>
    </row>
    <row r="1980" spans="2:5">
      <c r="B1980" s="252">
        <v>44083</v>
      </c>
      <c r="C1980" s="251">
        <v>140.1</v>
      </c>
      <c r="D1980" s="251">
        <f t="shared" si="33"/>
        <v>-0.77349888446988069</v>
      </c>
      <c r="E1980" s="251">
        <v>-1.5460295151089367E-2</v>
      </c>
    </row>
    <row r="1981" spans="2:5">
      <c r="B1981" s="252">
        <v>45202</v>
      </c>
      <c r="C1981" s="251">
        <v>618.54</v>
      </c>
      <c r="D1981" s="251">
        <f t="shared" si="33"/>
        <v>2.6763150074294204</v>
      </c>
      <c r="E1981" s="251">
        <v>-1.5471301690383006E-2</v>
      </c>
    </row>
    <row r="1982" spans="2:5">
      <c r="B1982" s="252">
        <v>43461</v>
      </c>
      <c r="C1982" s="251">
        <v>168.25</v>
      </c>
      <c r="D1982" s="251">
        <f t="shared" si="33"/>
        <v>-0.67842125382262997</v>
      </c>
      <c r="E1982" s="251">
        <v>-1.5506143943826833E-2</v>
      </c>
    </row>
    <row r="1983" spans="2:5">
      <c r="B1983" s="252">
        <v>42755</v>
      </c>
      <c r="C1983" s="251">
        <v>523.20000000000005</v>
      </c>
      <c r="D1983" s="251">
        <f t="shared" si="33"/>
        <v>1.852003270645953</v>
      </c>
      <c r="E1983" s="251">
        <v>-1.5523567598080721E-2</v>
      </c>
    </row>
    <row r="1984" spans="2:5">
      <c r="B1984" s="252">
        <v>44194</v>
      </c>
      <c r="C1984" s="251">
        <v>183.45</v>
      </c>
      <c r="D1984" s="251">
        <f t="shared" si="33"/>
        <v>-0.57885674931129483</v>
      </c>
      <c r="E1984" s="251">
        <v>-1.5562114301046448E-2</v>
      </c>
    </row>
    <row r="1985" spans="2:5">
      <c r="B1985" s="252">
        <v>42915</v>
      </c>
      <c r="C1985" s="251">
        <v>435.6</v>
      </c>
      <c r="D1985" s="251">
        <f t="shared" si="33"/>
        <v>-0.16004627844195912</v>
      </c>
      <c r="E1985" s="251">
        <v>-1.5593220338982999E-2</v>
      </c>
    </row>
    <row r="1986" spans="2:5">
      <c r="B1986" s="252">
        <v>45070</v>
      </c>
      <c r="C1986" s="251">
        <v>518.6</v>
      </c>
      <c r="D1986" s="251">
        <f t="shared" si="33"/>
        <v>-0.20664545343287224</v>
      </c>
      <c r="E1986" s="251">
        <v>-1.5696471615388962E-2</v>
      </c>
    </row>
    <row r="1987" spans="2:5">
      <c r="B1987" s="252">
        <v>45216</v>
      </c>
      <c r="C1987" s="251">
        <v>653.67999999999995</v>
      </c>
      <c r="D1987" s="251">
        <f t="shared" si="33"/>
        <v>0.88652236652236638</v>
      </c>
      <c r="E1987" s="251">
        <v>-1.5764511029135026E-2</v>
      </c>
    </row>
    <row r="1988" spans="2:5">
      <c r="B1988" s="252">
        <v>43165</v>
      </c>
      <c r="C1988" s="251">
        <v>346.5</v>
      </c>
      <c r="D1988" s="251">
        <f t="shared" si="33"/>
        <v>0.32834962622196651</v>
      </c>
      <c r="E1988" s="251">
        <v>-1.5764806135492148E-2</v>
      </c>
    </row>
    <row r="1989" spans="2:5">
      <c r="B1989" s="252">
        <v>43314</v>
      </c>
      <c r="C1989" s="251">
        <v>260.85000000000002</v>
      </c>
      <c r="D1989" s="251">
        <f t="shared" si="33"/>
        <v>-0.37303208748948441</v>
      </c>
      <c r="E1989" s="251">
        <v>-1.5846066779852813E-2</v>
      </c>
    </row>
    <row r="1990" spans="2:5">
      <c r="B1990" s="252">
        <v>43032</v>
      </c>
      <c r="C1990" s="251">
        <v>416.05</v>
      </c>
      <c r="D1990" s="251">
        <f t="shared" si="33"/>
        <v>-0.24175323491889925</v>
      </c>
      <c r="E1990" s="251">
        <v>-1.584861028976934E-2</v>
      </c>
    </row>
    <row r="1991" spans="2:5">
      <c r="B1991" s="252">
        <v>42629</v>
      </c>
      <c r="C1991" s="251">
        <v>548.70000000000005</v>
      </c>
      <c r="D1991" s="251">
        <f t="shared" si="33"/>
        <v>0.4657406170695873</v>
      </c>
      <c r="E1991" s="251">
        <v>-1.5873015873015713E-2</v>
      </c>
    </row>
    <row r="1992" spans="2:5">
      <c r="B1992" s="252">
        <v>42968</v>
      </c>
      <c r="C1992" s="251">
        <v>374.35</v>
      </c>
      <c r="D1992" s="251">
        <f t="shared" si="33"/>
        <v>-0.10367532623009687</v>
      </c>
      <c r="E1992" s="251">
        <v>-1.5904311251314286E-2</v>
      </c>
    </row>
    <row r="1993" spans="2:5">
      <c r="B1993" s="252">
        <v>42335</v>
      </c>
      <c r="C1993" s="251">
        <v>417.65</v>
      </c>
      <c r="D1993" s="251">
        <f t="shared" si="33"/>
        <v>0.45370692655760514</v>
      </c>
      <c r="E1993" s="251">
        <v>-1.5904806786050895E-2</v>
      </c>
    </row>
    <row r="1994" spans="2:5">
      <c r="B1994" s="252">
        <v>44439</v>
      </c>
      <c r="C1994" s="251">
        <v>287.3</v>
      </c>
      <c r="D1994" s="251">
        <f t="shared" ref="D1994:D2057" si="34">(C1994-C1995)/C1995</f>
        <v>-0.19815796818308679</v>
      </c>
      <c r="E1994" s="251">
        <v>-1.5927384826168789E-2</v>
      </c>
    </row>
    <row r="1995" spans="2:5">
      <c r="B1995" s="252">
        <v>43199</v>
      </c>
      <c r="C1995" s="251">
        <v>358.3</v>
      </c>
      <c r="D1995" s="251">
        <f t="shared" si="34"/>
        <v>-0.54435048006612829</v>
      </c>
      <c r="E1995" s="251">
        <v>-1.592968964570176E-2</v>
      </c>
    </row>
    <row r="1996" spans="2:5">
      <c r="B1996" s="252">
        <v>45638</v>
      </c>
      <c r="C1996" s="251">
        <v>786.35</v>
      </c>
      <c r="D1996" s="251">
        <f t="shared" si="34"/>
        <v>1.0427328224444734</v>
      </c>
      <c r="E1996" s="251">
        <v>-1.5955449881116256E-2</v>
      </c>
    </row>
    <row r="1997" spans="2:5">
      <c r="B1997" s="252">
        <v>42307</v>
      </c>
      <c r="C1997" s="251">
        <v>384.95</v>
      </c>
      <c r="D1997" s="251">
        <f t="shared" si="34"/>
        <v>-0.14350873289576149</v>
      </c>
      <c r="E1997" s="251">
        <v>-1.5976482617586912E-2</v>
      </c>
    </row>
    <row r="1998" spans="2:5">
      <c r="B1998" s="252">
        <v>42795</v>
      </c>
      <c r="C1998" s="251">
        <v>449.45</v>
      </c>
      <c r="D1998" s="251">
        <f t="shared" si="34"/>
        <v>0.1744186046511628</v>
      </c>
      <c r="E1998" s="251">
        <v>-1.5982484948002213E-2</v>
      </c>
    </row>
    <row r="1999" spans="2:5">
      <c r="B1999" s="252">
        <v>44732</v>
      </c>
      <c r="C1999" s="251">
        <v>382.7</v>
      </c>
      <c r="D1999" s="251">
        <f t="shared" si="34"/>
        <v>-0.21834150326797391</v>
      </c>
      <c r="E1999" s="251">
        <v>-1.6068903458028024E-2</v>
      </c>
    </row>
    <row r="2000" spans="2:5">
      <c r="B2000" s="252">
        <v>44565</v>
      </c>
      <c r="C2000" s="251">
        <v>489.6</v>
      </c>
      <c r="D2000" s="251">
        <f t="shared" si="34"/>
        <v>3.0114707087259323</v>
      </c>
      <c r="E2000" s="251">
        <v>-1.607717041800643E-2</v>
      </c>
    </row>
    <row r="2001" spans="2:5">
      <c r="B2001" s="252">
        <v>43686</v>
      </c>
      <c r="C2001" s="251">
        <v>122.05</v>
      </c>
      <c r="D2001" s="251">
        <f t="shared" si="34"/>
        <v>-0.7149230373951837</v>
      </c>
      <c r="E2001" s="251">
        <v>-1.6122531237404272E-2</v>
      </c>
    </row>
    <row r="2002" spans="2:5">
      <c r="B2002" s="252">
        <v>44979</v>
      </c>
      <c r="C2002" s="251">
        <v>428.13</v>
      </c>
      <c r="D2002" s="251">
        <f t="shared" si="34"/>
        <v>-6.3592266809014532E-3</v>
      </c>
      <c r="E2002" s="251">
        <v>-1.6154977479547819E-2</v>
      </c>
    </row>
    <row r="2003" spans="2:5">
      <c r="B2003" s="252">
        <v>44994</v>
      </c>
      <c r="C2003" s="251">
        <v>430.87</v>
      </c>
      <c r="D2003" s="251">
        <f t="shared" si="34"/>
        <v>-0.46347142839353983</v>
      </c>
      <c r="E2003" s="251">
        <v>-1.6166229021577768E-2</v>
      </c>
    </row>
    <row r="2004" spans="2:5">
      <c r="B2004" s="252">
        <v>45308</v>
      </c>
      <c r="C2004" s="251">
        <v>803.07</v>
      </c>
      <c r="D2004" s="251">
        <f t="shared" si="34"/>
        <v>3.9147490820073441</v>
      </c>
      <c r="E2004" s="251">
        <v>-1.6243430965418384E-2</v>
      </c>
    </row>
    <row r="2005" spans="2:5">
      <c r="B2005" s="252">
        <v>43795</v>
      </c>
      <c r="C2005" s="251">
        <v>163.4</v>
      </c>
      <c r="D2005" s="251">
        <f t="shared" si="34"/>
        <v>-0.55688135593220334</v>
      </c>
      <c r="E2005" s="251">
        <v>-1.6255267910896983E-2</v>
      </c>
    </row>
    <row r="2006" spans="2:5">
      <c r="B2006" s="252">
        <v>43140</v>
      </c>
      <c r="C2006" s="251">
        <v>368.75</v>
      </c>
      <c r="D2006" s="251">
        <f t="shared" si="34"/>
        <v>1.1414053426248549</v>
      </c>
      <c r="E2006" s="251">
        <v>-1.6273175937041542E-2</v>
      </c>
    </row>
    <row r="2007" spans="2:5">
      <c r="B2007" s="252">
        <v>43773</v>
      </c>
      <c r="C2007" s="251">
        <v>172.2</v>
      </c>
      <c r="D2007" s="251">
        <f t="shared" si="34"/>
        <v>-0.59400198047814401</v>
      </c>
      <c r="E2007" s="251">
        <v>-1.6281062553556255E-2</v>
      </c>
    </row>
    <row r="2008" spans="2:5">
      <c r="B2008" s="252">
        <v>44823</v>
      </c>
      <c r="C2008" s="251">
        <v>424.14</v>
      </c>
      <c r="D2008" s="251">
        <f t="shared" si="34"/>
        <v>-8.6987407168227365E-2</v>
      </c>
      <c r="E2008" s="251">
        <v>-1.6304473873414268E-2</v>
      </c>
    </row>
    <row r="2009" spans="2:5">
      <c r="B2009" s="252">
        <v>42837</v>
      </c>
      <c r="C2009" s="251">
        <v>464.55</v>
      </c>
      <c r="D2009" s="251">
        <f t="shared" si="34"/>
        <v>0.29581589958158999</v>
      </c>
      <c r="E2009" s="251">
        <v>-1.63049232398094E-2</v>
      </c>
    </row>
    <row r="2010" spans="2:5">
      <c r="B2010" s="252">
        <v>43153</v>
      </c>
      <c r="C2010" s="251">
        <v>358.5</v>
      </c>
      <c r="D2010" s="251">
        <f t="shared" si="34"/>
        <v>-0.14400324729590985</v>
      </c>
      <c r="E2010" s="251">
        <v>-1.6325970640691422E-2</v>
      </c>
    </row>
    <row r="2011" spans="2:5">
      <c r="B2011" s="252">
        <v>44902</v>
      </c>
      <c r="C2011" s="251">
        <v>418.81</v>
      </c>
      <c r="D2011" s="251">
        <f t="shared" si="34"/>
        <v>-0.46858266717421648</v>
      </c>
      <c r="E2011" s="251">
        <v>-1.6393057610559238E-2</v>
      </c>
    </row>
    <row r="2012" spans="2:5">
      <c r="B2012" s="252">
        <v>45630</v>
      </c>
      <c r="C2012" s="251">
        <v>788.1</v>
      </c>
      <c r="D2012" s="251">
        <f t="shared" si="34"/>
        <v>0.83920653442240378</v>
      </c>
      <c r="E2012" s="251">
        <v>-1.6411856474258944E-2</v>
      </c>
    </row>
    <row r="2013" spans="2:5">
      <c r="B2013" s="252">
        <v>44721</v>
      </c>
      <c r="C2013" s="251">
        <v>428.5</v>
      </c>
      <c r="D2013" s="251">
        <f t="shared" si="34"/>
        <v>-0.18154904020628396</v>
      </c>
      <c r="E2013" s="251">
        <v>-1.641225754619529E-2</v>
      </c>
    </row>
    <row r="2014" spans="2:5">
      <c r="B2014" s="252">
        <v>42766</v>
      </c>
      <c r="C2014" s="251">
        <v>523.54999999999995</v>
      </c>
      <c r="D2014" s="251">
        <f t="shared" si="34"/>
        <v>0.212201898587636</v>
      </c>
      <c r="E2014" s="251">
        <v>-1.6438098816456886E-2</v>
      </c>
    </row>
    <row r="2015" spans="2:5">
      <c r="B2015" s="252">
        <v>44715</v>
      </c>
      <c r="C2015" s="251">
        <v>431.9</v>
      </c>
      <c r="D2015" s="251">
        <f t="shared" si="34"/>
        <v>0.19839067702552721</v>
      </c>
      <c r="E2015" s="251">
        <v>-1.6509165433223272E-2</v>
      </c>
    </row>
    <row r="2016" spans="2:5">
      <c r="B2016" s="252">
        <v>42444</v>
      </c>
      <c r="C2016" s="251">
        <v>360.4</v>
      </c>
      <c r="D2016" s="251">
        <f t="shared" si="34"/>
        <v>0.11080289721066416</v>
      </c>
      <c r="E2016" s="251">
        <v>-1.6509755764770123E-2</v>
      </c>
    </row>
    <row r="2017" spans="2:5">
      <c r="B2017" s="252">
        <v>42249</v>
      </c>
      <c r="C2017" s="251">
        <v>324.45</v>
      </c>
      <c r="D2017" s="251">
        <f t="shared" si="34"/>
        <v>-0.24730309708850487</v>
      </c>
      <c r="E2017" s="251">
        <v>-1.6520157623522245E-2</v>
      </c>
    </row>
    <row r="2018" spans="2:5">
      <c r="B2018" s="252">
        <v>44664</v>
      </c>
      <c r="C2018" s="251">
        <v>431.05</v>
      </c>
      <c r="D2018" s="251">
        <f t="shared" si="34"/>
        <v>5.8726727906862571E-2</v>
      </c>
      <c r="E2018" s="251">
        <v>-1.654118183892311E-2</v>
      </c>
    </row>
    <row r="2019" spans="2:5">
      <c r="B2019" s="252">
        <v>44944</v>
      </c>
      <c r="C2019" s="251">
        <v>407.14</v>
      </c>
      <c r="D2019" s="251">
        <f t="shared" si="34"/>
        <v>-9.7750692520775659E-2</v>
      </c>
      <c r="E2019" s="251">
        <v>-1.6617554707502043E-2</v>
      </c>
    </row>
    <row r="2020" spans="2:5">
      <c r="B2020" s="252">
        <v>42857</v>
      </c>
      <c r="C2020" s="251">
        <v>451.25</v>
      </c>
      <c r="D2020" s="251">
        <f t="shared" si="34"/>
        <v>-0.13652889399158061</v>
      </c>
      <c r="E2020" s="251">
        <v>-1.6670298539986878E-2</v>
      </c>
    </row>
    <row r="2021" spans="2:5">
      <c r="B2021" s="252">
        <v>42769</v>
      </c>
      <c r="C2021" s="251">
        <v>522.6</v>
      </c>
      <c r="D2021" s="251">
        <f t="shared" si="34"/>
        <v>0.14142186305558588</v>
      </c>
      <c r="E2021" s="251">
        <v>-1.674506114769516E-2</v>
      </c>
    </row>
    <row r="2022" spans="2:5">
      <c r="B2022" s="252">
        <v>42730</v>
      </c>
      <c r="C2022" s="251">
        <v>457.85</v>
      </c>
      <c r="D2022" s="251">
        <f t="shared" si="34"/>
        <v>1.5198128783709415</v>
      </c>
      <c r="E2022" s="251">
        <v>-1.6750778481692163E-2</v>
      </c>
    </row>
    <row r="2023" spans="2:5">
      <c r="B2023" s="252">
        <v>43537</v>
      </c>
      <c r="C2023" s="251">
        <v>181.7</v>
      </c>
      <c r="D2023" s="251">
        <f t="shared" si="34"/>
        <v>-0.51103336921420883</v>
      </c>
      <c r="E2023" s="251">
        <v>-1.6774891774891897E-2</v>
      </c>
    </row>
    <row r="2024" spans="2:5">
      <c r="B2024" s="252">
        <v>42352</v>
      </c>
      <c r="C2024" s="251">
        <v>371.6</v>
      </c>
      <c r="D2024" s="251">
        <f t="shared" si="34"/>
        <v>-0.61364108962362229</v>
      </c>
      <c r="E2024" s="251">
        <v>-1.6801164175155352E-2</v>
      </c>
    </row>
    <row r="2025" spans="2:5">
      <c r="B2025" s="252">
        <v>45464</v>
      </c>
      <c r="C2025" s="251">
        <v>961.8</v>
      </c>
      <c r="D2025" s="251">
        <f t="shared" si="34"/>
        <v>-0.11975472475175045</v>
      </c>
      <c r="E2025" s="251">
        <v>-1.6815742397137793E-2</v>
      </c>
    </row>
    <row r="2026" spans="2:5">
      <c r="B2026" s="252">
        <v>45537</v>
      </c>
      <c r="C2026" s="267">
        <v>1092.6500000000001</v>
      </c>
      <c r="D2026" s="251">
        <f t="shared" si="34"/>
        <v>1.4211167737646802</v>
      </c>
      <c r="E2026" s="251">
        <v>-1.6826382327799361E-2</v>
      </c>
    </row>
    <row r="2027" spans="2:5">
      <c r="B2027" s="252">
        <v>42930</v>
      </c>
      <c r="C2027" s="251">
        <v>451.3</v>
      </c>
      <c r="D2027" s="251">
        <f t="shared" si="34"/>
        <v>-9.5319234238749148E-2</v>
      </c>
      <c r="E2027" s="251">
        <v>-1.6882692517154994E-2</v>
      </c>
    </row>
    <row r="2028" spans="2:5">
      <c r="B2028" s="252">
        <v>44603</v>
      </c>
      <c r="C2028" s="251">
        <v>498.85</v>
      </c>
      <c r="D2028" s="251">
        <f t="shared" si="34"/>
        <v>0.96358984451879548</v>
      </c>
      <c r="E2028" s="251">
        <v>-1.694748251059211E-2</v>
      </c>
    </row>
    <row r="2029" spans="2:5">
      <c r="B2029" s="252">
        <v>43318</v>
      </c>
      <c r="C2029" s="251">
        <v>254.05</v>
      </c>
      <c r="D2029" s="251">
        <f t="shared" si="34"/>
        <v>-0.44299495724621796</v>
      </c>
      <c r="E2029" s="251">
        <v>-1.702456954923574E-2</v>
      </c>
    </row>
    <row r="2030" spans="2:5">
      <c r="B2030" s="252">
        <v>42941</v>
      </c>
      <c r="C2030" s="251">
        <v>456.1</v>
      </c>
      <c r="D2030" s="251">
        <f t="shared" si="34"/>
        <v>-0.18251393543992964</v>
      </c>
      <c r="E2030" s="251">
        <v>-1.7025862068965468E-2</v>
      </c>
    </row>
    <row r="2031" spans="2:5">
      <c r="B2031" s="252">
        <v>45100</v>
      </c>
      <c r="C2031" s="251">
        <v>557.92999999999995</v>
      </c>
      <c r="D2031" s="251">
        <f t="shared" si="34"/>
        <v>-0.28744572158365267</v>
      </c>
      <c r="E2031" s="251">
        <v>-1.7036645525017744E-2</v>
      </c>
    </row>
    <row r="2032" spans="2:5">
      <c r="B2032" s="252">
        <v>45622</v>
      </c>
      <c r="C2032" s="251">
        <v>783</v>
      </c>
      <c r="D2032" s="251">
        <f t="shared" si="34"/>
        <v>0.84474025209094128</v>
      </c>
      <c r="E2032" s="251">
        <v>-1.707255837308564E-2</v>
      </c>
    </row>
    <row r="2033" spans="2:5">
      <c r="B2033" s="252">
        <v>43101</v>
      </c>
      <c r="C2033" s="251">
        <v>424.45</v>
      </c>
      <c r="D2033" s="251">
        <f t="shared" si="34"/>
        <v>7.0680826375400407E-2</v>
      </c>
      <c r="E2033" s="251">
        <v>-1.7135579483617075E-2</v>
      </c>
    </row>
    <row r="2034" spans="2:5">
      <c r="B2034" s="252">
        <v>44837</v>
      </c>
      <c r="C2034" s="251">
        <v>396.43</v>
      </c>
      <c r="D2034" s="251">
        <f t="shared" si="34"/>
        <v>1.3115451895043733</v>
      </c>
      <c r="E2034" s="251">
        <v>-1.7180682268940914E-2</v>
      </c>
    </row>
    <row r="2035" spans="2:5">
      <c r="B2035" s="252">
        <v>43776</v>
      </c>
      <c r="C2035" s="251">
        <v>171.5</v>
      </c>
      <c r="D2035" s="251">
        <f t="shared" si="34"/>
        <v>-0.58308010210283212</v>
      </c>
      <c r="E2035" s="251">
        <v>-1.7191977077363897E-2</v>
      </c>
    </row>
    <row r="2036" spans="2:5">
      <c r="B2036" s="252">
        <v>42488</v>
      </c>
      <c r="C2036" s="251">
        <v>411.35</v>
      </c>
      <c r="D2036" s="251">
        <f t="shared" si="34"/>
        <v>-0.42584967548328567</v>
      </c>
      <c r="E2036" s="251">
        <v>-1.7202245848763561E-2</v>
      </c>
    </row>
    <row r="2037" spans="2:5">
      <c r="B2037" s="252">
        <v>45804</v>
      </c>
      <c r="C2037" s="251">
        <v>716.45</v>
      </c>
      <c r="D2037" s="251">
        <f t="shared" si="34"/>
        <v>6.1800666913671795E-2</v>
      </c>
      <c r="E2037" s="251">
        <v>-1.7215363511659747E-2</v>
      </c>
    </row>
    <row r="2038" spans="2:5">
      <c r="B2038" s="252">
        <v>45825</v>
      </c>
      <c r="C2038" s="251">
        <v>674.75</v>
      </c>
      <c r="D2038" s="251">
        <f t="shared" si="34"/>
        <v>1.174508540122462</v>
      </c>
      <c r="E2038" s="251">
        <v>-1.7330517731012855E-2</v>
      </c>
    </row>
    <row r="2039" spans="2:5">
      <c r="B2039" s="252">
        <v>42270</v>
      </c>
      <c r="C2039" s="251">
        <v>310.3</v>
      </c>
      <c r="D2039" s="251">
        <f t="shared" si="34"/>
        <v>0.18457720939110528</v>
      </c>
      <c r="E2039" s="251">
        <v>-1.7416086130462319E-2</v>
      </c>
    </row>
    <row r="2040" spans="2:5">
      <c r="B2040" s="252">
        <v>43347</v>
      </c>
      <c r="C2040" s="251">
        <v>261.95</v>
      </c>
      <c r="D2040" s="251">
        <f t="shared" si="34"/>
        <v>-0.67477807436836545</v>
      </c>
      <c r="E2040" s="251">
        <v>-1.7441860465116407E-2</v>
      </c>
    </row>
    <row r="2041" spans="2:5">
      <c r="B2041" s="252">
        <v>45604</v>
      </c>
      <c r="C2041" s="251">
        <v>805.45</v>
      </c>
      <c r="D2041" s="251">
        <f t="shared" si="34"/>
        <v>-9.6624046657694002E-2</v>
      </c>
      <c r="E2041" s="251">
        <v>-1.7444342787435139E-2</v>
      </c>
    </row>
    <row r="2042" spans="2:5">
      <c r="B2042" s="252">
        <v>45582</v>
      </c>
      <c r="C2042" s="251">
        <v>891.6</v>
      </c>
      <c r="D2042" s="251">
        <f t="shared" si="34"/>
        <v>0.17200131449227737</v>
      </c>
      <c r="E2042" s="251">
        <v>-1.7466527081381918E-2</v>
      </c>
    </row>
    <row r="2043" spans="2:5">
      <c r="B2043" s="252">
        <v>45678</v>
      </c>
      <c r="C2043" s="251">
        <v>760.75</v>
      </c>
      <c r="D2043" s="251">
        <f t="shared" si="34"/>
        <v>8.3861813695249854</v>
      </c>
      <c r="E2043" s="251">
        <v>-1.7563117453347998E-2</v>
      </c>
    </row>
    <row r="2044" spans="2:5">
      <c r="B2044" s="252">
        <v>43959</v>
      </c>
      <c r="C2044" s="251">
        <v>81.05</v>
      </c>
      <c r="D2044" s="251">
        <f t="shared" si="34"/>
        <v>-0.2909011373578303</v>
      </c>
      <c r="E2044" s="251">
        <v>-1.7575757575757609E-2</v>
      </c>
    </row>
    <row r="2045" spans="2:5">
      <c r="B2045" s="252">
        <v>43706</v>
      </c>
      <c r="C2045" s="251">
        <v>114.3</v>
      </c>
      <c r="D2045" s="251">
        <f t="shared" si="34"/>
        <v>-0.27749683944374204</v>
      </c>
      <c r="E2045" s="251">
        <v>-1.7619252256123742E-2</v>
      </c>
    </row>
    <row r="2046" spans="2:5">
      <c r="B2046" s="252">
        <v>43802</v>
      </c>
      <c r="C2046" s="251">
        <v>158.19999999999999</v>
      </c>
      <c r="D2046" s="251">
        <f t="shared" si="34"/>
        <v>-0.74672600941372358</v>
      </c>
      <c r="E2046" s="251">
        <v>-1.7696367587705823E-2</v>
      </c>
    </row>
    <row r="2047" spans="2:5">
      <c r="B2047" s="252">
        <v>45225</v>
      </c>
      <c r="C2047" s="251">
        <v>624.62</v>
      </c>
      <c r="D2047" s="251">
        <f t="shared" si="34"/>
        <v>3.5115204044781514</v>
      </c>
      <c r="E2047" s="251">
        <v>-1.7723191117960627E-2</v>
      </c>
    </row>
    <row r="2048" spans="2:5">
      <c r="B2048" s="252">
        <v>44113</v>
      </c>
      <c r="C2048" s="251">
        <v>138.44999999999999</v>
      </c>
      <c r="D2048" s="251">
        <f t="shared" si="34"/>
        <v>-0.70312634016639508</v>
      </c>
      <c r="E2048" s="251">
        <v>-1.7736786094359705E-2</v>
      </c>
    </row>
    <row r="2049" spans="2:5">
      <c r="B2049" s="252">
        <v>44776</v>
      </c>
      <c r="C2049" s="251">
        <v>466.36</v>
      </c>
      <c r="D2049" s="251">
        <f t="shared" si="34"/>
        <v>-8.1245074862096159E-2</v>
      </c>
      <c r="E2049" s="251">
        <v>-1.7755218096421589E-2</v>
      </c>
    </row>
    <row r="2050" spans="2:5">
      <c r="B2050" s="252">
        <v>42598</v>
      </c>
      <c r="C2050" s="251">
        <v>507.6</v>
      </c>
      <c r="D2050" s="251">
        <f t="shared" si="34"/>
        <v>-4.6402404659026737E-2</v>
      </c>
      <c r="E2050" s="251">
        <v>-1.7801857585139188E-2</v>
      </c>
    </row>
    <row r="2051" spans="2:5">
      <c r="B2051" s="252">
        <v>42765</v>
      </c>
      <c r="C2051" s="251">
        <v>532.29999999999995</v>
      </c>
      <c r="D2051" s="251">
        <f t="shared" si="34"/>
        <v>-0.38412588221682287</v>
      </c>
      <c r="E2051" s="251">
        <v>-1.7806070670726249E-2</v>
      </c>
    </row>
    <row r="2052" spans="2:5">
      <c r="B2052" s="252">
        <v>45590</v>
      </c>
      <c r="C2052" s="251">
        <v>864.3</v>
      </c>
      <c r="D2052" s="251">
        <f t="shared" si="34"/>
        <v>3.9121909633418581</v>
      </c>
      <c r="E2052" s="251">
        <v>-1.7840909090909143E-2</v>
      </c>
    </row>
    <row r="2053" spans="2:5">
      <c r="B2053" s="252">
        <v>43819</v>
      </c>
      <c r="C2053" s="251">
        <v>175.95</v>
      </c>
      <c r="D2053" s="251">
        <f t="shared" si="34"/>
        <v>-0.56442629038247305</v>
      </c>
      <c r="E2053" s="251">
        <v>-1.786212670946144E-2</v>
      </c>
    </row>
    <row r="2054" spans="2:5">
      <c r="B2054" s="252">
        <v>42321</v>
      </c>
      <c r="C2054" s="251">
        <v>403.95</v>
      </c>
      <c r="D2054" s="251">
        <f t="shared" si="34"/>
        <v>-0.4796135265700483</v>
      </c>
      <c r="E2054" s="251">
        <v>-1.7870167760758626E-2</v>
      </c>
    </row>
    <row r="2055" spans="2:5">
      <c r="B2055" s="252">
        <v>45663</v>
      </c>
      <c r="C2055" s="251">
        <v>776.25</v>
      </c>
      <c r="D2055" s="251">
        <f t="shared" si="34"/>
        <v>0.89680871860033229</v>
      </c>
      <c r="E2055" s="251">
        <v>-1.7902327935222645E-2</v>
      </c>
    </row>
    <row r="2056" spans="2:5">
      <c r="B2056" s="252">
        <v>44915</v>
      </c>
      <c r="C2056" s="251">
        <v>409.24</v>
      </c>
      <c r="D2056" s="251">
        <f t="shared" si="34"/>
        <v>-0.34534169439467621</v>
      </c>
      <c r="E2056" s="251">
        <v>-1.7926135681889013E-2</v>
      </c>
    </row>
    <row r="2057" spans="2:5">
      <c r="B2057" s="252">
        <v>45190</v>
      </c>
      <c r="C2057" s="251">
        <v>625.12</v>
      </c>
      <c r="D2057" s="251">
        <f t="shared" si="34"/>
        <v>4.3201702127659578</v>
      </c>
      <c r="E2057" s="251">
        <v>-1.7940742137179062E-2</v>
      </c>
    </row>
    <row r="2058" spans="2:5">
      <c r="B2058" s="252">
        <v>43745</v>
      </c>
      <c r="C2058" s="251">
        <v>117.5</v>
      </c>
      <c r="D2058" s="251">
        <f t="shared" ref="D2058:D2121" si="35">(C2058-C2059)/C2059</f>
        <v>-0.69050441195838275</v>
      </c>
      <c r="E2058" s="251">
        <v>-1.7969076473046432E-2</v>
      </c>
    </row>
    <row r="2059" spans="2:5">
      <c r="B2059" s="252">
        <v>42461</v>
      </c>
      <c r="C2059" s="251">
        <v>379.65</v>
      </c>
      <c r="D2059" s="251">
        <f t="shared" si="35"/>
        <v>-0.59799447262253946</v>
      </c>
      <c r="E2059" s="251">
        <v>-1.7977237454733692E-2</v>
      </c>
    </row>
    <row r="2060" spans="2:5">
      <c r="B2060" s="252">
        <v>45427</v>
      </c>
      <c r="C2060" s="251">
        <v>944.39</v>
      </c>
      <c r="D2060" s="251">
        <f t="shared" si="35"/>
        <v>3.4473275253119851</v>
      </c>
      <c r="E2060" s="251">
        <v>-1.7978953498045052E-2</v>
      </c>
    </row>
    <row r="2061" spans="2:5">
      <c r="B2061" s="252">
        <v>43381</v>
      </c>
      <c r="C2061" s="251">
        <v>212.35</v>
      </c>
      <c r="D2061" s="251">
        <f t="shared" si="35"/>
        <v>-0.77350782883228808</v>
      </c>
      <c r="E2061" s="251">
        <v>-1.8034682080924881E-2</v>
      </c>
    </row>
    <row r="2062" spans="2:5">
      <c r="B2062" s="252">
        <v>45371</v>
      </c>
      <c r="C2062" s="251">
        <v>937.56</v>
      </c>
      <c r="D2062" s="251">
        <f t="shared" si="35"/>
        <v>0.32479864349300536</v>
      </c>
      <c r="E2062" s="251">
        <v>-1.8056137410976131E-2</v>
      </c>
    </row>
    <row r="2063" spans="2:5">
      <c r="B2063" s="252">
        <v>45790</v>
      </c>
      <c r="C2063" s="251">
        <v>707.7</v>
      </c>
      <c r="D2063" s="251">
        <f t="shared" si="35"/>
        <v>8.707818930041153</v>
      </c>
      <c r="E2063" s="251">
        <v>-1.8174250832408308E-2</v>
      </c>
    </row>
    <row r="2064" spans="2:5">
      <c r="B2064" s="252">
        <v>43936</v>
      </c>
      <c r="C2064" s="251">
        <v>72.900000000000006</v>
      </c>
      <c r="D2064" s="251">
        <f t="shared" si="35"/>
        <v>-0.85968626696179384</v>
      </c>
      <c r="E2064" s="251">
        <v>-1.8181818181818105E-2</v>
      </c>
    </row>
    <row r="2065" spans="2:5">
      <c r="B2065" s="252">
        <v>45062</v>
      </c>
      <c r="C2065" s="251">
        <v>519.54999999999995</v>
      </c>
      <c r="D2065" s="251">
        <f t="shared" si="35"/>
        <v>0.28094181459566059</v>
      </c>
      <c r="E2065" s="251">
        <v>-1.8272174143078631E-2</v>
      </c>
    </row>
    <row r="2066" spans="2:5">
      <c r="B2066" s="252">
        <v>42341</v>
      </c>
      <c r="C2066" s="251">
        <v>405.6</v>
      </c>
      <c r="D2066" s="251">
        <f t="shared" si="35"/>
        <v>0.36038906590642311</v>
      </c>
      <c r="E2066" s="251">
        <v>-1.8274234539513386E-2</v>
      </c>
    </row>
    <row r="2067" spans="2:5">
      <c r="B2067" s="252">
        <v>44412</v>
      </c>
      <c r="C2067" s="251">
        <v>298.14999999999998</v>
      </c>
      <c r="D2067" s="251">
        <f t="shared" si="35"/>
        <v>1.5858629661751948</v>
      </c>
      <c r="E2067" s="251">
        <v>-1.8274613105037904E-2</v>
      </c>
    </row>
    <row r="2068" spans="2:5">
      <c r="B2068" s="252">
        <v>43739</v>
      </c>
      <c r="C2068" s="251">
        <v>115.3</v>
      </c>
      <c r="D2068" s="251">
        <f t="shared" si="35"/>
        <v>-0.74983727489694074</v>
      </c>
      <c r="E2068" s="251">
        <v>-1.8305661983822951E-2</v>
      </c>
    </row>
    <row r="2069" spans="2:5">
      <c r="B2069" s="252">
        <v>42556</v>
      </c>
      <c r="C2069" s="251">
        <v>460.9</v>
      </c>
      <c r="D2069" s="251">
        <f t="shared" si="35"/>
        <v>0.75647865853658547</v>
      </c>
      <c r="E2069" s="251">
        <v>-1.8317358892438813E-2</v>
      </c>
    </row>
    <row r="2070" spans="2:5">
      <c r="B2070" s="252">
        <v>43355</v>
      </c>
      <c r="C2070" s="251">
        <v>262.39999999999998</v>
      </c>
      <c r="D2070" s="251">
        <f t="shared" si="35"/>
        <v>-0.47266881028938912</v>
      </c>
      <c r="E2070" s="251">
        <v>-1.8331462775907349E-2</v>
      </c>
    </row>
    <row r="2071" spans="2:5">
      <c r="B2071" s="252">
        <v>44483</v>
      </c>
      <c r="C2071" s="251">
        <v>497.6</v>
      </c>
      <c r="D2071" s="251">
        <f t="shared" si="35"/>
        <v>2.6615158204562182</v>
      </c>
      <c r="E2071" s="251">
        <v>-1.8346813967251834E-2</v>
      </c>
    </row>
    <row r="2072" spans="2:5">
      <c r="B2072" s="252">
        <v>44116</v>
      </c>
      <c r="C2072" s="251">
        <v>135.9</v>
      </c>
      <c r="D2072" s="251">
        <f t="shared" si="35"/>
        <v>-0.28996865203761757</v>
      </c>
      <c r="E2072" s="251">
        <v>-1.8418201516792944E-2</v>
      </c>
    </row>
    <row r="2073" spans="2:5">
      <c r="B2073" s="252">
        <v>43851</v>
      </c>
      <c r="C2073" s="251">
        <v>191.4</v>
      </c>
      <c r="D2073" s="251">
        <f t="shared" si="35"/>
        <v>-0.80362181295849799</v>
      </c>
      <c r="E2073" s="251">
        <v>-1.8461538461538432E-2</v>
      </c>
    </row>
    <row r="2074" spans="2:5">
      <c r="B2074" s="252">
        <v>45565</v>
      </c>
      <c r="C2074" s="251">
        <v>974.65</v>
      </c>
      <c r="D2074" s="251">
        <f t="shared" si="35"/>
        <v>-7.1186925239433874E-2</v>
      </c>
      <c r="E2074" s="251">
        <v>-1.8479355488418954E-2</v>
      </c>
    </row>
    <row r="2075" spans="2:5">
      <c r="B2075" s="252">
        <v>45541</v>
      </c>
      <c r="C2075" s="267">
        <v>1049.3499999999999</v>
      </c>
      <c r="D2075" s="251">
        <f t="shared" si="35"/>
        <v>9.1681201550387588</v>
      </c>
      <c r="E2075" s="251">
        <v>-1.8519384557826479E-2</v>
      </c>
    </row>
    <row r="2076" spans="2:5">
      <c r="B2076" s="252">
        <v>44027</v>
      </c>
      <c r="C2076" s="251">
        <v>103.2</v>
      </c>
      <c r="D2076" s="251">
        <f t="shared" si="35"/>
        <v>-0.7591036414565826</v>
      </c>
      <c r="E2076" s="251">
        <v>-1.8544935805991467E-2</v>
      </c>
    </row>
    <row r="2077" spans="2:5">
      <c r="B2077" s="252">
        <v>43039</v>
      </c>
      <c r="C2077" s="251">
        <v>428.4</v>
      </c>
      <c r="D2077" s="251">
        <f t="shared" si="35"/>
        <v>-0.45083963594410975</v>
      </c>
      <c r="E2077" s="251">
        <v>-1.8669110067575385E-2</v>
      </c>
    </row>
    <row r="2078" spans="2:5">
      <c r="B2078" s="252">
        <v>45666</v>
      </c>
      <c r="C2078" s="251">
        <v>780.1</v>
      </c>
      <c r="D2078" s="251">
        <f t="shared" si="35"/>
        <v>0.77380113235862569</v>
      </c>
      <c r="E2078" s="251">
        <v>-1.8680420152210858E-2</v>
      </c>
    </row>
    <row r="2079" spans="2:5">
      <c r="B2079" s="252">
        <v>44768</v>
      </c>
      <c r="C2079" s="251">
        <v>439.79</v>
      </c>
      <c r="D2079" s="251">
        <f t="shared" si="35"/>
        <v>-0.36021239453011344</v>
      </c>
      <c r="E2079" s="251">
        <v>-1.8698261820291398E-2</v>
      </c>
    </row>
    <row r="2080" spans="2:5">
      <c r="B2080" s="252">
        <v>45863</v>
      </c>
      <c r="C2080" s="251">
        <v>687.4</v>
      </c>
      <c r="D2080" s="251">
        <f t="shared" si="35"/>
        <v>0.72056467761313581</v>
      </c>
      <c r="E2080" s="251">
        <v>-1.8700927908636721E-2</v>
      </c>
    </row>
    <row r="2081" spans="2:5">
      <c r="B2081" s="252">
        <v>44945</v>
      </c>
      <c r="C2081" s="251">
        <v>399.52</v>
      </c>
      <c r="D2081" s="251">
        <f t="shared" si="35"/>
        <v>-0.30306149149585698</v>
      </c>
      <c r="E2081" s="251">
        <v>-1.8715920813479406E-2</v>
      </c>
    </row>
    <row r="2082" spans="2:5">
      <c r="B2082" s="252">
        <v>42622</v>
      </c>
      <c r="C2082" s="251">
        <v>573.25</v>
      </c>
      <c r="D2082" s="251">
        <f t="shared" si="35"/>
        <v>2.3750367971739772</v>
      </c>
      <c r="E2082" s="251">
        <v>-1.8743580965422876E-2</v>
      </c>
    </row>
    <row r="2083" spans="2:5">
      <c r="B2083" s="252">
        <v>43551</v>
      </c>
      <c r="C2083" s="251">
        <v>169.85</v>
      </c>
      <c r="D2083" s="251">
        <f t="shared" si="35"/>
        <v>-0.46113578680203043</v>
      </c>
      <c r="E2083" s="251">
        <v>-1.8775274407856733E-2</v>
      </c>
    </row>
    <row r="2084" spans="2:5">
      <c r="B2084" s="252">
        <v>44264</v>
      </c>
      <c r="C2084" s="251">
        <v>315.2</v>
      </c>
      <c r="D2084" s="251">
        <f t="shared" si="35"/>
        <v>1.3032517354767994</v>
      </c>
      <c r="E2084" s="251">
        <v>-1.883268482490276E-2</v>
      </c>
    </row>
    <row r="2085" spans="2:5">
      <c r="B2085" s="252">
        <v>43756</v>
      </c>
      <c r="C2085" s="251">
        <v>136.85</v>
      </c>
      <c r="D2085" s="251">
        <f t="shared" si="35"/>
        <v>-0.68925976385104448</v>
      </c>
      <c r="E2085" s="251">
        <v>-1.899641577060936E-2</v>
      </c>
    </row>
    <row r="2086" spans="2:5">
      <c r="B2086" s="252">
        <v>42549</v>
      </c>
      <c r="C2086" s="251">
        <v>440.4</v>
      </c>
      <c r="D2086" s="251">
        <f t="shared" si="35"/>
        <v>0.14866979655712051</v>
      </c>
      <c r="E2086" s="251">
        <v>-1.9044437019712687E-2</v>
      </c>
    </row>
    <row r="2087" spans="2:5">
      <c r="B2087" s="252">
        <v>42982</v>
      </c>
      <c r="C2087" s="251">
        <v>383.4</v>
      </c>
      <c r="D2087" s="251">
        <f t="shared" si="35"/>
        <v>0.18388142658638243</v>
      </c>
      <c r="E2087" s="251">
        <v>-1.9061020851989369E-2</v>
      </c>
    </row>
    <row r="2088" spans="2:5">
      <c r="B2088" s="252">
        <v>44245</v>
      </c>
      <c r="C2088" s="251">
        <v>323.85000000000002</v>
      </c>
      <c r="D2088" s="251">
        <f t="shared" si="35"/>
        <v>6.863553868998519E-2</v>
      </c>
      <c r="E2088" s="251">
        <v>-1.908223534756915E-2</v>
      </c>
    </row>
    <row r="2089" spans="2:5">
      <c r="B2089" s="252">
        <v>44277</v>
      </c>
      <c r="C2089" s="251">
        <v>303.05</v>
      </c>
      <c r="D2089" s="251">
        <f t="shared" si="35"/>
        <v>0.35744680851063837</v>
      </c>
      <c r="E2089" s="251">
        <v>-1.9096941252629802E-2</v>
      </c>
    </row>
    <row r="2090" spans="2:5">
      <c r="B2090" s="252">
        <v>43377</v>
      </c>
      <c r="C2090" s="251">
        <v>223.25</v>
      </c>
      <c r="D2090" s="251">
        <f t="shared" si="35"/>
        <v>0.35962241169305736</v>
      </c>
      <c r="E2090" s="251">
        <v>-1.9112478031634423E-2</v>
      </c>
    </row>
    <row r="2091" spans="2:5">
      <c r="B2091" s="252">
        <v>43630</v>
      </c>
      <c r="C2091" s="251">
        <v>164.2</v>
      </c>
      <c r="D2091" s="251">
        <f t="shared" si="35"/>
        <v>-0.60481347773766547</v>
      </c>
      <c r="E2091" s="251">
        <v>-1.9115890083632122E-2</v>
      </c>
    </row>
    <row r="2092" spans="2:5">
      <c r="B2092" s="252">
        <v>43019</v>
      </c>
      <c r="C2092" s="251">
        <v>415.5</v>
      </c>
      <c r="D2092" s="251">
        <f t="shared" si="35"/>
        <v>-0.36613272311212813</v>
      </c>
      <c r="E2092" s="251">
        <v>-1.9121813031161526E-2</v>
      </c>
    </row>
    <row r="2093" spans="2:5">
      <c r="B2093" s="252">
        <v>45729</v>
      </c>
      <c r="C2093" s="251">
        <v>655.5</v>
      </c>
      <c r="D2093" s="251">
        <f t="shared" si="35"/>
        <v>7.8342318059299183</v>
      </c>
      <c r="E2093" s="251">
        <v>-1.9153074966332419E-2</v>
      </c>
    </row>
    <row r="2094" spans="2:5">
      <c r="B2094" s="252">
        <v>43945</v>
      </c>
      <c r="C2094" s="251">
        <v>74.2</v>
      </c>
      <c r="D2094" s="251">
        <f t="shared" si="35"/>
        <v>-0.25389643036701859</v>
      </c>
      <c r="E2094" s="251">
        <v>-1.91672174487773E-2</v>
      </c>
    </row>
    <row r="2095" spans="2:5">
      <c r="B2095" s="252">
        <v>44011</v>
      </c>
      <c r="C2095" s="251">
        <v>99.45</v>
      </c>
      <c r="D2095" s="251">
        <f t="shared" si="35"/>
        <v>-0.75221746063384498</v>
      </c>
      <c r="E2095" s="251">
        <v>-1.9230769230769256E-2</v>
      </c>
    </row>
    <row r="2096" spans="2:5">
      <c r="B2096" s="252">
        <v>44916</v>
      </c>
      <c r="C2096" s="251">
        <v>401.36</v>
      </c>
      <c r="D2096" s="251">
        <f t="shared" si="35"/>
        <v>-0.59691884346158097</v>
      </c>
      <c r="E2096" s="251">
        <v>-1.9255204769817211E-2</v>
      </c>
    </row>
    <row r="2097" spans="2:5">
      <c r="B2097" s="252">
        <v>45397</v>
      </c>
      <c r="C2097" s="251">
        <v>995.73</v>
      </c>
      <c r="D2097" s="251">
        <f t="shared" si="35"/>
        <v>1.1496761658031087</v>
      </c>
      <c r="E2097" s="251">
        <v>-1.9342702660114033E-2</v>
      </c>
    </row>
    <row r="2098" spans="2:5">
      <c r="B2098" s="252">
        <v>42719</v>
      </c>
      <c r="C2098" s="251">
        <v>463.2</v>
      </c>
      <c r="D2098" s="251">
        <f t="shared" si="35"/>
        <v>1.8218093207432222</v>
      </c>
      <c r="E2098" s="251">
        <v>-1.9371228961575174E-2</v>
      </c>
    </row>
    <row r="2099" spans="2:5">
      <c r="B2099" s="252">
        <v>43790</v>
      </c>
      <c r="C2099" s="251">
        <v>164.15</v>
      </c>
      <c r="D2099" s="251">
        <f t="shared" si="35"/>
        <v>-0.56654343807763397</v>
      </c>
      <c r="E2099" s="251">
        <v>-1.941457586618877E-2</v>
      </c>
    </row>
    <row r="2100" spans="2:5">
      <c r="B2100" s="252">
        <v>42296</v>
      </c>
      <c r="C2100" s="251">
        <v>378.7</v>
      </c>
      <c r="D2100" s="251">
        <f t="shared" si="35"/>
        <v>-4.4048971349236375E-2</v>
      </c>
      <c r="E2100" s="251">
        <v>-1.9419989642672192E-2</v>
      </c>
    </row>
    <row r="2101" spans="2:5">
      <c r="B2101" s="252">
        <v>42314</v>
      </c>
      <c r="C2101" s="251">
        <v>396.15</v>
      </c>
      <c r="D2101" s="251">
        <f t="shared" si="35"/>
        <v>-6.0922128718738991E-2</v>
      </c>
      <c r="E2101" s="251">
        <v>-1.9430693069306986E-2</v>
      </c>
    </row>
    <row r="2102" spans="2:5">
      <c r="B2102" s="252">
        <v>44882</v>
      </c>
      <c r="C2102" s="251">
        <v>421.85</v>
      </c>
      <c r="D2102" s="251">
        <f t="shared" si="35"/>
        <v>1.53820697954272</v>
      </c>
      <c r="E2102" s="251">
        <v>-1.9455162475012795E-2</v>
      </c>
    </row>
    <row r="2103" spans="2:5">
      <c r="B2103" s="252">
        <v>43626</v>
      </c>
      <c r="C2103" s="251">
        <v>166.2</v>
      </c>
      <c r="D2103" s="251">
        <f t="shared" si="35"/>
        <v>6.0204695966281955E-4</v>
      </c>
      <c r="E2103" s="251">
        <v>-1.9469026548672632E-2</v>
      </c>
    </row>
    <row r="2104" spans="2:5">
      <c r="B2104" s="252">
        <v>43804</v>
      </c>
      <c r="C2104" s="251">
        <v>166.1</v>
      </c>
      <c r="D2104" s="251">
        <f t="shared" si="35"/>
        <v>-0.42506057459328483</v>
      </c>
      <c r="E2104" s="251">
        <v>-1.9480519480519546E-2</v>
      </c>
    </row>
    <row r="2105" spans="2:5">
      <c r="B2105" s="252">
        <v>43250</v>
      </c>
      <c r="C2105" s="251">
        <v>288.89999999999998</v>
      </c>
      <c r="D2105" s="251">
        <f t="shared" si="35"/>
        <v>-0.53891823738768219</v>
      </c>
      <c r="E2105" s="251">
        <v>-1.9514678432038014E-2</v>
      </c>
    </row>
    <row r="2106" spans="2:5">
      <c r="B2106" s="252">
        <v>45229</v>
      </c>
      <c r="C2106" s="251">
        <v>626.57000000000005</v>
      </c>
      <c r="D2106" s="251">
        <f t="shared" si="35"/>
        <v>-4.3769553605494012E-2</v>
      </c>
      <c r="E2106" s="251">
        <v>-1.9575014082743928E-2</v>
      </c>
    </row>
    <row r="2107" spans="2:5">
      <c r="B2107" s="252">
        <v>45772</v>
      </c>
      <c r="C2107" s="251">
        <v>655.25</v>
      </c>
      <c r="D2107" s="251">
        <f t="shared" si="35"/>
        <v>0.6001611760970964</v>
      </c>
      <c r="E2107" s="251">
        <v>-1.9600508715493414E-2</v>
      </c>
    </row>
    <row r="2108" spans="2:5">
      <c r="B2108" s="252">
        <v>45005</v>
      </c>
      <c r="C2108" s="251">
        <v>409.49</v>
      </c>
      <c r="D2108" s="251">
        <f t="shared" si="35"/>
        <v>-0.36860689229820365</v>
      </c>
      <c r="E2108" s="251">
        <v>-1.967872447391724E-2</v>
      </c>
    </row>
    <row r="2109" spans="2:5">
      <c r="B2109" s="252">
        <v>45715</v>
      </c>
      <c r="C2109" s="251">
        <v>648.54999999999995</v>
      </c>
      <c r="D2109" s="251">
        <f t="shared" si="35"/>
        <v>1.1785354383607658</v>
      </c>
      <c r="E2109" s="251">
        <v>-1.9724909310761891E-2</v>
      </c>
    </row>
    <row r="2110" spans="2:5">
      <c r="B2110" s="252">
        <v>44425</v>
      </c>
      <c r="C2110" s="251">
        <v>297.7</v>
      </c>
      <c r="D2110" s="251">
        <f t="shared" si="35"/>
        <v>1.927236971484759</v>
      </c>
      <c r="E2110" s="251">
        <v>-1.975633849193283E-2</v>
      </c>
    </row>
    <row r="2111" spans="2:5">
      <c r="B2111" s="252">
        <v>44039</v>
      </c>
      <c r="C2111" s="251">
        <v>101.7</v>
      </c>
      <c r="D2111" s="251">
        <f t="shared" si="35"/>
        <v>-0.83951396559886371</v>
      </c>
      <c r="E2111" s="251">
        <v>-1.9759036144578287E-2</v>
      </c>
    </row>
    <row r="2112" spans="2:5">
      <c r="B2112" s="252">
        <v>45877</v>
      </c>
      <c r="C2112" s="251">
        <v>633.70000000000005</v>
      </c>
      <c r="D2112" s="251">
        <f t="shared" si="35"/>
        <v>0.19228598306679218</v>
      </c>
      <c r="E2112" s="251">
        <v>-1.9798917246713E-2</v>
      </c>
    </row>
    <row r="2113" spans="2:5">
      <c r="B2113" s="252">
        <v>42768</v>
      </c>
      <c r="C2113" s="251">
        <v>531.5</v>
      </c>
      <c r="D2113" s="251">
        <f t="shared" si="35"/>
        <v>-0.22044587855676145</v>
      </c>
      <c r="E2113" s="251">
        <v>-1.9824804057169201E-2</v>
      </c>
    </row>
    <row r="2114" spans="2:5">
      <c r="B2114" s="252">
        <v>45849</v>
      </c>
      <c r="C2114" s="251">
        <v>681.8</v>
      </c>
      <c r="D2114" s="251">
        <f t="shared" si="35"/>
        <v>5.5779064158224791</v>
      </c>
      <c r="E2114" s="251">
        <v>-1.9838987924094404E-2</v>
      </c>
    </row>
    <row r="2115" spans="2:5">
      <c r="B2115" s="252">
        <v>44042</v>
      </c>
      <c r="C2115" s="251">
        <v>103.65</v>
      </c>
      <c r="D2115" s="251">
        <f t="shared" si="35"/>
        <v>-0.36235004613964933</v>
      </c>
      <c r="E2115" s="251">
        <v>-1.985815602836874E-2</v>
      </c>
    </row>
    <row r="2116" spans="2:5">
      <c r="B2116" s="252">
        <v>43644</v>
      </c>
      <c r="C2116" s="251">
        <v>162.55000000000001</v>
      </c>
      <c r="D2116" s="251">
        <f t="shared" si="35"/>
        <v>6.5015479876161693E-3</v>
      </c>
      <c r="E2116" s="251">
        <v>-1.9897497738920609E-2</v>
      </c>
    </row>
    <row r="2117" spans="2:5">
      <c r="B2117" s="252">
        <v>43798</v>
      </c>
      <c r="C2117" s="251">
        <v>161.5</v>
      </c>
      <c r="D2117" s="251">
        <f t="shared" si="35"/>
        <v>-0.67921342735127621</v>
      </c>
      <c r="E2117" s="251">
        <v>-2.0024271844660262E-2</v>
      </c>
    </row>
    <row r="2118" spans="2:5">
      <c r="B2118" s="252">
        <v>42592</v>
      </c>
      <c r="C2118" s="251">
        <v>503.45</v>
      </c>
      <c r="D2118" s="251">
        <f t="shared" si="35"/>
        <v>-0.22331070657204574</v>
      </c>
      <c r="E2118" s="251">
        <v>-2.0144024912417218E-2</v>
      </c>
    </row>
    <row r="2119" spans="2:5">
      <c r="B2119" s="252">
        <v>45783</v>
      </c>
      <c r="C2119" s="251">
        <v>648.20000000000005</v>
      </c>
      <c r="D2119" s="251">
        <f t="shared" si="35"/>
        <v>0.50237570981573776</v>
      </c>
      <c r="E2119" s="251">
        <v>-2.0179880583478058E-2</v>
      </c>
    </row>
    <row r="2120" spans="2:5">
      <c r="B2120" s="252">
        <v>42950</v>
      </c>
      <c r="C2120" s="251">
        <v>431.45</v>
      </c>
      <c r="D2120" s="251">
        <f t="shared" si="35"/>
        <v>9.7167124402400509E-2</v>
      </c>
      <c r="E2120" s="251">
        <v>-2.0211195639832029E-2</v>
      </c>
    </row>
    <row r="2121" spans="2:5">
      <c r="B2121" s="252">
        <v>44917</v>
      </c>
      <c r="C2121" s="251">
        <v>393.24</v>
      </c>
      <c r="D2121" s="251">
        <f t="shared" si="35"/>
        <v>0.18232110643415508</v>
      </c>
      <c r="E2121" s="251">
        <v>-2.0231213872832381E-2</v>
      </c>
    </row>
    <row r="2122" spans="2:5">
      <c r="B2122" s="252">
        <v>42394</v>
      </c>
      <c r="C2122" s="251">
        <v>332.6</v>
      </c>
      <c r="D2122" s="251">
        <f t="shared" ref="D2122:D2185" si="36">(C2122-C2123)/C2123</f>
        <v>-0.21731968466878449</v>
      </c>
      <c r="E2122" s="251">
        <v>-2.0324005891016135E-2</v>
      </c>
    </row>
    <row r="2123" spans="2:5">
      <c r="B2123" s="252">
        <v>44670</v>
      </c>
      <c r="C2123" s="251">
        <v>424.95</v>
      </c>
      <c r="D2123" s="251">
        <f t="shared" si="36"/>
        <v>2.6181353767560664</v>
      </c>
      <c r="E2123" s="251">
        <v>-2.0401106500691615E-2</v>
      </c>
    </row>
    <row r="2124" spans="2:5">
      <c r="B2124" s="252">
        <v>43738</v>
      </c>
      <c r="C2124" s="251">
        <v>117.45</v>
      </c>
      <c r="D2124" s="251">
        <f t="shared" si="36"/>
        <v>-0.82558657558657556</v>
      </c>
      <c r="E2124" s="251">
        <v>-2.0433694745621372E-2</v>
      </c>
    </row>
    <row r="2125" spans="2:5">
      <c r="B2125" s="252">
        <v>45860</v>
      </c>
      <c r="C2125" s="251">
        <v>673.4</v>
      </c>
      <c r="D2125" s="251">
        <f t="shared" si="36"/>
        <v>2.9681791396582207</v>
      </c>
      <c r="E2125" s="251">
        <v>-2.0437850025456495E-2</v>
      </c>
    </row>
    <row r="2126" spans="2:5">
      <c r="B2126" s="252">
        <v>43622</v>
      </c>
      <c r="C2126" s="251">
        <v>169.7</v>
      </c>
      <c r="D2126" s="251">
        <f t="shared" si="36"/>
        <v>-0.61330750826022562</v>
      </c>
      <c r="E2126" s="251">
        <v>-2.0490620490620556E-2</v>
      </c>
    </row>
    <row r="2127" spans="2:5">
      <c r="B2127" s="252">
        <v>44673</v>
      </c>
      <c r="C2127" s="251">
        <v>438.85</v>
      </c>
      <c r="D2127" s="251">
        <f t="shared" si="36"/>
        <v>5.239808153477224E-2</v>
      </c>
      <c r="E2127" s="251">
        <v>-2.0533422609083783E-2</v>
      </c>
    </row>
    <row r="2128" spans="2:5">
      <c r="B2128" s="252">
        <v>44706</v>
      </c>
      <c r="C2128" s="251">
        <v>417</v>
      </c>
      <c r="D2128" s="251">
        <f t="shared" si="36"/>
        <v>0.59434142611355378</v>
      </c>
      <c r="E2128" s="251">
        <v>-2.0551967116852612E-2</v>
      </c>
    </row>
    <row r="2129" spans="2:5">
      <c r="B2129" s="252">
        <v>43286</v>
      </c>
      <c r="C2129" s="251">
        <v>261.55</v>
      </c>
      <c r="D2129" s="251">
        <f t="shared" si="36"/>
        <v>-0.73346581065932948</v>
      </c>
      <c r="E2129" s="251">
        <v>-2.0595394120951131E-2</v>
      </c>
    </row>
    <row r="2130" spans="2:5">
      <c r="B2130" s="252">
        <v>45475</v>
      </c>
      <c r="C2130" s="251">
        <v>981.3</v>
      </c>
      <c r="D2130" s="251">
        <f t="shared" si="36"/>
        <v>0.72885835095137408</v>
      </c>
      <c r="E2130" s="251">
        <v>-2.0707549523476872E-2</v>
      </c>
    </row>
    <row r="2131" spans="2:5">
      <c r="B2131" s="252">
        <v>45099</v>
      </c>
      <c r="C2131" s="251">
        <v>567.6</v>
      </c>
      <c r="D2131" s="251">
        <f t="shared" si="36"/>
        <v>2.3977850942831487</v>
      </c>
      <c r="E2131" s="251">
        <v>-2.0720829523300135E-2</v>
      </c>
    </row>
    <row r="2132" spans="2:5">
      <c r="B2132" s="252">
        <v>43783</v>
      </c>
      <c r="C2132" s="251">
        <v>167.05</v>
      </c>
      <c r="D2132" s="251">
        <f t="shared" si="36"/>
        <v>-0.81864272453887155</v>
      </c>
      <c r="E2132" s="251">
        <v>-2.0808909730363322E-2</v>
      </c>
    </row>
    <row r="2133" spans="2:5">
      <c r="B2133" s="252">
        <v>45442</v>
      </c>
      <c r="C2133" s="251">
        <v>921.11</v>
      </c>
      <c r="D2133" s="251">
        <f t="shared" si="36"/>
        <v>1.220612343297975</v>
      </c>
      <c r="E2133" s="251">
        <v>-2.0824917614542394E-2</v>
      </c>
    </row>
    <row r="2134" spans="2:5">
      <c r="B2134" s="252">
        <v>42998</v>
      </c>
      <c r="C2134" s="251">
        <v>414.8</v>
      </c>
      <c r="D2134" s="251">
        <f t="shared" si="36"/>
        <v>-8.7147887323943588E-2</v>
      </c>
      <c r="E2134" s="251">
        <v>-2.0889885518706401E-2</v>
      </c>
    </row>
    <row r="2135" spans="2:5">
      <c r="B2135" s="252">
        <v>42716</v>
      </c>
      <c r="C2135" s="251">
        <v>454.4</v>
      </c>
      <c r="D2135" s="251">
        <f t="shared" si="36"/>
        <v>0.67644346061612237</v>
      </c>
      <c r="E2135" s="251">
        <v>-2.0900667959491585E-2</v>
      </c>
    </row>
    <row r="2136" spans="2:5">
      <c r="B2136" s="252">
        <v>43278</v>
      </c>
      <c r="C2136" s="251">
        <v>271.05</v>
      </c>
      <c r="D2136" s="251">
        <f t="shared" si="36"/>
        <v>-0.31196852392435581</v>
      </c>
      <c r="E2136" s="251">
        <v>-2.094997290951783E-2</v>
      </c>
    </row>
    <row r="2137" spans="2:5">
      <c r="B2137" s="252">
        <v>42347</v>
      </c>
      <c r="C2137" s="251">
        <v>393.95</v>
      </c>
      <c r="D2137" s="251">
        <f t="shared" si="36"/>
        <v>-6.6026552868658189E-2</v>
      </c>
      <c r="E2137" s="251">
        <v>-2.0999005964214685E-2</v>
      </c>
    </row>
    <row r="2138" spans="2:5">
      <c r="B2138" s="252">
        <v>44827</v>
      </c>
      <c r="C2138" s="251">
        <v>421.8</v>
      </c>
      <c r="D2138" s="251">
        <f t="shared" si="36"/>
        <v>9.7265940011966354E-2</v>
      </c>
      <c r="E2138" s="251">
        <v>-2.1050432845173703E-2</v>
      </c>
    </row>
    <row r="2139" spans="2:5">
      <c r="B2139" s="252">
        <v>44930</v>
      </c>
      <c r="C2139" s="251">
        <v>384.41</v>
      </c>
      <c r="D2139" s="251">
        <f t="shared" si="36"/>
        <v>-0.63509421424842183</v>
      </c>
      <c r="E2139" s="251">
        <v>-2.1085334487763816E-2</v>
      </c>
    </row>
    <row r="2140" spans="2:5">
      <c r="B2140" s="252">
        <v>45517</v>
      </c>
      <c r="C2140" s="267">
        <v>1053.45</v>
      </c>
      <c r="D2140" s="251">
        <f t="shared" si="36"/>
        <v>1.3771860543833918</v>
      </c>
      <c r="E2140" s="251">
        <v>-2.1093713701621563E-2</v>
      </c>
    </row>
    <row r="2141" spans="2:5">
      <c r="B2141" s="252">
        <v>42909</v>
      </c>
      <c r="C2141" s="251">
        <v>443.15</v>
      </c>
      <c r="D2141" s="251">
        <f t="shared" si="36"/>
        <v>-0.10996183972685279</v>
      </c>
      <c r="E2141" s="251">
        <v>-2.1095648332228874E-2</v>
      </c>
    </row>
    <row r="2142" spans="2:5">
      <c r="B2142" s="252">
        <v>44496</v>
      </c>
      <c r="C2142" s="251">
        <v>497.9</v>
      </c>
      <c r="D2142" s="251">
        <f t="shared" si="36"/>
        <v>0.19932554498374083</v>
      </c>
      <c r="E2142" s="251">
        <v>-2.1134375307185687E-2</v>
      </c>
    </row>
    <row r="2143" spans="2:5">
      <c r="B2143" s="252">
        <v>44699</v>
      </c>
      <c r="C2143" s="251">
        <v>415.15</v>
      </c>
      <c r="D2143" s="251">
        <f t="shared" si="36"/>
        <v>1.4066666666666665</v>
      </c>
      <c r="E2143" s="251">
        <v>-2.1218908405045388E-2</v>
      </c>
    </row>
    <row r="2144" spans="2:5">
      <c r="B2144" s="252">
        <v>43458</v>
      </c>
      <c r="C2144" s="251">
        <v>172.5</v>
      </c>
      <c r="D2144" s="251">
        <f t="shared" si="36"/>
        <v>-0.4393890152746181</v>
      </c>
      <c r="E2144" s="251">
        <v>-2.1276595744680851E-2</v>
      </c>
    </row>
    <row r="2145" spans="2:5">
      <c r="B2145" s="252">
        <v>44336</v>
      </c>
      <c r="C2145" s="251">
        <v>307.7</v>
      </c>
      <c r="D2145" s="251">
        <f t="shared" si="36"/>
        <v>1.3328278999241847</v>
      </c>
      <c r="E2145" s="251">
        <v>-2.146605183653999E-2</v>
      </c>
    </row>
    <row r="2146" spans="2:5">
      <c r="B2146" s="252">
        <v>44133</v>
      </c>
      <c r="C2146" s="251">
        <v>131.9</v>
      </c>
      <c r="D2146" s="251">
        <f t="shared" si="36"/>
        <v>-0.68854781582054314</v>
      </c>
      <c r="E2146" s="251">
        <v>-2.1513353115727045E-2</v>
      </c>
    </row>
    <row r="2147" spans="2:5">
      <c r="B2147" s="252">
        <v>44685</v>
      </c>
      <c r="C2147" s="251">
        <v>423.5</v>
      </c>
      <c r="D2147" s="251">
        <f t="shared" si="36"/>
        <v>-7.3912092718128167E-2</v>
      </c>
      <c r="E2147" s="251">
        <v>-2.1601016518424446E-2</v>
      </c>
    </row>
    <row r="2148" spans="2:5">
      <c r="B2148" s="252">
        <v>42907</v>
      </c>
      <c r="C2148" s="251">
        <v>457.3</v>
      </c>
      <c r="D2148" s="251">
        <f t="shared" si="36"/>
        <v>-0.52775827171712997</v>
      </c>
      <c r="E2148" s="251">
        <v>-2.1608900299529239E-2</v>
      </c>
    </row>
    <row r="2149" spans="2:5">
      <c r="B2149" s="252">
        <v>45400</v>
      </c>
      <c r="C2149" s="251">
        <v>968.36</v>
      </c>
      <c r="D2149" s="251">
        <f t="shared" si="36"/>
        <v>4.4911256024950381</v>
      </c>
      <c r="E2149" s="251">
        <v>-2.1611518060116176E-2</v>
      </c>
    </row>
    <row r="2150" spans="2:5">
      <c r="B2150" s="252">
        <v>43614</v>
      </c>
      <c r="C2150" s="251">
        <v>176.35</v>
      </c>
      <c r="D2150" s="251">
        <f t="shared" si="36"/>
        <v>0.69975903614457824</v>
      </c>
      <c r="E2150" s="251">
        <v>-2.1636615811373123E-2</v>
      </c>
    </row>
    <row r="2151" spans="2:5">
      <c r="B2151" s="252">
        <v>44036</v>
      </c>
      <c r="C2151" s="251">
        <v>103.75</v>
      </c>
      <c r="D2151" s="251">
        <f t="shared" si="36"/>
        <v>-0.65662750289591265</v>
      </c>
      <c r="E2151" s="251">
        <v>-2.1687883074021662E-2</v>
      </c>
    </row>
    <row r="2152" spans="2:5">
      <c r="B2152" s="252">
        <v>44397</v>
      </c>
      <c r="C2152" s="251">
        <v>302.14999999999998</v>
      </c>
      <c r="D2152" s="251">
        <f t="shared" si="36"/>
        <v>9.099115363784073E-2</v>
      </c>
      <c r="E2152" s="251">
        <v>-2.169337866278143E-2</v>
      </c>
    </row>
    <row r="2153" spans="2:5">
      <c r="B2153" s="252">
        <v>44431</v>
      </c>
      <c r="C2153" s="251">
        <v>276.95</v>
      </c>
      <c r="D2153" s="251">
        <f t="shared" si="36"/>
        <v>-0.16291370711802941</v>
      </c>
      <c r="E2153" s="251">
        <v>-2.1723772518544803E-2</v>
      </c>
    </row>
    <row r="2154" spans="2:5">
      <c r="B2154" s="252">
        <v>43182</v>
      </c>
      <c r="C2154" s="251">
        <v>330.85</v>
      </c>
      <c r="D2154" s="251">
        <f t="shared" si="36"/>
        <v>2.2404202719406675E-2</v>
      </c>
      <c r="E2154" s="251">
        <v>-2.173270254287394E-2</v>
      </c>
    </row>
    <row r="2155" spans="2:5">
      <c r="B2155" s="252">
        <v>43234</v>
      </c>
      <c r="C2155" s="251">
        <v>323.60000000000002</v>
      </c>
      <c r="D2155" s="251">
        <f t="shared" si="36"/>
        <v>-0.29182623919466016</v>
      </c>
      <c r="E2155" s="251">
        <v>-2.1765417170495734E-2</v>
      </c>
    </row>
    <row r="2156" spans="2:5">
      <c r="B2156" s="252">
        <v>42531</v>
      </c>
      <c r="C2156" s="251">
        <v>456.95</v>
      </c>
      <c r="D2156" s="251">
        <f t="shared" si="36"/>
        <v>1.8911736792154379</v>
      </c>
      <c r="E2156" s="251">
        <v>-2.183452852402866E-2</v>
      </c>
    </row>
    <row r="2157" spans="2:5">
      <c r="B2157" s="252">
        <v>43880</v>
      </c>
      <c r="C2157" s="251">
        <v>158.05000000000001</v>
      </c>
      <c r="D2157" s="251">
        <f t="shared" si="36"/>
        <v>-9.7630602340850664E-2</v>
      </c>
      <c r="E2157" s="251">
        <v>-2.1967821782178112E-2</v>
      </c>
    </row>
    <row r="2158" spans="2:5">
      <c r="B2158" s="252">
        <v>43608</v>
      </c>
      <c r="C2158" s="251">
        <v>175.15</v>
      </c>
      <c r="D2158" s="251">
        <f t="shared" si="36"/>
        <v>-0.78071987480438187</v>
      </c>
      <c r="E2158" s="251">
        <v>-2.205471803461747E-2</v>
      </c>
    </row>
    <row r="2159" spans="2:5">
      <c r="B2159" s="252">
        <v>45635</v>
      </c>
      <c r="C2159" s="251">
        <v>798.75</v>
      </c>
      <c r="D2159" s="251">
        <f t="shared" si="36"/>
        <v>0.29061707250076751</v>
      </c>
      <c r="E2159" s="251">
        <v>-2.2098432908912776E-2</v>
      </c>
    </row>
    <row r="2160" spans="2:5">
      <c r="B2160" s="252">
        <v>45181</v>
      </c>
      <c r="C2160" s="251">
        <v>618.89</v>
      </c>
      <c r="D2160" s="251">
        <f t="shared" si="36"/>
        <v>1.1907610619469027</v>
      </c>
      <c r="E2160" s="251">
        <v>-2.2136198451572116E-2</v>
      </c>
    </row>
    <row r="2161" spans="2:5">
      <c r="B2161" s="252">
        <v>43251</v>
      </c>
      <c r="C2161" s="251">
        <v>282.5</v>
      </c>
      <c r="D2161" s="251">
        <f t="shared" si="36"/>
        <v>-6.8885959129861493E-2</v>
      </c>
      <c r="E2161" s="251">
        <v>-2.215299411561086E-2</v>
      </c>
    </row>
    <row r="2162" spans="2:5">
      <c r="B2162" s="252">
        <v>42271</v>
      </c>
      <c r="C2162" s="251">
        <v>303.39999999999998</v>
      </c>
      <c r="D2162" s="251">
        <f t="shared" si="36"/>
        <v>-0.36778495519899979</v>
      </c>
      <c r="E2162" s="251">
        <v>-2.2236545278762596E-2</v>
      </c>
    </row>
    <row r="2163" spans="2:5">
      <c r="B2163" s="252">
        <v>44494</v>
      </c>
      <c r="C2163" s="251">
        <v>479.9</v>
      </c>
      <c r="D2163" s="251">
        <f t="shared" si="36"/>
        <v>1.3929194714535027</v>
      </c>
      <c r="E2163" s="251">
        <v>-2.2407822367080873E-2</v>
      </c>
    </row>
    <row r="2164" spans="2:5">
      <c r="B2164" s="252">
        <v>43563</v>
      </c>
      <c r="C2164" s="251">
        <v>200.55</v>
      </c>
      <c r="D2164" s="251">
        <f t="shared" si="36"/>
        <v>-0.7266407687589449</v>
      </c>
      <c r="E2164" s="251">
        <v>-2.2422617596880304E-2</v>
      </c>
    </row>
    <row r="2165" spans="2:5">
      <c r="B2165" s="252">
        <v>45656</v>
      </c>
      <c r="C2165" s="251">
        <v>733.65</v>
      </c>
      <c r="D2165" s="251">
        <f t="shared" si="36"/>
        <v>5.1316339323025488</v>
      </c>
      <c r="E2165" s="251">
        <v>-2.2451698867421748E-2</v>
      </c>
    </row>
    <row r="2166" spans="2:5">
      <c r="B2166" s="252">
        <v>43742</v>
      </c>
      <c r="C2166" s="251">
        <v>119.65</v>
      </c>
      <c r="D2166" s="251">
        <f t="shared" si="36"/>
        <v>-0.29926793557833087</v>
      </c>
      <c r="E2166" s="251">
        <v>-2.2467320261437908E-2</v>
      </c>
    </row>
    <row r="2167" spans="2:5">
      <c r="B2167" s="252">
        <v>43395</v>
      </c>
      <c r="C2167" s="251">
        <v>170.75</v>
      </c>
      <c r="D2167" s="251">
        <f t="shared" si="36"/>
        <v>-0.60882016036655207</v>
      </c>
      <c r="E2167" s="251">
        <v>-2.2610188895248934E-2</v>
      </c>
    </row>
    <row r="2168" spans="2:5">
      <c r="B2168" s="252">
        <v>42859</v>
      </c>
      <c r="C2168" s="251">
        <v>436.5</v>
      </c>
      <c r="D2168" s="251">
        <f t="shared" si="36"/>
        <v>-0.53708613485481582</v>
      </c>
      <c r="E2168" s="251">
        <v>-2.2615315718764045E-2</v>
      </c>
    </row>
    <row r="2169" spans="2:5">
      <c r="B2169" s="252">
        <v>45366</v>
      </c>
      <c r="C2169" s="251">
        <v>942.94</v>
      </c>
      <c r="D2169" s="251">
        <f t="shared" si="36"/>
        <v>1.0991540516473732</v>
      </c>
      <c r="E2169" s="251">
        <v>-2.2627154658623225E-2</v>
      </c>
    </row>
    <row r="2170" spans="2:5">
      <c r="B2170" s="252">
        <v>42522</v>
      </c>
      <c r="C2170" s="251">
        <v>449.2</v>
      </c>
      <c r="D2170" s="251">
        <f t="shared" si="36"/>
        <v>0.227657830008199</v>
      </c>
      <c r="E2170" s="251">
        <v>-2.2734689437615554E-2</v>
      </c>
    </row>
    <row r="2171" spans="2:5">
      <c r="B2171" s="252">
        <v>42375</v>
      </c>
      <c r="C2171" s="251">
        <v>365.9</v>
      </c>
      <c r="D2171" s="251">
        <f t="shared" si="36"/>
        <v>-0.12182594921518755</v>
      </c>
      <c r="E2171" s="251">
        <v>-2.2833489117372176E-2</v>
      </c>
    </row>
    <row r="2172" spans="2:5">
      <c r="B2172" s="252">
        <v>44984</v>
      </c>
      <c r="C2172" s="251">
        <v>416.66</v>
      </c>
      <c r="D2172" s="251">
        <f t="shared" si="36"/>
        <v>-0.49440601868705253</v>
      </c>
      <c r="E2172" s="251">
        <v>-2.2911146026311426E-2</v>
      </c>
    </row>
    <row r="2173" spans="2:5">
      <c r="B2173" s="252">
        <v>45600</v>
      </c>
      <c r="C2173" s="251">
        <v>824.1</v>
      </c>
      <c r="D2173" s="251">
        <f t="shared" si="36"/>
        <v>3.52305159165752</v>
      </c>
      <c r="E2173" s="251">
        <v>-2.2941490307664972E-2</v>
      </c>
    </row>
    <row r="2174" spans="2:5">
      <c r="B2174" s="252">
        <v>43857</v>
      </c>
      <c r="C2174" s="251">
        <v>182.2</v>
      </c>
      <c r="D2174" s="251">
        <f t="shared" si="36"/>
        <v>0.17814419657290645</v>
      </c>
      <c r="E2174" s="251">
        <v>-2.3056300268096575E-2</v>
      </c>
    </row>
    <row r="2175" spans="2:5">
      <c r="B2175" s="252">
        <v>43635</v>
      </c>
      <c r="C2175" s="251">
        <v>154.65</v>
      </c>
      <c r="D2175" s="251">
        <f t="shared" si="36"/>
        <v>-0.53171839515518549</v>
      </c>
      <c r="E2175" s="251">
        <v>-2.30574857864814E-2</v>
      </c>
    </row>
    <row r="2176" spans="2:5">
      <c r="B2176" s="252">
        <v>42265</v>
      </c>
      <c r="C2176" s="251">
        <v>330.25</v>
      </c>
      <c r="D2176" s="251">
        <f t="shared" si="36"/>
        <v>2.2569033530571989</v>
      </c>
      <c r="E2176" s="251">
        <v>-2.3073509835823135E-2</v>
      </c>
    </row>
    <row r="2177" spans="2:5">
      <c r="B2177" s="252">
        <v>44008</v>
      </c>
      <c r="C2177" s="251">
        <v>101.4</v>
      </c>
      <c r="D2177" s="251">
        <f t="shared" si="36"/>
        <v>-0.65691084418880052</v>
      </c>
      <c r="E2177" s="251">
        <v>-2.3121387283236913E-2</v>
      </c>
    </row>
    <row r="2178" spans="2:5">
      <c r="B2178" s="252">
        <v>44400</v>
      </c>
      <c r="C2178" s="251">
        <v>295.55</v>
      </c>
      <c r="D2178" s="251">
        <f t="shared" si="36"/>
        <v>-0.35221917808219178</v>
      </c>
      <c r="E2178" s="251">
        <v>-2.313667162452487E-2</v>
      </c>
    </row>
    <row r="2179" spans="2:5">
      <c r="B2179" s="252">
        <v>42898</v>
      </c>
      <c r="C2179" s="251">
        <v>456.25</v>
      </c>
      <c r="D2179" s="251">
        <f t="shared" si="36"/>
        <v>1.6634559252772911</v>
      </c>
      <c r="E2179" s="251">
        <v>-2.3228430742881657E-2</v>
      </c>
    </row>
    <row r="2180" spans="2:5">
      <c r="B2180" s="252">
        <v>43549</v>
      </c>
      <c r="C2180" s="251">
        <v>171.3</v>
      </c>
      <c r="D2180" s="251">
        <f t="shared" si="36"/>
        <v>-0.54903251283401344</v>
      </c>
      <c r="E2180" s="251">
        <v>-2.3375142531356866E-2</v>
      </c>
    </row>
    <row r="2181" spans="2:5">
      <c r="B2181" s="252">
        <v>42501</v>
      </c>
      <c r="C2181" s="251">
        <v>379.85</v>
      </c>
      <c r="D2181" s="251">
        <f t="shared" si="36"/>
        <v>-0.13097689315946007</v>
      </c>
      <c r="E2181" s="251">
        <v>-2.3396323434888715E-2</v>
      </c>
    </row>
    <row r="2182" spans="2:5">
      <c r="B2182" s="252">
        <v>44623</v>
      </c>
      <c r="C2182" s="251">
        <v>437.1</v>
      </c>
      <c r="D2182" s="251">
        <f t="shared" si="36"/>
        <v>0.4354679802955666</v>
      </c>
      <c r="E2182" s="251">
        <v>-2.3458445040214475E-2</v>
      </c>
    </row>
    <row r="2183" spans="2:5">
      <c r="B2183" s="252">
        <v>44249</v>
      </c>
      <c r="C2183" s="251">
        <v>304.5</v>
      </c>
      <c r="D2183" s="251">
        <f t="shared" si="36"/>
        <v>0.20905300774270402</v>
      </c>
      <c r="E2183" s="251">
        <v>-2.3569023569023639E-2</v>
      </c>
    </row>
    <row r="2184" spans="2:5">
      <c r="B2184" s="252">
        <v>43299</v>
      </c>
      <c r="C2184" s="251">
        <v>251.85</v>
      </c>
      <c r="D2184" s="251">
        <f t="shared" si="36"/>
        <v>-0.66092224840121172</v>
      </c>
      <c r="E2184" s="251">
        <v>-2.3647993797247507E-2</v>
      </c>
    </row>
    <row r="2185" spans="2:5">
      <c r="B2185" s="252">
        <v>45679</v>
      </c>
      <c r="C2185" s="251">
        <v>742.75</v>
      </c>
      <c r="D2185" s="251">
        <f t="shared" si="36"/>
        <v>0.837807744649264</v>
      </c>
      <c r="E2185" s="251">
        <v>-2.3660860992441669E-2</v>
      </c>
    </row>
    <row r="2186" spans="2:5">
      <c r="B2186" s="252">
        <v>43069</v>
      </c>
      <c r="C2186" s="251">
        <v>404.15</v>
      </c>
      <c r="D2186" s="251">
        <f t="shared" ref="D2186:D2249" si="37">(C2186-C2187)/C2187</f>
        <v>-0.50698383653552914</v>
      </c>
      <c r="E2186" s="251">
        <v>-2.3674356806377611E-2</v>
      </c>
    </row>
    <row r="2187" spans="2:5">
      <c r="B2187" s="252">
        <v>45603</v>
      </c>
      <c r="C2187" s="251">
        <v>819.75</v>
      </c>
      <c r="D2187" s="251">
        <f t="shared" si="37"/>
        <v>2.1498559077809798</v>
      </c>
      <c r="E2187" s="251">
        <v>-2.3758485173276223E-2</v>
      </c>
    </row>
    <row r="2188" spans="2:5">
      <c r="B2188" s="252">
        <v>43360</v>
      </c>
      <c r="C2188" s="251">
        <v>260.25</v>
      </c>
      <c r="D2188" s="251">
        <f t="shared" si="37"/>
        <v>-8.5076463350325149E-2</v>
      </c>
      <c r="E2188" s="251">
        <v>-2.3818454613653495E-2</v>
      </c>
    </row>
    <row r="2189" spans="2:5">
      <c r="B2189" s="252">
        <v>44405</v>
      </c>
      <c r="C2189" s="251">
        <v>284.45</v>
      </c>
      <c r="D2189" s="251">
        <f t="shared" si="37"/>
        <v>-0.15693538826318906</v>
      </c>
      <c r="E2189" s="251">
        <v>-2.3850377487988982E-2</v>
      </c>
    </row>
    <row r="2190" spans="2:5">
      <c r="B2190" s="252">
        <v>44365</v>
      </c>
      <c r="C2190" s="251">
        <v>337.4</v>
      </c>
      <c r="D2190" s="251">
        <f t="shared" si="37"/>
        <v>-0.25329202168861359</v>
      </c>
      <c r="E2190" s="251">
        <v>-2.3868074641978883E-2</v>
      </c>
    </row>
    <row r="2191" spans="2:5">
      <c r="B2191" s="252">
        <v>43046</v>
      </c>
      <c r="C2191" s="251">
        <v>451.85</v>
      </c>
      <c r="D2191" s="251">
        <f t="shared" si="37"/>
        <v>-0.29984814677079458</v>
      </c>
      <c r="E2191" s="251">
        <v>-2.3871246489522477E-2</v>
      </c>
    </row>
    <row r="2192" spans="2:5">
      <c r="B2192" s="252">
        <v>45222</v>
      </c>
      <c r="C2192" s="251">
        <v>645.36</v>
      </c>
      <c r="D2192" s="251">
        <f t="shared" si="37"/>
        <v>-4.135472370766493E-2</v>
      </c>
      <c r="E2192" s="251">
        <v>-2.3897392461733856E-2</v>
      </c>
    </row>
    <row r="2193" spans="2:5">
      <c r="B2193" s="252">
        <v>45709</v>
      </c>
      <c r="C2193" s="251">
        <v>673.2</v>
      </c>
      <c r="D2193" s="251">
        <f t="shared" si="37"/>
        <v>4.0351533283470458</v>
      </c>
      <c r="E2193" s="251">
        <v>-2.4064946361264005E-2</v>
      </c>
    </row>
    <row r="2194" spans="2:5">
      <c r="B2194" s="252">
        <v>44130</v>
      </c>
      <c r="C2194" s="251">
        <v>133.69999999999999</v>
      </c>
      <c r="D2194" s="251">
        <f t="shared" si="37"/>
        <v>-0.70508437189809203</v>
      </c>
      <c r="E2194" s="251">
        <v>-2.4087591240875995E-2</v>
      </c>
    </row>
    <row r="2195" spans="2:5">
      <c r="B2195" s="252">
        <v>42838</v>
      </c>
      <c r="C2195" s="251">
        <v>453.35</v>
      </c>
      <c r="D2195" s="251">
        <f t="shared" si="37"/>
        <v>1.1490406068719398E-2</v>
      </c>
      <c r="E2195" s="251">
        <v>-2.4109353137444813E-2</v>
      </c>
    </row>
    <row r="2196" spans="2:5">
      <c r="B2196" s="252">
        <v>42705</v>
      </c>
      <c r="C2196" s="251">
        <v>448.2</v>
      </c>
      <c r="D2196" s="251">
        <f t="shared" si="37"/>
        <v>6.2337046693529304E-2</v>
      </c>
      <c r="E2196" s="251">
        <v>-2.4167210973220166E-2</v>
      </c>
    </row>
    <row r="2197" spans="2:5">
      <c r="B2197" s="252">
        <v>43116</v>
      </c>
      <c r="C2197" s="251">
        <v>421.9</v>
      </c>
      <c r="D2197" s="251">
        <f t="shared" si="37"/>
        <v>0.19755889866590964</v>
      </c>
      <c r="E2197" s="251">
        <v>-2.4170232450560991E-2</v>
      </c>
    </row>
    <row r="2198" spans="2:5">
      <c r="B2198" s="252">
        <v>42291</v>
      </c>
      <c r="C2198" s="251">
        <v>352.3</v>
      </c>
      <c r="D2198" s="251">
        <f t="shared" si="37"/>
        <v>5.6055155875299724E-2</v>
      </c>
      <c r="E2198" s="251">
        <v>-2.4369980614788178E-2</v>
      </c>
    </row>
    <row r="2199" spans="2:5">
      <c r="B2199" s="252">
        <v>43230</v>
      </c>
      <c r="C2199" s="251">
        <v>333.6</v>
      </c>
      <c r="D2199" s="251">
        <f t="shared" si="37"/>
        <v>-0.54556599918267268</v>
      </c>
      <c r="E2199" s="251">
        <v>-2.441877467465994E-2</v>
      </c>
    </row>
    <row r="2200" spans="2:5">
      <c r="B2200" s="252">
        <v>45681</v>
      </c>
      <c r="C2200" s="251">
        <v>734.1</v>
      </c>
      <c r="D2200" s="251">
        <f t="shared" si="37"/>
        <v>-6.4662037331974259E-2</v>
      </c>
      <c r="E2200" s="251">
        <v>-2.4451827242524888E-2</v>
      </c>
    </row>
    <row r="2201" spans="2:5">
      <c r="B2201" s="252">
        <v>45608</v>
      </c>
      <c r="C2201" s="251">
        <v>784.85</v>
      </c>
      <c r="D2201" s="251">
        <f t="shared" si="37"/>
        <v>3.4644482366325366</v>
      </c>
      <c r="E2201" s="251">
        <v>-2.4667577979371223E-2</v>
      </c>
    </row>
    <row r="2202" spans="2:5">
      <c r="B2202" s="252">
        <v>43501</v>
      </c>
      <c r="C2202" s="251">
        <v>175.8</v>
      </c>
      <c r="D2202" s="251">
        <f t="shared" si="37"/>
        <v>-0.5985843132777714</v>
      </c>
      <c r="E2202" s="251">
        <v>-2.4687933425797441E-2</v>
      </c>
    </row>
    <row r="2203" spans="2:5">
      <c r="B2203" s="252">
        <v>42873</v>
      </c>
      <c r="C2203" s="251">
        <v>437.95</v>
      </c>
      <c r="D2203" s="251">
        <f t="shared" si="37"/>
        <v>1.9661361327463593</v>
      </c>
      <c r="E2203" s="251">
        <v>-2.4827432643063981E-2</v>
      </c>
    </row>
    <row r="2204" spans="2:5">
      <c r="B2204" s="252">
        <v>44091</v>
      </c>
      <c r="C2204" s="251">
        <v>147.65</v>
      </c>
      <c r="D2204" s="251">
        <f t="shared" si="37"/>
        <v>-0.61524429967426708</v>
      </c>
      <c r="E2204" s="251">
        <v>-2.5090789039286781E-2</v>
      </c>
    </row>
    <row r="2205" spans="2:5">
      <c r="B2205" s="252">
        <v>43133</v>
      </c>
      <c r="C2205" s="251">
        <v>383.75</v>
      </c>
      <c r="D2205" s="251">
        <f t="shared" si="37"/>
        <v>-0.1881743177491009</v>
      </c>
      <c r="E2205" s="251">
        <v>-2.5149244252508519E-2</v>
      </c>
    </row>
    <row r="2206" spans="2:5">
      <c r="B2206" s="252">
        <v>42543</v>
      </c>
      <c r="C2206" s="251">
        <v>472.7</v>
      </c>
      <c r="D2206" s="251">
        <f t="shared" si="37"/>
        <v>4.5912158424604492E-2</v>
      </c>
      <c r="E2206" s="251">
        <v>-2.5159826768405835E-2</v>
      </c>
    </row>
    <row r="2207" spans="2:5">
      <c r="B2207" s="252">
        <v>44802</v>
      </c>
      <c r="C2207" s="251">
        <v>451.95</v>
      </c>
      <c r="D2207" s="251">
        <f t="shared" si="37"/>
        <v>1.76</v>
      </c>
      <c r="E2207" s="251">
        <v>-2.5171476640352047E-2</v>
      </c>
    </row>
    <row r="2208" spans="2:5">
      <c r="B2208" s="252">
        <v>43648</v>
      </c>
      <c r="C2208" s="251">
        <v>163.75</v>
      </c>
      <c r="D2208" s="251">
        <f t="shared" si="37"/>
        <v>0.25286916602907433</v>
      </c>
      <c r="E2208" s="251">
        <v>-2.5297619047619048E-2</v>
      </c>
    </row>
    <row r="2209" spans="2:5">
      <c r="B2209" s="252">
        <v>44118</v>
      </c>
      <c r="C2209" s="251">
        <v>130.69999999999999</v>
      </c>
      <c r="D2209" s="251">
        <f t="shared" si="37"/>
        <v>-0.67354381057048662</v>
      </c>
      <c r="E2209" s="251">
        <v>-2.5354213273676405E-2</v>
      </c>
    </row>
    <row r="2210" spans="2:5">
      <c r="B2210" s="252">
        <v>45013</v>
      </c>
      <c r="C2210" s="251">
        <v>400.36</v>
      </c>
      <c r="D2210" s="251">
        <f t="shared" si="37"/>
        <v>-0.23929317879536377</v>
      </c>
      <c r="E2210" s="251">
        <v>-2.536637616242261E-2</v>
      </c>
    </row>
    <row r="2211" spans="2:5">
      <c r="B2211" s="252">
        <v>42642</v>
      </c>
      <c r="C2211" s="251">
        <v>526.29999999999995</v>
      </c>
      <c r="D2211" s="251">
        <f t="shared" si="37"/>
        <v>-0.34046792566322892</v>
      </c>
      <c r="E2211" s="251">
        <v>-2.5370370370370456E-2</v>
      </c>
    </row>
    <row r="2212" spans="2:5">
      <c r="B2212" s="252">
        <v>45314</v>
      </c>
      <c r="C2212" s="251">
        <v>797.99</v>
      </c>
      <c r="D2212" s="251">
        <f t="shared" si="37"/>
        <v>0.22985281652153808</v>
      </c>
      <c r="E2212" s="251">
        <v>-2.5534253266577076E-2</v>
      </c>
    </row>
    <row r="2213" spans="2:5">
      <c r="B2213" s="252">
        <v>45870</v>
      </c>
      <c r="C2213" s="251">
        <v>648.85</v>
      </c>
      <c r="D2213" s="251">
        <f t="shared" si="37"/>
        <v>0.93081386698407975</v>
      </c>
      <c r="E2213" s="251">
        <v>-2.567760342368049E-2</v>
      </c>
    </row>
    <row r="2214" spans="2:5">
      <c r="B2214" s="252">
        <v>44475</v>
      </c>
      <c r="C2214" s="251">
        <v>336.05</v>
      </c>
      <c r="D2214" s="251">
        <f t="shared" si="37"/>
        <v>1.3833333333333333</v>
      </c>
      <c r="E2214" s="251">
        <v>-2.5800840701550885E-2</v>
      </c>
    </row>
    <row r="2215" spans="2:5">
      <c r="B2215" s="252">
        <v>44111</v>
      </c>
      <c r="C2215" s="251">
        <v>141</v>
      </c>
      <c r="D2215" s="251">
        <f t="shared" si="37"/>
        <v>-0.72040452111838194</v>
      </c>
      <c r="E2215" s="251">
        <v>-2.5906735751295335E-2</v>
      </c>
    </row>
    <row r="2216" spans="2:5">
      <c r="B2216" s="252">
        <v>44593</v>
      </c>
      <c r="C2216" s="251">
        <v>504.3</v>
      </c>
      <c r="D2216" s="251">
        <f t="shared" si="37"/>
        <v>0.13458423326133906</v>
      </c>
      <c r="E2216" s="251">
        <v>-2.5977788507967142E-2</v>
      </c>
    </row>
    <row r="2217" spans="2:5">
      <c r="B2217" s="252">
        <v>44811</v>
      </c>
      <c r="C2217" s="251">
        <v>444.48</v>
      </c>
      <c r="D2217" s="251">
        <f t="shared" si="37"/>
        <v>-2.0655590480466077E-3</v>
      </c>
      <c r="E2217" s="251">
        <v>-2.5989393872989344E-2</v>
      </c>
    </row>
    <row r="2218" spans="2:5">
      <c r="B2218" s="252">
        <v>42943</v>
      </c>
      <c r="C2218" s="251">
        <v>445.4</v>
      </c>
      <c r="D2218" s="251">
        <f t="shared" si="37"/>
        <v>-0.34282552563629659</v>
      </c>
      <c r="E2218" s="251">
        <v>-2.6022304832713828E-2</v>
      </c>
    </row>
    <row r="2219" spans="2:5">
      <c r="B2219" s="252">
        <v>45699</v>
      </c>
      <c r="C2219" s="251">
        <v>677.75</v>
      </c>
      <c r="D2219" s="251">
        <f t="shared" si="37"/>
        <v>-0.22939169982944854</v>
      </c>
      <c r="E2219" s="251">
        <v>-2.6221264367816091E-2</v>
      </c>
    </row>
    <row r="2220" spans="2:5">
      <c r="B2220" s="252">
        <v>45587</v>
      </c>
      <c r="C2220" s="251">
        <v>879.5</v>
      </c>
      <c r="D2220" s="251">
        <f t="shared" si="37"/>
        <v>7.3642415596766524</v>
      </c>
      <c r="E2220" s="251">
        <v>-2.6347835713494912E-2</v>
      </c>
    </row>
    <row r="2221" spans="2:5">
      <c r="B2221" s="252">
        <v>44026</v>
      </c>
      <c r="C2221" s="251">
        <v>105.15</v>
      </c>
      <c r="D2221" s="251">
        <f t="shared" si="37"/>
        <v>-0.68092853891670457</v>
      </c>
      <c r="E2221" s="251">
        <v>-2.6388888888888837E-2</v>
      </c>
    </row>
    <row r="2222" spans="2:5">
      <c r="B2222" s="252">
        <v>42402</v>
      </c>
      <c r="C2222" s="251">
        <v>329.55</v>
      </c>
      <c r="D2222" s="251">
        <f t="shared" si="37"/>
        <v>0.10513078470824957</v>
      </c>
      <c r="E2222" s="251">
        <v>-2.64401772525849E-2</v>
      </c>
    </row>
    <row r="2223" spans="2:5">
      <c r="B2223" s="252">
        <v>42425</v>
      </c>
      <c r="C2223" s="251">
        <v>298.2</v>
      </c>
      <c r="D2223" s="251">
        <f t="shared" si="37"/>
        <v>0.96636993076162203</v>
      </c>
      <c r="E2223" s="251">
        <v>-2.6444662095984402E-2</v>
      </c>
    </row>
    <row r="2224" spans="2:5">
      <c r="B2224" s="252">
        <v>43656</v>
      </c>
      <c r="C2224" s="251">
        <v>151.65</v>
      </c>
      <c r="D2224" s="251">
        <f t="shared" si="37"/>
        <v>-0.1354047890535918</v>
      </c>
      <c r="E2224" s="251">
        <v>-2.6636713735558443E-2</v>
      </c>
    </row>
    <row r="2225" spans="2:5">
      <c r="B2225" s="252">
        <v>43546</v>
      </c>
      <c r="C2225" s="251">
        <v>175.4</v>
      </c>
      <c r="D2225" s="251">
        <f t="shared" si="37"/>
        <v>-0.4891510120867919</v>
      </c>
      <c r="E2225" s="251">
        <v>-2.6637069922308455E-2</v>
      </c>
    </row>
    <row r="2226" spans="2:5">
      <c r="B2226" s="252">
        <v>44356</v>
      </c>
      <c r="C2226" s="251">
        <v>343.35</v>
      </c>
      <c r="D2226" s="251">
        <f t="shared" si="37"/>
        <v>0.1684532924961715</v>
      </c>
      <c r="E2226" s="251">
        <v>-2.6647767540751176E-2</v>
      </c>
    </row>
    <row r="2227" spans="2:5">
      <c r="B2227" s="252">
        <v>44316</v>
      </c>
      <c r="C2227" s="251">
        <v>293.85000000000002</v>
      </c>
      <c r="D2227" s="251">
        <f t="shared" si="37"/>
        <v>0.6429969247973164</v>
      </c>
      <c r="E2227" s="251">
        <v>-2.6664458429943541E-2</v>
      </c>
    </row>
    <row r="2228" spans="2:5">
      <c r="B2228" s="252">
        <v>43867</v>
      </c>
      <c r="C2228" s="251">
        <v>178.85</v>
      </c>
      <c r="D2228" s="251">
        <f t="shared" si="37"/>
        <v>0.21008119079837606</v>
      </c>
      <c r="E2228" s="251">
        <v>-2.6666666666666696E-2</v>
      </c>
    </row>
    <row r="2229" spans="2:5">
      <c r="B2229" s="252">
        <v>44078</v>
      </c>
      <c r="C2229" s="251">
        <v>147.80000000000001</v>
      </c>
      <c r="D2229" s="251">
        <f t="shared" si="37"/>
        <v>-0.56426886792452824</v>
      </c>
      <c r="E2229" s="251">
        <v>-2.6671056964109208E-2</v>
      </c>
    </row>
    <row r="2230" spans="2:5">
      <c r="B2230" s="252">
        <v>44259</v>
      </c>
      <c r="C2230" s="251">
        <v>339.2</v>
      </c>
      <c r="D2230" s="251">
        <f t="shared" si="37"/>
        <v>-0.48130591023778579</v>
      </c>
      <c r="E2230" s="251">
        <v>-2.6685796269727436E-2</v>
      </c>
    </row>
    <row r="2231" spans="2:5">
      <c r="B2231" s="252">
        <v>45750</v>
      </c>
      <c r="C2231" s="251">
        <v>653.95000000000005</v>
      </c>
      <c r="D2231" s="251">
        <f t="shared" si="37"/>
        <v>0.89770748694138136</v>
      </c>
      <c r="E2231" s="251">
        <v>-2.6715285012650591E-2</v>
      </c>
    </row>
    <row r="2232" spans="2:5">
      <c r="B2232" s="252">
        <v>42258</v>
      </c>
      <c r="C2232" s="251">
        <v>344.6</v>
      </c>
      <c r="D2232" s="251">
        <f t="shared" si="37"/>
        <v>-0.31334063963335657</v>
      </c>
      <c r="E2232" s="251">
        <v>-2.6828579497317141E-2</v>
      </c>
    </row>
    <row r="2233" spans="2:5">
      <c r="B2233" s="252">
        <v>44582</v>
      </c>
      <c r="C2233" s="251">
        <v>501.85</v>
      </c>
      <c r="D2233" s="251">
        <f t="shared" si="37"/>
        <v>7.4165239726027468E-2</v>
      </c>
      <c r="E2233" s="251">
        <v>-2.6856699631568785E-2</v>
      </c>
    </row>
    <row r="2234" spans="2:5">
      <c r="B2234" s="252">
        <v>44536</v>
      </c>
      <c r="C2234" s="251">
        <v>467.2</v>
      </c>
      <c r="D2234" s="251">
        <f t="shared" si="37"/>
        <v>-0.35474069470340441</v>
      </c>
      <c r="E2234" s="251">
        <v>-2.6869402207873431E-2</v>
      </c>
    </row>
    <row r="2235" spans="2:5">
      <c r="B2235" s="252">
        <v>45646</v>
      </c>
      <c r="C2235" s="251">
        <v>724.05</v>
      </c>
      <c r="D2235" s="251">
        <f t="shared" si="37"/>
        <v>3.1279931584948688</v>
      </c>
      <c r="E2235" s="251">
        <v>-2.6879913984275253E-2</v>
      </c>
    </row>
    <row r="2236" spans="2:5">
      <c r="B2236" s="252">
        <v>43489</v>
      </c>
      <c r="C2236" s="251">
        <v>175.4</v>
      </c>
      <c r="D2236" s="251">
        <f t="shared" si="37"/>
        <v>-0.7448541712124519</v>
      </c>
      <c r="E2236" s="251">
        <v>-2.6907073509015226E-2</v>
      </c>
    </row>
    <row r="2237" spans="2:5">
      <c r="B2237" s="252">
        <v>45691</v>
      </c>
      <c r="C2237" s="251">
        <v>687.45</v>
      </c>
      <c r="D2237" s="251">
        <f t="shared" si="37"/>
        <v>0.34583007047768211</v>
      </c>
      <c r="E2237" s="251">
        <v>-2.7032764843252295E-2</v>
      </c>
    </row>
    <row r="2238" spans="2:5">
      <c r="B2238" s="252">
        <v>44579</v>
      </c>
      <c r="C2238" s="251">
        <v>510.8</v>
      </c>
      <c r="D2238" s="251">
        <f t="shared" si="37"/>
        <v>1.7055084745762712</v>
      </c>
      <c r="E2238" s="251">
        <v>-2.7047619047619025E-2</v>
      </c>
    </row>
    <row r="2239" spans="2:5">
      <c r="B2239" s="252">
        <v>43530</v>
      </c>
      <c r="C2239" s="251">
        <v>188.8</v>
      </c>
      <c r="D2239" s="251">
        <f t="shared" si="37"/>
        <v>0.11782119597394911</v>
      </c>
      <c r="E2239" s="251">
        <v>-2.7054882762174697E-2</v>
      </c>
    </row>
    <row r="2240" spans="2:5">
      <c r="B2240" s="252">
        <v>43871</v>
      </c>
      <c r="C2240" s="251">
        <v>168.9</v>
      </c>
      <c r="D2240" s="251">
        <f t="shared" si="37"/>
        <v>-0.82861665533581597</v>
      </c>
      <c r="E2240" s="251">
        <v>-2.7073732718893944E-2</v>
      </c>
    </row>
    <row r="2241" spans="2:5">
      <c r="B2241" s="252">
        <v>45419</v>
      </c>
      <c r="C2241" s="251">
        <v>985.51</v>
      </c>
      <c r="D2241" s="251">
        <f t="shared" si="37"/>
        <v>6.8589314194577353</v>
      </c>
      <c r="E2241" s="251">
        <v>-2.7204437995400177E-2</v>
      </c>
    </row>
    <row r="2242" spans="2:5">
      <c r="B2242" s="252">
        <v>43892</v>
      </c>
      <c r="C2242" s="251">
        <v>125.4</v>
      </c>
      <c r="D2242" s="251">
        <f t="shared" si="37"/>
        <v>3.0402629416598215E-2</v>
      </c>
      <c r="E2242" s="251">
        <v>-2.7530050407134417E-2</v>
      </c>
    </row>
    <row r="2243" spans="2:5">
      <c r="B2243" s="252">
        <v>44063</v>
      </c>
      <c r="C2243" s="251">
        <v>121.7</v>
      </c>
      <c r="D2243" s="251">
        <f t="shared" si="37"/>
        <v>-0.24643962848297213</v>
      </c>
      <c r="E2243" s="251">
        <v>-2.7566919696364385E-2</v>
      </c>
    </row>
    <row r="2244" spans="2:5">
      <c r="B2244" s="252">
        <v>43805</v>
      </c>
      <c r="C2244" s="251">
        <v>161.5</v>
      </c>
      <c r="D2244" s="251">
        <f t="shared" si="37"/>
        <v>-0.10650069156293222</v>
      </c>
      <c r="E2244" s="251">
        <v>-2.7694160144491237E-2</v>
      </c>
    </row>
    <row r="2245" spans="2:5">
      <c r="B2245" s="252">
        <v>43598</v>
      </c>
      <c r="C2245" s="251">
        <v>180.75</v>
      </c>
      <c r="D2245" s="251">
        <f t="shared" si="37"/>
        <v>-0.40029860650298604</v>
      </c>
      <c r="E2245" s="251">
        <v>-2.7703066164604655E-2</v>
      </c>
    </row>
    <row r="2246" spans="2:5">
      <c r="B2246" s="252">
        <v>44305</v>
      </c>
      <c r="C2246" s="251">
        <v>301.39999999999998</v>
      </c>
      <c r="D2246" s="251">
        <f t="shared" si="37"/>
        <v>0.12546676624346514</v>
      </c>
      <c r="E2246" s="251">
        <v>-2.7741935483871043E-2</v>
      </c>
    </row>
    <row r="2247" spans="2:5">
      <c r="B2247" s="252">
        <v>43292</v>
      </c>
      <c r="C2247" s="251">
        <v>267.8</v>
      </c>
      <c r="D2247" s="251">
        <f t="shared" si="37"/>
        <v>-0.39718626899268428</v>
      </c>
      <c r="E2247" s="251">
        <v>-2.7772735523688429E-2</v>
      </c>
    </row>
    <row r="2248" spans="2:5">
      <c r="B2248" s="252">
        <v>42534</v>
      </c>
      <c r="C2248" s="251">
        <v>444.25</v>
      </c>
      <c r="D2248" s="251">
        <f t="shared" si="37"/>
        <v>1.5014076576576576</v>
      </c>
      <c r="E2248" s="251">
        <v>-2.7792975161396189E-2</v>
      </c>
    </row>
    <row r="2249" spans="2:5">
      <c r="B2249" s="252">
        <v>44175</v>
      </c>
      <c r="C2249" s="251">
        <v>177.6</v>
      </c>
      <c r="D2249" s="251">
        <f t="shared" si="37"/>
        <v>0.62191780821917808</v>
      </c>
      <c r="E2249" s="251">
        <v>-2.7914614121510643E-2</v>
      </c>
    </row>
    <row r="2250" spans="2:5">
      <c r="B2250" s="252">
        <v>43712</v>
      </c>
      <c r="C2250" s="251">
        <v>109.5</v>
      </c>
      <c r="D2250" s="251">
        <f t="shared" ref="D2250:D2313" si="38">(C2250-C2251)/C2251</f>
        <v>-0.65813300031220734</v>
      </c>
      <c r="E2250" s="251">
        <v>-2.79627163781625E-2</v>
      </c>
    </row>
    <row r="2251" spans="2:5">
      <c r="B2251" s="252">
        <v>42403</v>
      </c>
      <c r="C2251" s="251">
        <v>320.3</v>
      </c>
      <c r="D2251" s="251">
        <f t="shared" si="38"/>
        <v>0.48562152133580716</v>
      </c>
      <c r="E2251" s="251">
        <v>-2.8068578364436353E-2</v>
      </c>
    </row>
    <row r="2252" spans="2:5">
      <c r="B2252" s="252">
        <v>43581</v>
      </c>
      <c r="C2252" s="251">
        <v>215.6</v>
      </c>
      <c r="D2252" s="251">
        <f t="shared" si="38"/>
        <v>-0.39147615015523574</v>
      </c>
      <c r="E2252" s="251">
        <v>-2.8172188415596124E-2</v>
      </c>
    </row>
    <row r="2253" spans="2:5">
      <c r="B2253" s="252">
        <v>42383</v>
      </c>
      <c r="C2253" s="251">
        <v>354.3</v>
      </c>
      <c r="D2253" s="251">
        <f t="shared" si="38"/>
        <v>1.1020468703648769</v>
      </c>
      <c r="E2253" s="251">
        <v>-2.8250137136588072E-2</v>
      </c>
    </row>
    <row r="2254" spans="2:5">
      <c r="B2254" s="252">
        <v>43467</v>
      </c>
      <c r="C2254" s="251">
        <v>168.55</v>
      </c>
      <c r="D2254" s="251">
        <f t="shared" si="38"/>
        <v>-0.35997721663185878</v>
      </c>
      <c r="E2254" s="251">
        <v>-2.825021620063406E-2</v>
      </c>
    </row>
    <row r="2255" spans="2:5">
      <c r="B2255" s="252">
        <v>43279</v>
      </c>
      <c r="C2255" s="251">
        <v>263.35000000000002</v>
      </c>
      <c r="D2255" s="251">
        <f t="shared" si="38"/>
        <v>-0.43914386114364812</v>
      </c>
      <c r="E2255" s="251">
        <v>-2.8408042796531963E-2</v>
      </c>
    </row>
    <row r="2256" spans="2:5">
      <c r="B2256" s="252">
        <v>44792</v>
      </c>
      <c r="C2256" s="251">
        <v>469.55</v>
      </c>
      <c r="D2256" s="251">
        <f t="shared" si="38"/>
        <v>1.5292216536493399</v>
      </c>
      <c r="E2256" s="251">
        <v>-2.847033994744572E-2</v>
      </c>
    </row>
    <row r="2257" spans="2:5">
      <c r="B2257" s="252">
        <v>43836</v>
      </c>
      <c r="C2257" s="251">
        <v>185.65</v>
      </c>
      <c r="D2257" s="251">
        <f t="shared" si="38"/>
        <v>-0.3725920919229469</v>
      </c>
      <c r="E2257" s="251">
        <v>-2.8519099947671319E-2</v>
      </c>
    </row>
    <row r="2258" spans="2:5">
      <c r="B2258" s="252">
        <v>43241</v>
      </c>
      <c r="C2258" s="251">
        <v>295.89999999999998</v>
      </c>
      <c r="D2258" s="251">
        <f t="shared" si="38"/>
        <v>-0.58635632906968627</v>
      </c>
      <c r="E2258" s="251">
        <v>-2.856204858831269E-2</v>
      </c>
    </row>
    <row r="2259" spans="2:5">
      <c r="B2259" s="252">
        <v>45820</v>
      </c>
      <c r="C2259" s="251">
        <v>715.35</v>
      </c>
      <c r="D2259" s="251">
        <f t="shared" si="38"/>
        <v>3.2255802538392374E-3</v>
      </c>
      <c r="E2259" s="251">
        <v>-2.8585008147745731E-2</v>
      </c>
    </row>
    <row r="2260" spans="2:5">
      <c r="B2260" s="252">
        <v>45684</v>
      </c>
      <c r="C2260" s="251">
        <v>713.05</v>
      </c>
      <c r="D2260" s="251">
        <f t="shared" si="38"/>
        <v>4.6167782591571473</v>
      </c>
      <c r="E2260" s="251">
        <v>-2.8674567497616221E-2</v>
      </c>
    </row>
    <row r="2261" spans="2:5">
      <c r="B2261" s="252">
        <v>44119</v>
      </c>
      <c r="C2261" s="251">
        <v>126.95</v>
      </c>
      <c r="D2261" s="251">
        <f t="shared" si="38"/>
        <v>-0.2841838173104031</v>
      </c>
      <c r="E2261" s="251">
        <v>-2.8691660290742053E-2</v>
      </c>
    </row>
    <row r="2262" spans="2:5">
      <c r="B2262" s="252">
        <v>43523</v>
      </c>
      <c r="C2262" s="251">
        <v>177.35</v>
      </c>
      <c r="D2262" s="251">
        <f t="shared" si="38"/>
        <v>1.516886090440759E-2</v>
      </c>
      <c r="E2262" s="251">
        <v>-2.9017246099096693E-2</v>
      </c>
    </row>
    <row r="2263" spans="2:5">
      <c r="B2263" s="252">
        <v>43392</v>
      </c>
      <c r="C2263" s="251">
        <v>174.7</v>
      </c>
      <c r="D2263" s="251">
        <f t="shared" si="38"/>
        <v>-0.6201348119156338</v>
      </c>
      <c r="E2263" s="251">
        <v>-2.9174770769658239E-2</v>
      </c>
    </row>
    <row r="2264" spans="2:5">
      <c r="B2264" s="252">
        <v>42816</v>
      </c>
      <c r="C2264" s="251">
        <v>459.9</v>
      </c>
      <c r="D2264" s="251">
        <f t="shared" si="38"/>
        <v>1.5507487520798666</v>
      </c>
      <c r="E2264" s="251">
        <v>-2.9234828496042264E-2</v>
      </c>
    </row>
    <row r="2265" spans="2:5">
      <c r="B2265" s="252">
        <v>43476</v>
      </c>
      <c r="C2265" s="251">
        <v>180.3</v>
      </c>
      <c r="D2265" s="251">
        <f t="shared" si="38"/>
        <v>3.8594470046083046E-2</v>
      </c>
      <c r="E2265" s="251">
        <v>-2.934051144010761E-2</v>
      </c>
    </row>
    <row r="2266" spans="2:5">
      <c r="B2266" s="252">
        <v>43868</v>
      </c>
      <c r="C2266" s="251">
        <v>173.6</v>
      </c>
      <c r="D2266" s="251">
        <f t="shared" si="38"/>
        <v>-0.64808433002229893</v>
      </c>
      <c r="E2266" s="251">
        <v>-2.9354207436399219E-2</v>
      </c>
    </row>
    <row r="2267" spans="2:5">
      <c r="B2267" s="252">
        <v>42584</v>
      </c>
      <c r="C2267" s="251">
        <v>493.3</v>
      </c>
      <c r="D2267" s="251">
        <f t="shared" si="38"/>
        <v>2.6965155488947175</v>
      </c>
      <c r="E2267" s="251">
        <v>-2.9414658140678777E-2</v>
      </c>
    </row>
    <row r="2268" spans="2:5">
      <c r="B2268" s="252">
        <v>43676</v>
      </c>
      <c r="C2268" s="251">
        <v>133.44999999999999</v>
      </c>
      <c r="D2268" s="251">
        <f t="shared" si="38"/>
        <v>-0.22390229717941262</v>
      </c>
      <c r="E2268" s="251">
        <v>-2.9807342784442185E-2</v>
      </c>
    </row>
    <row r="2269" spans="2:5">
      <c r="B2269" s="252">
        <v>43434</v>
      </c>
      <c r="C2269" s="251">
        <v>171.95</v>
      </c>
      <c r="D2269" s="251">
        <f t="shared" si="38"/>
        <v>-0.54504564095779862</v>
      </c>
      <c r="E2269" s="251">
        <v>-2.9901269393512054E-2</v>
      </c>
    </row>
    <row r="2270" spans="2:5">
      <c r="B2270" s="252">
        <v>42349</v>
      </c>
      <c r="C2270" s="251">
        <v>377.95</v>
      </c>
      <c r="D2270" s="251">
        <f t="shared" si="38"/>
        <v>1.1621853546910752</v>
      </c>
      <c r="E2270" s="251">
        <v>-2.9902464065708505E-2</v>
      </c>
    </row>
    <row r="2271" spans="2:5">
      <c r="B2271" s="252">
        <v>43817</v>
      </c>
      <c r="C2271" s="251">
        <v>174.8</v>
      </c>
      <c r="D2271" s="251">
        <f t="shared" si="38"/>
        <v>-0.30107956817273085</v>
      </c>
      <c r="E2271" s="251">
        <v>-2.9966703662596988E-2</v>
      </c>
    </row>
    <row r="2272" spans="2:5">
      <c r="B2272" s="252">
        <v>43322</v>
      </c>
      <c r="C2272" s="251">
        <v>250.1</v>
      </c>
      <c r="D2272" s="251">
        <f t="shared" si="38"/>
        <v>-0.24189148226735371</v>
      </c>
      <c r="E2272" s="251">
        <v>-3.0056234244716026E-2</v>
      </c>
    </row>
    <row r="2273" spans="2:5">
      <c r="B2273" s="252">
        <v>42248</v>
      </c>
      <c r="C2273" s="251">
        <v>329.9</v>
      </c>
      <c r="D2273" s="251">
        <f t="shared" si="38"/>
        <v>-0.15788130185067012</v>
      </c>
      <c r="E2273" s="251">
        <v>-3.0133764515654859E-2</v>
      </c>
    </row>
    <row r="2274" spans="2:5">
      <c r="B2274" s="252">
        <v>44691</v>
      </c>
      <c r="C2274" s="251">
        <v>391.75</v>
      </c>
      <c r="D2274" s="251">
        <f t="shared" si="38"/>
        <v>-0.1811245819397993</v>
      </c>
      <c r="E2274" s="251">
        <v>-3.0201757643272657E-2</v>
      </c>
    </row>
    <row r="2275" spans="2:5">
      <c r="B2275" s="252">
        <v>42585</v>
      </c>
      <c r="C2275" s="251">
        <v>478.4</v>
      </c>
      <c r="D2275" s="251">
        <f t="shared" si="38"/>
        <v>9.1738931994523029E-2</v>
      </c>
      <c r="E2275" s="251">
        <v>-3.0204743563754376E-2</v>
      </c>
    </row>
    <row r="2276" spans="2:5">
      <c r="B2276" s="252">
        <v>43047</v>
      </c>
      <c r="C2276" s="251">
        <v>438.2</v>
      </c>
      <c r="D2276" s="251">
        <f t="shared" si="38"/>
        <v>0.53458238487130094</v>
      </c>
      <c r="E2276" s="251">
        <v>-3.0209140201394341E-2</v>
      </c>
    </row>
    <row r="2277" spans="2:5">
      <c r="B2277" s="252">
        <v>44280</v>
      </c>
      <c r="C2277" s="251">
        <v>285.55</v>
      </c>
      <c r="D2277" s="251">
        <f t="shared" si="38"/>
        <v>0.78245942571785287</v>
      </c>
      <c r="E2277" s="251">
        <v>-3.0225844795381145E-2</v>
      </c>
    </row>
    <row r="2278" spans="2:5">
      <c r="B2278" s="252">
        <v>43651</v>
      </c>
      <c r="C2278" s="251">
        <v>160.19999999999999</v>
      </c>
      <c r="D2278" s="251">
        <f t="shared" si="38"/>
        <v>-0.1368534482758621</v>
      </c>
      <c r="E2278" s="251">
        <v>-3.0266343825665863E-2</v>
      </c>
    </row>
    <row r="2279" spans="2:5">
      <c r="B2279" s="252">
        <v>43852</v>
      </c>
      <c r="C2279" s="251">
        <v>185.6</v>
      </c>
      <c r="D2279" s="251">
        <f t="shared" si="38"/>
        <v>-0.59382864646022548</v>
      </c>
      <c r="E2279" s="251">
        <v>-3.0303030303030363E-2</v>
      </c>
    </row>
    <row r="2280" spans="2:5">
      <c r="B2280" s="252">
        <v>42695</v>
      </c>
      <c r="C2280" s="251">
        <v>456.95</v>
      </c>
      <c r="D2280" s="251">
        <f t="shared" si="38"/>
        <v>4.2550764316678022E-2</v>
      </c>
      <c r="E2280" s="251">
        <v>-3.0344827586206921E-2</v>
      </c>
    </row>
    <row r="2281" spans="2:5">
      <c r="B2281" s="252">
        <v>44663</v>
      </c>
      <c r="C2281" s="251">
        <v>438.3</v>
      </c>
      <c r="D2281" s="251">
        <f t="shared" si="38"/>
        <v>3.1683309557774604</v>
      </c>
      <c r="E2281" s="251">
        <v>-3.041698927109833E-2</v>
      </c>
    </row>
    <row r="2282" spans="2:5">
      <c r="B2282" s="252">
        <v>44034</v>
      </c>
      <c r="C2282" s="251">
        <v>105.15</v>
      </c>
      <c r="D2282" s="251">
        <f t="shared" si="38"/>
        <v>-0.60662177328843991</v>
      </c>
      <c r="E2282" s="251">
        <v>-3.0428769017980608E-2</v>
      </c>
    </row>
    <row r="2283" spans="2:5">
      <c r="B2283" s="252">
        <v>43354</v>
      </c>
      <c r="C2283" s="251">
        <v>267.3</v>
      </c>
      <c r="D2283" s="251">
        <f t="shared" si="38"/>
        <v>-0.64407456724367507</v>
      </c>
      <c r="E2283" s="251">
        <v>-3.0467899891185989E-2</v>
      </c>
    </row>
    <row r="2284" spans="2:5">
      <c r="B2284" s="252">
        <v>45670</v>
      </c>
      <c r="C2284" s="251">
        <v>751</v>
      </c>
      <c r="D2284" s="251">
        <f t="shared" si="38"/>
        <v>0.37836101679361284</v>
      </c>
      <c r="E2284" s="251">
        <v>-3.0529916736590688E-2</v>
      </c>
    </row>
    <row r="2285" spans="2:5">
      <c r="B2285" s="252">
        <v>42656</v>
      </c>
      <c r="C2285" s="251">
        <v>544.85</v>
      </c>
      <c r="D2285" s="251">
        <f t="shared" si="38"/>
        <v>0.68710326675956046</v>
      </c>
      <c r="E2285" s="251">
        <v>-3.0602259585446014E-2</v>
      </c>
    </row>
    <row r="2286" spans="2:5">
      <c r="B2286" s="252">
        <v>44253</v>
      </c>
      <c r="C2286" s="251">
        <v>322.95</v>
      </c>
      <c r="D2286" s="251">
        <f t="shared" si="38"/>
        <v>0.74473257698541329</v>
      </c>
      <c r="E2286" s="251">
        <v>-3.0616839261593844E-2</v>
      </c>
    </row>
    <row r="2287" spans="2:5">
      <c r="B2287" s="252">
        <v>43593</v>
      </c>
      <c r="C2287" s="251">
        <v>185.1</v>
      </c>
      <c r="D2287" s="251">
        <f t="shared" si="38"/>
        <v>1.1751844766329631E-2</v>
      </c>
      <c r="E2287" s="251">
        <v>-3.0636292223095024E-2</v>
      </c>
    </row>
    <row r="2288" spans="2:5">
      <c r="B2288" s="252">
        <v>43384</v>
      </c>
      <c r="C2288" s="251">
        <v>182.95</v>
      </c>
      <c r="D2288" s="251">
        <f t="shared" si="38"/>
        <v>-0.75790657668386918</v>
      </c>
      <c r="E2288" s="251">
        <v>-3.0728476821192112E-2</v>
      </c>
    </row>
    <row r="2289" spans="2:5">
      <c r="B2289" s="252">
        <v>45644</v>
      </c>
      <c r="C2289" s="251">
        <v>755.7</v>
      </c>
      <c r="D2289" s="251">
        <f t="shared" si="38"/>
        <v>0.79458560911897413</v>
      </c>
      <c r="E2289" s="251">
        <v>-3.0843218980442393E-2</v>
      </c>
    </row>
    <row r="2290" spans="2:5">
      <c r="B2290" s="252">
        <v>44998</v>
      </c>
      <c r="C2290" s="251">
        <v>421.1</v>
      </c>
      <c r="D2290" s="251">
        <f t="shared" si="38"/>
        <v>0.80458538675808888</v>
      </c>
      <c r="E2290" s="251">
        <v>-3.0862350693884995E-2</v>
      </c>
    </row>
    <row r="2291" spans="2:5">
      <c r="B2291" s="252">
        <v>43369</v>
      </c>
      <c r="C2291" s="251">
        <v>233.35</v>
      </c>
      <c r="D2291" s="251">
        <f t="shared" si="38"/>
        <v>0.41124886604172967</v>
      </c>
      <c r="E2291" s="251">
        <v>-3.0938538205980137E-2</v>
      </c>
    </row>
    <row r="2292" spans="2:5">
      <c r="B2292" s="252">
        <v>43398</v>
      </c>
      <c r="C2292" s="251">
        <v>165.35</v>
      </c>
      <c r="D2292" s="251">
        <f t="shared" si="38"/>
        <v>-5.2163943823445087E-2</v>
      </c>
      <c r="E2292" s="251">
        <v>-3.1057720480515742E-2</v>
      </c>
    </row>
    <row r="2293" spans="2:5">
      <c r="B2293" s="252">
        <v>43432</v>
      </c>
      <c r="C2293" s="251">
        <v>174.45</v>
      </c>
      <c r="D2293" s="251">
        <f t="shared" si="38"/>
        <v>-0.58967423262377983</v>
      </c>
      <c r="E2293" s="251">
        <v>-3.1102471535684656E-2</v>
      </c>
    </row>
    <row r="2294" spans="2:5">
      <c r="B2294" s="252">
        <v>44676</v>
      </c>
      <c r="C2294" s="251">
        <v>425.15</v>
      </c>
      <c r="D2294" s="251">
        <f t="shared" si="38"/>
        <v>0.42214417126609799</v>
      </c>
      <c r="E2294" s="251">
        <v>-3.1217956021419722E-2</v>
      </c>
    </row>
    <row r="2295" spans="2:5">
      <c r="B2295" s="252">
        <v>44459</v>
      </c>
      <c r="C2295" s="251">
        <v>298.95</v>
      </c>
      <c r="D2295" s="251">
        <f t="shared" si="38"/>
        <v>0.3824277456647398</v>
      </c>
      <c r="E2295" s="251">
        <v>-3.12702527543747E-2</v>
      </c>
    </row>
    <row r="2296" spans="2:5">
      <c r="B2296" s="252">
        <v>43378</v>
      </c>
      <c r="C2296" s="251">
        <v>216.25</v>
      </c>
      <c r="D2296" s="251">
        <f t="shared" si="38"/>
        <v>-0.31544792655903764</v>
      </c>
      <c r="E2296" s="251">
        <v>-3.1354983202687571E-2</v>
      </c>
    </row>
    <row r="2297" spans="2:5">
      <c r="B2297" s="252">
        <v>44232</v>
      </c>
      <c r="C2297" s="251">
        <v>315.89999999999998</v>
      </c>
      <c r="D2297" s="251">
        <f t="shared" si="38"/>
        <v>3.1841059602649002</v>
      </c>
      <c r="E2297" s="251">
        <v>-3.1427257396903267E-2</v>
      </c>
    </row>
    <row r="2298" spans="2:5">
      <c r="B2298" s="252">
        <v>43908</v>
      </c>
      <c r="C2298" s="251">
        <v>75.5</v>
      </c>
      <c r="D2298" s="251">
        <f t="shared" si="38"/>
        <v>-0.43275732531930877</v>
      </c>
      <c r="E2298" s="251">
        <v>-3.1430404105195674E-2</v>
      </c>
    </row>
    <row r="2299" spans="2:5">
      <c r="B2299" s="252">
        <v>44096</v>
      </c>
      <c r="C2299" s="251">
        <v>133.1</v>
      </c>
      <c r="D2299" s="251">
        <f t="shared" si="38"/>
        <v>-0.12000000000000004</v>
      </c>
      <c r="E2299" s="251">
        <v>-3.1647871953437573E-2</v>
      </c>
    </row>
    <row r="2300" spans="2:5">
      <c r="B2300" s="252">
        <v>43670</v>
      </c>
      <c r="C2300" s="251">
        <v>151.25</v>
      </c>
      <c r="D2300" s="251">
        <f t="shared" si="38"/>
        <v>-0.15948874687413164</v>
      </c>
      <c r="E2300" s="251">
        <v>-3.1690140845070353E-2</v>
      </c>
    </row>
    <row r="2301" spans="2:5">
      <c r="B2301" s="252">
        <v>43390</v>
      </c>
      <c r="C2301" s="251">
        <v>179.95</v>
      </c>
      <c r="D2301" s="251">
        <f t="shared" si="38"/>
        <v>0.42591125198098245</v>
      </c>
      <c r="E2301" s="251">
        <v>-3.1746031746031779E-2</v>
      </c>
    </row>
    <row r="2302" spans="2:5">
      <c r="B2302" s="252">
        <v>43894</v>
      </c>
      <c r="C2302" s="251">
        <v>126.2</v>
      </c>
      <c r="D2302" s="251">
        <f t="shared" si="38"/>
        <v>-0.60916692474450296</v>
      </c>
      <c r="E2302" s="251">
        <v>-3.1837360951284935E-2</v>
      </c>
    </row>
    <row r="2303" spans="2:5">
      <c r="B2303" s="252">
        <v>42251</v>
      </c>
      <c r="C2303" s="251">
        <v>322.89999999999998</v>
      </c>
      <c r="D2303" s="251">
        <f t="shared" si="38"/>
        <v>0.92259601071747543</v>
      </c>
      <c r="E2303" s="251">
        <v>-3.1929245990106533E-2</v>
      </c>
    </row>
    <row r="2304" spans="2:5">
      <c r="B2304" s="252">
        <v>44154</v>
      </c>
      <c r="C2304" s="251">
        <v>167.95</v>
      </c>
      <c r="D2304" s="251">
        <f t="shared" si="38"/>
        <v>-0.73930927435001947</v>
      </c>
      <c r="E2304" s="251">
        <v>-3.1988472622478455E-2</v>
      </c>
    </row>
    <row r="2305" spans="2:5">
      <c r="B2305" s="252">
        <v>45777</v>
      </c>
      <c r="C2305" s="251">
        <v>644.25</v>
      </c>
      <c r="D2305" s="251">
        <f t="shared" si="38"/>
        <v>3.4021182097710967</v>
      </c>
      <c r="E2305" s="251">
        <v>-3.2076322115384651E-2</v>
      </c>
    </row>
    <row r="2306" spans="2:5">
      <c r="B2306" s="252">
        <v>44148</v>
      </c>
      <c r="C2306" s="251">
        <v>146.35</v>
      </c>
      <c r="D2306" s="251">
        <f t="shared" si="38"/>
        <v>-0.72660190547356618</v>
      </c>
      <c r="E2306" s="251">
        <v>-3.2076719576719544E-2</v>
      </c>
    </row>
    <row r="2307" spans="2:5">
      <c r="B2307" s="252">
        <v>42639</v>
      </c>
      <c r="C2307" s="251">
        <v>535.29999999999995</v>
      </c>
      <c r="D2307" s="251">
        <f t="shared" si="38"/>
        <v>0.28662420382165593</v>
      </c>
      <c r="E2307" s="251">
        <v>-3.2094747310369771E-2</v>
      </c>
    </row>
    <row r="2308" spans="2:5">
      <c r="B2308" s="252">
        <v>42956</v>
      </c>
      <c r="C2308" s="251">
        <v>416.05</v>
      </c>
      <c r="D2308" s="251">
        <f t="shared" si="38"/>
        <v>0.27995692970312258</v>
      </c>
      <c r="E2308" s="251">
        <v>-3.2441860465116254E-2</v>
      </c>
    </row>
    <row r="2309" spans="2:5">
      <c r="B2309" s="252">
        <v>44236</v>
      </c>
      <c r="C2309" s="251">
        <v>325.05</v>
      </c>
      <c r="D2309" s="251">
        <f t="shared" si="38"/>
        <v>-0.53767707799965869</v>
      </c>
      <c r="E2309" s="251">
        <v>-3.2445304360767903E-2</v>
      </c>
    </row>
    <row r="2310" spans="2:5">
      <c r="B2310" s="252">
        <v>45280</v>
      </c>
      <c r="C2310" s="251">
        <v>703.08</v>
      </c>
      <c r="D2310" s="251">
        <f t="shared" si="38"/>
        <v>0.36972530683810656</v>
      </c>
      <c r="E2310" s="251">
        <v>-3.2516409571906255E-2</v>
      </c>
    </row>
    <row r="2311" spans="2:5">
      <c r="B2311" s="252">
        <v>42676</v>
      </c>
      <c r="C2311" s="251">
        <v>513.29999999999995</v>
      </c>
      <c r="D2311" s="251">
        <f t="shared" si="38"/>
        <v>-0.17307041708955595</v>
      </c>
      <c r="E2311" s="251">
        <v>-3.2604598567659383E-2</v>
      </c>
    </row>
    <row r="2312" spans="2:5">
      <c r="B2312" s="252">
        <v>45140</v>
      </c>
      <c r="C2312" s="251">
        <v>620.73</v>
      </c>
      <c r="D2312" s="251">
        <f t="shared" si="38"/>
        <v>2.9511775938892426</v>
      </c>
      <c r="E2312" s="251">
        <v>-3.2633596708588439E-2</v>
      </c>
    </row>
    <row r="2313" spans="2:5">
      <c r="B2313" s="252">
        <v>43444</v>
      </c>
      <c r="C2313" s="251">
        <v>157.1</v>
      </c>
      <c r="D2313" s="251">
        <f t="shared" si="38"/>
        <v>-0.24216111915098898</v>
      </c>
      <c r="E2313" s="251">
        <v>-3.2635467980295638E-2</v>
      </c>
    </row>
    <row r="2314" spans="2:5">
      <c r="B2314" s="252">
        <v>43587</v>
      </c>
      <c r="C2314" s="251">
        <v>207.3</v>
      </c>
      <c r="D2314" s="251">
        <f t="shared" ref="D2314:D2377" si="39">(C2314-C2315)/C2315</f>
        <v>-0.31943532501641497</v>
      </c>
      <c r="E2314" s="251">
        <v>-3.2664489034064395E-2</v>
      </c>
    </row>
    <row r="2315" spans="2:5">
      <c r="B2315" s="252">
        <v>43238</v>
      </c>
      <c r="C2315" s="251">
        <v>304.60000000000002</v>
      </c>
      <c r="D2315" s="251">
        <f t="shared" si="39"/>
        <v>-0.36309461578672236</v>
      </c>
      <c r="E2315" s="251">
        <v>-3.2708796443315195E-2</v>
      </c>
    </row>
    <row r="2316" spans="2:5">
      <c r="B2316" s="252">
        <v>44614</v>
      </c>
      <c r="C2316" s="251">
        <v>478.25</v>
      </c>
      <c r="D2316" s="251">
        <f t="shared" si="39"/>
        <v>0.10919127026462876</v>
      </c>
      <c r="E2316" s="251">
        <v>-3.276367681262006E-2</v>
      </c>
    </row>
    <row r="2317" spans="2:5">
      <c r="B2317" s="252">
        <v>44820</v>
      </c>
      <c r="C2317" s="251">
        <v>431.17</v>
      </c>
      <c r="D2317" s="251">
        <f t="shared" si="39"/>
        <v>1.7160314960629923</v>
      </c>
      <c r="E2317" s="251">
        <v>-3.2969251127010088E-2</v>
      </c>
    </row>
    <row r="2318" spans="2:5">
      <c r="B2318" s="252">
        <v>43633</v>
      </c>
      <c r="C2318" s="251">
        <v>158.75</v>
      </c>
      <c r="D2318" s="251">
        <f t="shared" si="39"/>
        <v>0.36441770519982819</v>
      </c>
      <c r="E2318" s="251">
        <v>-3.3191230207064486E-2</v>
      </c>
    </row>
    <row r="2319" spans="2:5">
      <c r="B2319" s="252">
        <v>43705</v>
      </c>
      <c r="C2319" s="251">
        <v>116.35</v>
      </c>
      <c r="D2319" s="251">
        <f t="shared" si="39"/>
        <v>-0.33929585462805223</v>
      </c>
      <c r="E2319" s="251">
        <v>-3.3236393851267136E-2</v>
      </c>
    </row>
    <row r="2320" spans="2:5">
      <c r="B2320" s="252">
        <v>43858</v>
      </c>
      <c r="C2320" s="251">
        <v>176.1</v>
      </c>
      <c r="D2320" s="251">
        <f t="shared" si="39"/>
        <v>-0.48546384222059902</v>
      </c>
      <c r="E2320" s="251">
        <v>-3.3479692645444536E-2</v>
      </c>
    </row>
    <row r="2321" spans="2:5">
      <c r="B2321" s="252">
        <v>42389</v>
      </c>
      <c r="C2321" s="251">
        <v>342.25</v>
      </c>
      <c r="D2321" s="251">
        <f t="shared" si="39"/>
        <v>0.36083499005964215</v>
      </c>
      <c r="E2321" s="251">
        <v>-3.3601581250882334E-2</v>
      </c>
    </row>
    <row r="2322" spans="2:5">
      <c r="B2322" s="252">
        <v>43361</v>
      </c>
      <c r="C2322" s="251">
        <v>251.5</v>
      </c>
      <c r="D2322" s="251">
        <f t="shared" si="39"/>
        <v>-0.48767569769810548</v>
      </c>
      <c r="E2322" s="251">
        <v>-3.3621517771373677E-2</v>
      </c>
    </row>
    <row r="2323" spans="2:5">
      <c r="B2323" s="252">
        <v>44491</v>
      </c>
      <c r="C2323" s="251">
        <v>490.9</v>
      </c>
      <c r="D2323" s="251">
        <f t="shared" si="39"/>
        <v>-0.50414141414141411</v>
      </c>
      <c r="E2323" s="251">
        <v>-3.3661417322834689E-2</v>
      </c>
    </row>
    <row r="2324" spans="2:5">
      <c r="B2324" s="252">
        <v>45492</v>
      </c>
      <c r="C2324" s="251">
        <v>990</v>
      </c>
      <c r="D2324" s="251">
        <f t="shared" si="39"/>
        <v>12.570938999314597</v>
      </c>
      <c r="E2324" s="251">
        <v>-3.3722121907178722E-2</v>
      </c>
    </row>
    <row r="2325" spans="2:5">
      <c r="B2325" s="252">
        <v>43909</v>
      </c>
      <c r="C2325" s="251">
        <v>72.95</v>
      </c>
      <c r="D2325" s="251">
        <f t="shared" si="39"/>
        <v>-0.84835256210373144</v>
      </c>
      <c r="E2325" s="251">
        <v>-3.3774834437086058E-2</v>
      </c>
    </row>
    <row r="2326" spans="2:5">
      <c r="B2326" s="252">
        <v>44497</v>
      </c>
      <c r="C2326" s="251">
        <v>481.05</v>
      </c>
      <c r="D2326" s="251">
        <f t="shared" si="39"/>
        <v>0.5702627713399705</v>
      </c>
      <c r="E2326" s="251">
        <v>-3.3842136975296179E-2</v>
      </c>
    </row>
    <row r="2327" spans="2:5">
      <c r="B2327" s="252">
        <v>44385</v>
      </c>
      <c r="C2327" s="251">
        <v>306.35000000000002</v>
      </c>
      <c r="D2327" s="251">
        <f t="shared" si="39"/>
        <v>1.622859589041096</v>
      </c>
      <c r="E2327" s="251">
        <v>-3.390097760958688E-2</v>
      </c>
    </row>
    <row r="2328" spans="2:5">
      <c r="B2328" s="252">
        <v>43748</v>
      </c>
      <c r="C2328" s="251">
        <v>116.8</v>
      </c>
      <c r="D2328" s="251">
        <f t="shared" si="39"/>
        <v>0.10868533459895589</v>
      </c>
      <c r="E2328" s="251">
        <v>-3.391232423490495E-2</v>
      </c>
    </row>
    <row r="2329" spans="2:5">
      <c r="B2329" s="252">
        <v>44020</v>
      </c>
      <c r="C2329" s="251">
        <v>105.35</v>
      </c>
      <c r="D2329" s="251">
        <f t="shared" si="39"/>
        <v>-0.75664125664125659</v>
      </c>
      <c r="E2329" s="251">
        <v>-3.3929390187987192E-2</v>
      </c>
    </row>
    <row r="2330" spans="2:5">
      <c r="B2330" s="252">
        <v>42706</v>
      </c>
      <c r="C2330" s="251">
        <v>432.9</v>
      </c>
      <c r="D2330" s="251">
        <f t="shared" si="39"/>
        <v>7.2596630327056377E-2</v>
      </c>
      <c r="E2330" s="251">
        <v>-3.4136546184738985E-2</v>
      </c>
    </row>
    <row r="2331" spans="2:5">
      <c r="B2331" s="252">
        <v>43124</v>
      </c>
      <c r="C2331" s="251">
        <v>403.6</v>
      </c>
      <c r="D2331" s="251">
        <f t="shared" si="39"/>
        <v>-0.39621512454185054</v>
      </c>
      <c r="E2331" s="251">
        <v>-3.4449760765550182E-2</v>
      </c>
    </row>
    <row r="2332" spans="2:5">
      <c r="B2332" s="252">
        <v>45868</v>
      </c>
      <c r="C2332" s="251">
        <v>668.45</v>
      </c>
      <c r="D2332" s="251">
        <f t="shared" si="39"/>
        <v>0.20778751468063961</v>
      </c>
      <c r="E2332" s="251">
        <v>-3.4520112659781867E-2</v>
      </c>
    </row>
    <row r="2333" spans="2:5">
      <c r="B2333" s="252">
        <v>42625</v>
      </c>
      <c r="C2333" s="251">
        <v>553.45000000000005</v>
      </c>
      <c r="D2333" s="251">
        <f t="shared" si="39"/>
        <v>3.9659039928218935</v>
      </c>
      <c r="E2333" s="251">
        <v>-3.4539904055821989E-2</v>
      </c>
    </row>
    <row r="2334" spans="2:5">
      <c r="B2334" s="252">
        <v>43991</v>
      </c>
      <c r="C2334" s="251">
        <v>111.45</v>
      </c>
      <c r="D2334" s="251">
        <f t="shared" si="39"/>
        <v>-1.0652463382157149E-2</v>
      </c>
      <c r="E2334" s="251">
        <v>-3.4647033347769599E-2</v>
      </c>
    </row>
    <row r="2335" spans="2:5">
      <c r="B2335" s="252">
        <v>43711</v>
      </c>
      <c r="C2335" s="251">
        <v>112.65</v>
      </c>
      <c r="D2335" s="251">
        <f t="shared" si="39"/>
        <v>-0.499889012208657</v>
      </c>
      <c r="E2335" s="251">
        <v>-3.4704370179948561E-2</v>
      </c>
    </row>
    <row r="2336" spans="2:5">
      <c r="B2336" s="252">
        <v>43370</v>
      </c>
      <c r="C2336" s="251">
        <v>225.25</v>
      </c>
      <c r="D2336" s="251">
        <f t="shared" si="39"/>
        <v>7.3792486583184515E-3</v>
      </c>
      <c r="E2336" s="251">
        <v>-3.4711806299550008E-2</v>
      </c>
    </row>
    <row r="2337" spans="2:5">
      <c r="B2337" s="252">
        <v>43579</v>
      </c>
      <c r="C2337" s="251">
        <v>223.6</v>
      </c>
      <c r="D2337" s="251">
        <f t="shared" si="39"/>
        <v>-0.50661959399823475</v>
      </c>
      <c r="E2337" s="251">
        <v>-3.4750701489315826E-2</v>
      </c>
    </row>
    <row r="2338" spans="2:5">
      <c r="B2338" s="252">
        <v>44795</v>
      </c>
      <c r="C2338" s="251">
        <v>453.2</v>
      </c>
      <c r="D2338" s="251">
        <f t="shared" si="39"/>
        <v>0.6008477569763333</v>
      </c>
      <c r="E2338" s="251">
        <v>-3.4820572888936266E-2</v>
      </c>
    </row>
    <row r="2339" spans="2:5">
      <c r="B2339" s="252">
        <v>44428</v>
      </c>
      <c r="C2339" s="251">
        <v>283.10000000000002</v>
      </c>
      <c r="D2339" s="251">
        <f t="shared" si="39"/>
        <v>0.57715877437325913</v>
      </c>
      <c r="E2339" s="251">
        <v>-3.4941196522924829E-2</v>
      </c>
    </row>
    <row r="2340" spans="2:5">
      <c r="B2340" s="252">
        <v>43417</v>
      </c>
      <c r="C2340" s="251">
        <v>179.5</v>
      </c>
      <c r="D2340" s="251">
        <f t="shared" si="39"/>
        <v>-0.35697653591259176</v>
      </c>
      <c r="E2340" s="251">
        <v>-3.5205589895189522E-2</v>
      </c>
    </row>
    <row r="2341" spans="2:5">
      <c r="B2341" s="252">
        <v>44221</v>
      </c>
      <c r="C2341" s="251">
        <v>279.14999999999998</v>
      </c>
      <c r="D2341" s="251">
        <f t="shared" si="39"/>
        <v>0.80621158201229348</v>
      </c>
      <c r="E2341" s="251">
        <v>-3.5251425609124053E-2</v>
      </c>
    </row>
    <row r="2342" spans="2:5">
      <c r="B2342" s="252">
        <v>43654</v>
      </c>
      <c r="C2342" s="251">
        <v>154.55000000000001</v>
      </c>
      <c r="D2342" s="251">
        <f t="shared" si="39"/>
        <v>-0.77492172140100479</v>
      </c>
      <c r="E2342" s="251">
        <v>-3.5268414481897485E-2</v>
      </c>
    </row>
    <row r="2343" spans="2:5">
      <c r="B2343" s="252">
        <v>45824</v>
      </c>
      <c r="C2343" s="251">
        <v>686.65</v>
      </c>
      <c r="D2343" s="251">
        <f t="shared" si="39"/>
        <v>3.7502594258042192</v>
      </c>
      <c r="E2343" s="251">
        <v>-3.5671652271610108E-2</v>
      </c>
    </row>
    <row r="2344" spans="2:5">
      <c r="B2344" s="252">
        <v>43887</v>
      </c>
      <c r="C2344" s="251">
        <v>144.55000000000001</v>
      </c>
      <c r="D2344" s="251">
        <f t="shared" si="39"/>
        <v>-0.62835840082272787</v>
      </c>
      <c r="E2344" s="251">
        <v>-3.5690460306871209E-2</v>
      </c>
    </row>
    <row r="2345" spans="2:5">
      <c r="B2345" s="252">
        <v>42500</v>
      </c>
      <c r="C2345" s="251">
        <v>388.95</v>
      </c>
      <c r="D2345" s="251">
        <f t="shared" si="39"/>
        <v>3.8077873918417793</v>
      </c>
      <c r="E2345" s="251">
        <v>-3.5701004090740132E-2</v>
      </c>
    </row>
    <row r="2346" spans="2:5">
      <c r="B2346" s="252">
        <v>43956</v>
      </c>
      <c r="C2346" s="251">
        <v>80.900000000000006</v>
      </c>
      <c r="D2346" s="251">
        <f t="shared" si="39"/>
        <v>-0.82451193058568339</v>
      </c>
      <c r="E2346" s="251">
        <v>-3.5756853396901073E-2</v>
      </c>
    </row>
    <row r="2347" spans="2:5">
      <c r="B2347" s="252">
        <v>42892</v>
      </c>
      <c r="C2347" s="251">
        <v>461</v>
      </c>
      <c r="D2347" s="251">
        <f t="shared" si="39"/>
        <v>5.7644900953778428</v>
      </c>
      <c r="E2347" s="251">
        <v>-3.5867405625849585E-2</v>
      </c>
    </row>
    <row r="2348" spans="2:5">
      <c r="B2348" s="252">
        <v>43920</v>
      </c>
      <c r="C2348" s="251">
        <v>68.150000000000006</v>
      </c>
      <c r="D2348" s="251">
        <f t="shared" si="39"/>
        <v>-0.8655288082083662</v>
      </c>
      <c r="E2348" s="251">
        <v>-3.606789250353603E-2</v>
      </c>
    </row>
    <row r="2349" spans="2:5">
      <c r="B2349" s="252">
        <v>42773</v>
      </c>
      <c r="C2349" s="251">
        <v>506.8</v>
      </c>
      <c r="D2349" s="251">
        <f t="shared" si="39"/>
        <v>0.39499036608863197</v>
      </c>
      <c r="E2349" s="251">
        <v>-3.6227060948939835E-2</v>
      </c>
    </row>
    <row r="2350" spans="2:5">
      <c r="B2350" s="252">
        <v>42457</v>
      </c>
      <c r="C2350" s="251">
        <v>363.3</v>
      </c>
      <c r="D2350" s="251">
        <f t="shared" si="39"/>
        <v>8.7398982340616535E-2</v>
      </c>
      <c r="E2350" s="251">
        <v>-3.6339522546419069E-2</v>
      </c>
    </row>
    <row r="2351" spans="2:5">
      <c r="B2351" s="252">
        <v>42262</v>
      </c>
      <c r="C2351" s="251">
        <v>334.1</v>
      </c>
      <c r="D2351" s="251">
        <f t="shared" si="39"/>
        <v>-2.1095810137708726E-2</v>
      </c>
      <c r="E2351" s="251">
        <v>-3.662053056516721E-2</v>
      </c>
    </row>
    <row r="2352" spans="2:5">
      <c r="B2352" s="252">
        <v>42384</v>
      </c>
      <c r="C2352" s="251">
        <v>341.3</v>
      </c>
      <c r="D2352" s="251">
        <f t="shared" si="39"/>
        <v>1.2040684533419439</v>
      </c>
      <c r="E2352" s="251">
        <v>-3.6692068868190798E-2</v>
      </c>
    </row>
    <row r="2353" spans="2:5">
      <c r="B2353" s="252">
        <v>43665</v>
      </c>
      <c r="C2353" s="251">
        <v>154.85</v>
      </c>
      <c r="D2353" s="251">
        <f t="shared" si="39"/>
        <v>0.29149291075896572</v>
      </c>
      <c r="E2353" s="251">
        <v>-3.6702954898911386E-2</v>
      </c>
    </row>
    <row r="2354" spans="2:5">
      <c r="B2354" s="252">
        <v>43735</v>
      </c>
      <c r="C2354" s="251">
        <v>119.9</v>
      </c>
      <c r="D2354" s="251">
        <f t="shared" si="39"/>
        <v>-0.61552028218694887</v>
      </c>
      <c r="E2354" s="251">
        <v>-3.6947791164658586E-2</v>
      </c>
    </row>
    <row r="2355" spans="2:5">
      <c r="B2355" s="252">
        <v>44246</v>
      </c>
      <c r="C2355" s="251">
        <v>311.85000000000002</v>
      </c>
      <c r="D2355" s="251">
        <f t="shared" si="39"/>
        <v>1.3669829222011387</v>
      </c>
      <c r="E2355" s="251">
        <v>-3.7054191755442334E-2</v>
      </c>
    </row>
    <row r="2356" spans="2:5">
      <c r="B2356" s="252">
        <v>43760</v>
      </c>
      <c r="C2356" s="251">
        <v>131.75</v>
      </c>
      <c r="D2356" s="251">
        <f t="shared" si="39"/>
        <v>-0.22133569739952713</v>
      </c>
      <c r="E2356" s="251">
        <v>-3.7267080745341574E-2</v>
      </c>
    </row>
    <row r="2357" spans="2:5">
      <c r="B2357" s="252">
        <v>43439</v>
      </c>
      <c r="C2357" s="251">
        <v>169.2</v>
      </c>
      <c r="D2357" s="251">
        <f t="shared" si="39"/>
        <v>-0.50198675496688749</v>
      </c>
      <c r="E2357" s="251">
        <v>-3.7268847795163651E-2</v>
      </c>
    </row>
    <row r="2358" spans="2:5">
      <c r="B2358" s="252">
        <v>43175</v>
      </c>
      <c r="C2358" s="251">
        <v>339.75</v>
      </c>
      <c r="D2358" s="251">
        <f t="shared" si="39"/>
        <v>0.10920666013712042</v>
      </c>
      <c r="E2358" s="251">
        <v>-3.7807986406117308E-2</v>
      </c>
    </row>
    <row r="2359" spans="2:5">
      <c r="B2359" s="252">
        <v>42424</v>
      </c>
      <c r="C2359" s="251">
        <v>306.3</v>
      </c>
      <c r="D2359" s="251">
        <f t="shared" si="39"/>
        <v>-0.39905826957033547</v>
      </c>
      <c r="E2359" s="251">
        <v>-3.8455501491131687E-2</v>
      </c>
    </row>
    <row r="2360" spans="2:5">
      <c r="B2360" s="252">
        <v>44518</v>
      </c>
      <c r="C2360" s="251">
        <v>509.7</v>
      </c>
      <c r="D2360" s="251">
        <f t="shared" si="39"/>
        <v>2.1337227174915459</v>
      </c>
      <c r="E2360" s="251">
        <v>-3.8573988493822486E-2</v>
      </c>
    </row>
    <row r="2361" spans="2:5">
      <c r="B2361" s="252">
        <v>43440</v>
      </c>
      <c r="C2361" s="251">
        <v>162.65</v>
      </c>
      <c r="D2361" s="251">
        <f t="shared" si="39"/>
        <v>-0.61236892278360355</v>
      </c>
      <c r="E2361" s="251">
        <v>-3.8711583924349785E-2</v>
      </c>
    </row>
    <row r="2362" spans="2:5">
      <c r="B2362" s="252">
        <v>42860</v>
      </c>
      <c r="C2362" s="251">
        <v>419.6</v>
      </c>
      <c r="D2362" s="251">
        <f t="shared" si="39"/>
        <v>4.0071599045346069</v>
      </c>
      <c r="E2362" s="251">
        <v>-3.871706758304691E-2</v>
      </c>
    </row>
    <row r="2363" spans="2:5">
      <c r="B2363" s="252">
        <v>43965</v>
      </c>
      <c r="C2363" s="251">
        <v>83.8</v>
      </c>
      <c r="D2363" s="251">
        <f t="shared" si="39"/>
        <v>0.28330781010719758</v>
      </c>
      <c r="E2363" s="251">
        <v>-3.8990825688073459E-2</v>
      </c>
    </row>
    <row r="2364" spans="2:5">
      <c r="B2364" s="252">
        <v>43924</v>
      </c>
      <c r="C2364" s="251">
        <v>65.3</v>
      </c>
      <c r="D2364" s="251">
        <f t="shared" si="39"/>
        <v>-0.83457046588807537</v>
      </c>
      <c r="E2364" s="251">
        <v>-3.8999264164827158E-2</v>
      </c>
    </row>
    <row r="2365" spans="2:5">
      <c r="B2365" s="252">
        <v>44844</v>
      </c>
      <c r="C2365" s="251">
        <v>394.73</v>
      </c>
      <c r="D2365" s="251">
        <f t="shared" si="39"/>
        <v>-0.12853515840600502</v>
      </c>
      <c r="E2365" s="251">
        <v>-3.9305880062305239E-2</v>
      </c>
    </row>
    <row r="2366" spans="2:5">
      <c r="B2366" s="252">
        <v>42698</v>
      </c>
      <c r="C2366" s="251">
        <v>452.95</v>
      </c>
      <c r="D2366" s="251">
        <f t="shared" si="39"/>
        <v>0.45807178496700474</v>
      </c>
      <c r="E2366" s="251">
        <v>-3.9342523860021232E-2</v>
      </c>
    </row>
    <row r="2367" spans="2:5">
      <c r="B2367" s="252">
        <v>42409</v>
      </c>
      <c r="C2367" s="251">
        <v>310.64999999999998</v>
      </c>
      <c r="D2367" s="251">
        <f t="shared" si="39"/>
        <v>-0.22074501442367994</v>
      </c>
      <c r="E2367" s="251">
        <v>-3.9721792890262821E-2</v>
      </c>
    </row>
    <row r="2368" spans="2:5">
      <c r="B2368" s="252">
        <v>44700</v>
      </c>
      <c r="C2368" s="251">
        <v>398.65</v>
      </c>
      <c r="D2368" s="251">
        <f t="shared" si="39"/>
        <v>-5.6561353685954406E-2</v>
      </c>
      <c r="E2368" s="251">
        <v>-3.9744670600987596E-2</v>
      </c>
    </row>
    <row r="2369" spans="2:5">
      <c r="B2369" s="252">
        <v>43049</v>
      </c>
      <c r="C2369" s="251">
        <v>422.55</v>
      </c>
      <c r="D2369" s="251">
        <f t="shared" si="39"/>
        <v>0.28610561558362502</v>
      </c>
      <c r="E2369" s="251">
        <v>-3.9986368283539624E-2</v>
      </c>
    </row>
    <row r="2370" spans="2:5">
      <c r="B2370" s="252">
        <v>42390</v>
      </c>
      <c r="C2370" s="251">
        <v>328.55</v>
      </c>
      <c r="D2370" s="251">
        <f t="shared" si="39"/>
        <v>1.568803752931978</v>
      </c>
      <c r="E2370" s="251">
        <v>-4.0029218407596753E-2</v>
      </c>
    </row>
    <row r="2371" spans="2:5">
      <c r="B2371" s="252">
        <v>43731</v>
      </c>
      <c r="C2371" s="251">
        <v>127.9</v>
      </c>
      <c r="D2371" s="251">
        <f t="shared" si="39"/>
        <v>-0.60463678516228747</v>
      </c>
      <c r="E2371" s="251">
        <v>-4.0150093808630348E-2</v>
      </c>
    </row>
    <row r="2372" spans="2:5">
      <c r="B2372" s="252">
        <v>42408</v>
      </c>
      <c r="C2372" s="251">
        <v>323.5</v>
      </c>
      <c r="D2372" s="251">
        <f t="shared" si="39"/>
        <v>0.34679433805162369</v>
      </c>
      <c r="E2372" s="251">
        <v>-4.0344111539602559E-2</v>
      </c>
    </row>
    <row r="2373" spans="2:5">
      <c r="B2373" s="252">
        <v>43367</v>
      </c>
      <c r="C2373" s="251">
        <v>240.2</v>
      </c>
      <c r="D2373" s="251">
        <f t="shared" si="39"/>
        <v>-0.7149807178878671</v>
      </c>
      <c r="E2373" s="251">
        <v>-4.0543239464749373E-2</v>
      </c>
    </row>
    <row r="2374" spans="2:5">
      <c r="B2374" s="252">
        <v>45594</v>
      </c>
      <c r="C2374" s="251">
        <v>842.75</v>
      </c>
      <c r="D2374" s="251">
        <f t="shared" si="39"/>
        <v>1.2342851083008564</v>
      </c>
      <c r="E2374" s="251">
        <v>-4.0639763219306783E-2</v>
      </c>
    </row>
    <row r="2375" spans="2:5">
      <c r="B2375" s="252">
        <v>44918</v>
      </c>
      <c r="C2375" s="251">
        <v>377.19</v>
      </c>
      <c r="D2375" s="251">
        <f t="shared" si="39"/>
        <v>1.3134568896051534E-2</v>
      </c>
      <c r="E2375" s="251">
        <v>-4.08147696063473E-2</v>
      </c>
    </row>
    <row r="2376" spans="2:5">
      <c r="B2376" s="252">
        <v>44693</v>
      </c>
      <c r="C2376" s="251">
        <v>372.3</v>
      </c>
      <c r="D2376" s="251">
        <f t="shared" si="39"/>
        <v>-0.59781786755968458</v>
      </c>
      <c r="E2376" s="251">
        <v>-4.0834728841942461E-2</v>
      </c>
    </row>
    <row r="2377" spans="2:5">
      <c r="B2377" s="252">
        <v>45568</v>
      </c>
      <c r="C2377" s="251">
        <v>925.7</v>
      </c>
      <c r="D2377" s="251">
        <f t="shared" si="39"/>
        <v>1.8469936952175923</v>
      </c>
      <c r="E2377" s="251">
        <v>-4.0924160795690008E-2</v>
      </c>
    </row>
    <row r="2378" spans="2:5">
      <c r="B2378" s="252">
        <v>44260</v>
      </c>
      <c r="C2378" s="251">
        <v>325.14999999999998</v>
      </c>
      <c r="D2378" s="251">
        <f t="shared" ref="D2378:D2441" si="40">(C2378-C2379)/C2379</f>
        <v>1.7695911413969332</v>
      </c>
      <c r="E2378" s="251">
        <v>-4.142099056603777E-2</v>
      </c>
    </row>
    <row r="2379" spans="2:5">
      <c r="B2379" s="252">
        <v>43684</v>
      </c>
      <c r="C2379" s="251">
        <v>117.4</v>
      </c>
      <c r="D2379" s="251">
        <f t="shared" si="40"/>
        <v>-0.71264227144780312</v>
      </c>
      <c r="E2379" s="251">
        <v>-4.1632653061224441E-2</v>
      </c>
    </row>
    <row r="2380" spans="2:5">
      <c r="B2380" s="252">
        <v>44687</v>
      </c>
      <c r="C2380" s="251">
        <v>408.55</v>
      </c>
      <c r="D2380" s="251">
        <f t="shared" si="40"/>
        <v>0.31747823282811988</v>
      </c>
      <c r="E2380" s="251">
        <v>-4.1637344593009613E-2</v>
      </c>
    </row>
    <row r="2381" spans="2:5">
      <c r="B2381" s="252">
        <v>43235</v>
      </c>
      <c r="C2381" s="251">
        <v>310.10000000000002</v>
      </c>
      <c r="D2381" s="251">
        <f t="shared" si="40"/>
        <v>-0.71722974513290472</v>
      </c>
      <c r="E2381" s="251">
        <v>-4.1718170580964151E-2</v>
      </c>
    </row>
    <row r="2382" spans="2:5">
      <c r="B2382" s="252">
        <v>45506</v>
      </c>
      <c r="C2382" s="267">
        <v>1096.6500000000001</v>
      </c>
      <c r="D2382" s="251">
        <f t="shared" si="40"/>
        <v>3.0996261682242996</v>
      </c>
      <c r="E2382" s="251">
        <v>-4.1724921356169169E-2</v>
      </c>
    </row>
    <row r="2383" spans="2:5">
      <c r="B2383" s="252">
        <v>44223</v>
      </c>
      <c r="C2383" s="251">
        <v>267.5</v>
      </c>
      <c r="D2383" s="251">
        <f t="shared" si="40"/>
        <v>1.4837511606313836</v>
      </c>
      <c r="E2383" s="251">
        <v>-4.173383485581221E-2</v>
      </c>
    </row>
    <row r="2384" spans="2:5">
      <c r="B2384" s="252">
        <v>43699</v>
      </c>
      <c r="C2384" s="251">
        <v>107.7</v>
      </c>
      <c r="D2384" s="251">
        <f t="shared" si="40"/>
        <v>-0.63423331635252167</v>
      </c>
      <c r="E2384" s="251">
        <v>-4.1814946619217107E-2</v>
      </c>
    </row>
    <row r="2385" spans="2:5">
      <c r="B2385" s="252">
        <v>44279</v>
      </c>
      <c r="C2385" s="251">
        <v>294.45</v>
      </c>
      <c r="D2385" s="251">
        <f t="shared" si="40"/>
        <v>-5.7005604483586908E-2</v>
      </c>
      <c r="E2385" s="251">
        <v>-4.2127521145087797E-2</v>
      </c>
    </row>
    <row r="2386" spans="2:5">
      <c r="B2386" s="252">
        <v>44330</v>
      </c>
      <c r="C2386" s="251">
        <v>312.25</v>
      </c>
      <c r="D2386" s="251">
        <f t="shared" si="40"/>
        <v>0.94245723172628304</v>
      </c>
      <c r="E2386" s="251">
        <v>-4.2177914110429447E-2</v>
      </c>
    </row>
    <row r="2387" spans="2:5">
      <c r="B2387" s="252">
        <v>43664</v>
      </c>
      <c r="C2387" s="251">
        <v>160.75</v>
      </c>
      <c r="D2387" s="251">
        <f t="shared" si="40"/>
        <v>-0.8343142206326466</v>
      </c>
      <c r="E2387" s="251">
        <v>-4.258487194758788E-2</v>
      </c>
    </row>
    <row r="2388" spans="2:5">
      <c r="B2388" s="252">
        <v>45364</v>
      </c>
      <c r="C2388" s="251">
        <v>970.21</v>
      </c>
      <c r="D2388" s="251">
        <f t="shared" si="40"/>
        <v>4.3543598233995588</v>
      </c>
      <c r="E2388" s="251">
        <v>-4.2590564157217965E-2</v>
      </c>
    </row>
    <row r="2389" spans="2:5">
      <c r="B2389" s="252">
        <v>43532</v>
      </c>
      <c r="C2389" s="251">
        <v>181.2</v>
      </c>
      <c r="D2389" s="251">
        <f t="shared" si="40"/>
        <v>-0.65814545797566271</v>
      </c>
      <c r="E2389" s="251">
        <v>-4.2789223454833714E-2</v>
      </c>
    </row>
    <row r="2390" spans="2:5">
      <c r="B2390" s="252">
        <v>42669</v>
      </c>
      <c r="C2390" s="251">
        <v>530.04999999999995</v>
      </c>
      <c r="D2390" s="251">
        <f t="shared" si="40"/>
        <v>-0.14597599291065821</v>
      </c>
      <c r="E2390" s="251">
        <v>-4.2885518237630919E-2</v>
      </c>
    </row>
    <row r="2391" spans="2:5">
      <c r="B2391" s="252">
        <v>45716</v>
      </c>
      <c r="C2391" s="251">
        <v>620.65</v>
      </c>
      <c r="D2391" s="251">
        <f t="shared" si="40"/>
        <v>1.2418277045331405</v>
      </c>
      <c r="E2391" s="251">
        <v>-4.3019042479377038E-2</v>
      </c>
    </row>
    <row r="2392" spans="2:5">
      <c r="B2392" s="252">
        <v>43277</v>
      </c>
      <c r="C2392" s="251">
        <v>276.85000000000002</v>
      </c>
      <c r="D2392" s="251">
        <f t="shared" si="40"/>
        <v>9.8175327251090946E-2</v>
      </c>
      <c r="E2392" s="251">
        <v>-4.3365583966827763E-2</v>
      </c>
    </row>
    <row r="2393" spans="2:5">
      <c r="B2393" s="252">
        <v>43297</v>
      </c>
      <c r="C2393" s="251">
        <v>252.1</v>
      </c>
      <c r="D2393" s="251">
        <f t="shared" si="40"/>
        <v>2.710080941869021</v>
      </c>
      <c r="E2393" s="251">
        <v>-4.3626707132018314E-2</v>
      </c>
    </row>
    <row r="2394" spans="2:5">
      <c r="B2394" s="252">
        <v>43922</v>
      </c>
      <c r="C2394" s="251">
        <v>67.95</v>
      </c>
      <c r="D2394" s="251">
        <f t="shared" si="40"/>
        <v>-0.15747055176689401</v>
      </c>
      <c r="E2394" s="251">
        <v>-4.3631245601688871E-2</v>
      </c>
    </row>
    <row r="2395" spans="2:5">
      <c r="B2395" s="252">
        <v>43969</v>
      </c>
      <c r="C2395" s="251">
        <v>80.650000000000006</v>
      </c>
      <c r="D2395" s="251">
        <f t="shared" si="40"/>
        <v>-0.8284772437260739</v>
      </c>
      <c r="E2395" s="251">
        <v>-4.3864848844101821E-2</v>
      </c>
    </row>
    <row r="2396" spans="2:5">
      <c r="B2396" s="252">
        <v>44547</v>
      </c>
      <c r="C2396" s="251">
        <v>470.2</v>
      </c>
      <c r="D2396" s="251">
        <f t="shared" si="40"/>
        <v>0.53760627861347277</v>
      </c>
      <c r="E2396" s="251">
        <v>-4.4211810143307245E-2</v>
      </c>
    </row>
    <row r="2397" spans="2:5">
      <c r="B2397" s="252">
        <v>44272</v>
      </c>
      <c r="C2397" s="251">
        <v>305.8</v>
      </c>
      <c r="D2397" s="251">
        <f t="shared" si="40"/>
        <v>0.19034643830284173</v>
      </c>
      <c r="E2397" s="251">
        <v>-4.4225660259415461E-2</v>
      </c>
    </row>
    <row r="2398" spans="2:5">
      <c r="B2398" s="252">
        <v>43335</v>
      </c>
      <c r="C2398" s="251">
        <v>256.89999999999998</v>
      </c>
      <c r="D2398" s="251">
        <f t="shared" si="40"/>
        <v>0.34537837130138777</v>
      </c>
      <c r="E2398" s="251">
        <v>-4.4270833333333461E-2</v>
      </c>
    </row>
    <row r="2399" spans="2:5">
      <c r="B2399" s="252">
        <v>43592</v>
      </c>
      <c r="C2399" s="251">
        <v>190.95</v>
      </c>
      <c r="D2399" s="251">
        <f t="shared" si="40"/>
        <v>0.18162128712871284</v>
      </c>
      <c r="E2399" s="251">
        <v>-4.4294294294294406E-2</v>
      </c>
    </row>
    <row r="2400" spans="2:5">
      <c r="B2400" s="252">
        <v>43879</v>
      </c>
      <c r="C2400" s="251">
        <v>161.6</v>
      </c>
      <c r="D2400" s="251">
        <f t="shared" si="40"/>
        <v>0.24739482825164014</v>
      </c>
      <c r="E2400" s="251">
        <v>-4.4352454169130695E-2</v>
      </c>
    </row>
    <row r="2401" spans="2:5">
      <c r="B2401" s="252">
        <v>43678</v>
      </c>
      <c r="C2401" s="251">
        <v>129.55000000000001</v>
      </c>
      <c r="D2401" s="251">
        <f t="shared" si="40"/>
        <v>-0.68951467944877165</v>
      </c>
      <c r="E2401" s="251">
        <v>-4.4616519174041171E-2</v>
      </c>
    </row>
    <row r="2402" spans="2:5">
      <c r="B2402" s="252">
        <v>44624</v>
      </c>
      <c r="C2402" s="251">
        <v>417.25</v>
      </c>
      <c r="D2402" s="251">
        <f t="shared" si="40"/>
        <v>3.1517412935323383</v>
      </c>
      <c r="E2402" s="251">
        <v>-4.5412948981926382E-2</v>
      </c>
    </row>
    <row r="2403" spans="2:5">
      <c r="B2403" s="252">
        <v>43997</v>
      </c>
      <c r="C2403" s="251">
        <v>100.5</v>
      </c>
      <c r="D2403" s="251">
        <f t="shared" si="40"/>
        <v>-0.30353430353430361</v>
      </c>
      <c r="E2403" s="251">
        <v>-4.5584045584045559E-2</v>
      </c>
    </row>
    <row r="2404" spans="2:5">
      <c r="B2404" s="252">
        <v>43671</v>
      </c>
      <c r="C2404" s="251">
        <v>144.30000000000001</v>
      </c>
      <c r="D2404" s="251">
        <f t="shared" si="40"/>
        <v>-0.70065345918473187</v>
      </c>
      <c r="E2404" s="251">
        <v>-4.5950413223140418E-2</v>
      </c>
    </row>
    <row r="2405" spans="2:5">
      <c r="B2405" s="252">
        <v>42780</v>
      </c>
      <c r="C2405" s="251">
        <v>482.05</v>
      </c>
      <c r="D2405" s="251">
        <f t="shared" si="40"/>
        <v>1.4126626626626626</v>
      </c>
      <c r="E2405" s="251">
        <v>-4.6012269938650305E-2</v>
      </c>
    </row>
    <row r="2406" spans="2:5">
      <c r="B2406" s="252">
        <v>43591</v>
      </c>
      <c r="C2406" s="251">
        <v>199.8</v>
      </c>
      <c r="D2406" s="251">
        <f t="shared" si="40"/>
        <v>-0.46072874493927124</v>
      </c>
      <c r="E2406" s="251">
        <v>-4.6073048460252938E-2</v>
      </c>
    </row>
    <row r="2407" spans="2:5">
      <c r="B2407" s="252">
        <v>42465</v>
      </c>
      <c r="C2407" s="251">
        <v>370.5</v>
      </c>
      <c r="D2407" s="251">
        <f t="shared" si="40"/>
        <v>-0.23781114996914218</v>
      </c>
      <c r="E2407" s="251">
        <v>-4.6086508753861943E-2</v>
      </c>
    </row>
    <row r="2408" spans="2:5">
      <c r="B2408" s="252">
        <v>44522</v>
      </c>
      <c r="C2408" s="251">
        <v>486.1</v>
      </c>
      <c r="D2408" s="251">
        <f t="shared" si="40"/>
        <v>1.5989131570697115E-2</v>
      </c>
      <c r="E2408" s="251">
        <v>-4.6301746125171607E-2</v>
      </c>
    </row>
    <row r="2409" spans="2:5">
      <c r="B2409" s="252">
        <v>44585</v>
      </c>
      <c r="C2409" s="251">
        <v>478.45</v>
      </c>
      <c r="D2409" s="251">
        <f t="shared" si="40"/>
        <v>1.5716205321150227</v>
      </c>
      <c r="E2409" s="251">
        <v>-4.6627478330178405E-2</v>
      </c>
    </row>
    <row r="2410" spans="2:5">
      <c r="B2410" s="252">
        <v>43416</v>
      </c>
      <c r="C2410" s="251">
        <v>186.05</v>
      </c>
      <c r="D2410" s="251">
        <f t="shared" si="40"/>
        <v>0.75270843146490818</v>
      </c>
      <c r="E2410" s="251">
        <v>-4.7119078104993536E-2</v>
      </c>
    </row>
    <row r="2411" spans="2:5">
      <c r="B2411" s="252">
        <v>43993</v>
      </c>
      <c r="C2411" s="251">
        <v>106.15</v>
      </c>
      <c r="D2411" s="251">
        <f t="shared" si="40"/>
        <v>-0.25404075895994382</v>
      </c>
      <c r="E2411" s="251">
        <v>-4.7127468581687607E-2</v>
      </c>
    </row>
    <row r="2412" spans="2:5">
      <c r="B2412" s="252">
        <v>44082</v>
      </c>
      <c r="C2412" s="251">
        <v>142.30000000000001</v>
      </c>
      <c r="D2412" s="251">
        <f t="shared" si="40"/>
        <v>0.11215318483782734</v>
      </c>
      <c r="E2412" s="251">
        <v>-4.752342704149929E-2</v>
      </c>
    </row>
    <row r="2413" spans="2:5">
      <c r="B2413" s="252">
        <v>43720</v>
      </c>
      <c r="C2413" s="251">
        <v>127.95</v>
      </c>
      <c r="D2413" s="251">
        <f t="shared" si="40"/>
        <v>-0.59483850538315397</v>
      </c>
      <c r="E2413" s="251">
        <v>-4.76367696315593E-2</v>
      </c>
    </row>
    <row r="2414" spans="2:5">
      <c r="B2414" s="252">
        <v>42269</v>
      </c>
      <c r="C2414" s="251">
        <v>315.8</v>
      </c>
      <c r="D2414" s="251">
        <f t="shared" si="40"/>
        <v>-0.23149928211617549</v>
      </c>
      <c r="E2414" s="251">
        <v>-4.7934880916490737E-2</v>
      </c>
    </row>
    <row r="2415" spans="2:5">
      <c r="B2415" s="252">
        <v>44875</v>
      </c>
      <c r="C2415" s="251">
        <v>410.93</v>
      </c>
      <c r="D2415" s="251">
        <f t="shared" si="40"/>
        <v>-0.54397860440340906</v>
      </c>
      <c r="E2415" s="251">
        <v>-4.8376638414154016E-2</v>
      </c>
    </row>
    <row r="2416" spans="2:5">
      <c r="B2416" s="252">
        <v>45447</v>
      </c>
      <c r="C2416" s="251">
        <v>901.12</v>
      </c>
      <c r="D2416" s="251">
        <f t="shared" si="40"/>
        <v>1.0157029415054244</v>
      </c>
      <c r="E2416" s="251">
        <v>-4.8979979525714194E-2</v>
      </c>
    </row>
    <row r="2417" spans="2:5">
      <c r="B2417" s="252">
        <v>44550</v>
      </c>
      <c r="C2417" s="251">
        <v>447.05</v>
      </c>
      <c r="D2417" s="251">
        <f t="shared" si="40"/>
        <v>-0.11876601616400552</v>
      </c>
      <c r="E2417" s="251">
        <v>-4.9234368353891916E-2</v>
      </c>
    </row>
    <row r="2418" spans="2:5">
      <c r="B2418" s="252">
        <v>42685</v>
      </c>
      <c r="C2418" s="251">
        <v>507.3</v>
      </c>
      <c r="D2418" s="251">
        <f t="shared" si="40"/>
        <v>2.3674078991038829</v>
      </c>
      <c r="E2418" s="251">
        <v>-4.9465992130410405E-2</v>
      </c>
    </row>
    <row r="2419" spans="2:5">
      <c r="B2419" s="252">
        <v>43885</v>
      </c>
      <c r="C2419" s="251">
        <v>150.65</v>
      </c>
      <c r="D2419" s="251">
        <f t="shared" si="40"/>
        <v>0.18762317698068595</v>
      </c>
      <c r="E2419" s="251">
        <v>-4.9526813880126148E-2</v>
      </c>
    </row>
    <row r="2420" spans="2:5">
      <c r="B2420" s="252">
        <v>43763</v>
      </c>
      <c r="C2420" s="251">
        <v>126.85</v>
      </c>
      <c r="D2420" s="251">
        <f t="shared" si="40"/>
        <v>-0.68809933611999019</v>
      </c>
      <c r="E2420" s="251">
        <v>-4.9812734082397045E-2</v>
      </c>
    </row>
    <row r="2421" spans="2:5">
      <c r="B2421" s="252">
        <v>44725</v>
      </c>
      <c r="C2421" s="251">
        <v>406.7</v>
      </c>
      <c r="D2421" s="251">
        <f t="shared" si="40"/>
        <v>2.2640449438202248</v>
      </c>
      <c r="E2421" s="251">
        <v>-4.9877350776778469E-2</v>
      </c>
    </row>
    <row r="2422" spans="2:5">
      <c r="B2422" s="252">
        <v>44057</v>
      </c>
      <c r="C2422" s="251">
        <v>124.6</v>
      </c>
      <c r="D2422" s="251">
        <f t="shared" si="40"/>
        <v>-0.63261093911248711</v>
      </c>
      <c r="E2422" s="251">
        <v>-4.9942813572245608E-2</v>
      </c>
    </row>
    <row r="2423" spans="2:5">
      <c r="B2423" s="252">
        <v>43206</v>
      </c>
      <c r="C2423" s="251">
        <v>339.15</v>
      </c>
      <c r="D2423" s="251">
        <f t="shared" si="40"/>
        <v>-3.6642522368981773E-2</v>
      </c>
      <c r="E2423" s="251">
        <v>-5.0133034588993229E-2</v>
      </c>
    </row>
    <row r="2424" spans="2:5">
      <c r="B2424" s="252">
        <v>43164</v>
      </c>
      <c r="C2424" s="251">
        <v>352.05</v>
      </c>
      <c r="D2424" s="251">
        <f t="shared" si="40"/>
        <v>0.16901876141457758</v>
      </c>
      <c r="E2424" s="251">
        <v>-5.0438300741739689E-2</v>
      </c>
    </row>
    <row r="2425" spans="2:5">
      <c r="B2425" s="252">
        <v>42416</v>
      </c>
      <c r="C2425" s="251">
        <v>301.14999999999998</v>
      </c>
      <c r="D2425" s="251">
        <f t="shared" si="40"/>
        <v>-0.23361750858887903</v>
      </c>
      <c r="E2425" s="251">
        <v>-5.0748620961386992E-2</v>
      </c>
    </row>
    <row r="2426" spans="2:5">
      <c r="B2426" s="252">
        <v>44728</v>
      </c>
      <c r="C2426" s="251">
        <v>392.95</v>
      </c>
      <c r="D2426" s="251">
        <f t="shared" si="40"/>
        <v>2.220901639344262</v>
      </c>
      <c r="E2426" s="251">
        <v>-5.107461965708774E-2</v>
      </c>
    </row>
    <row r="2427" spans="2:5">
      <c r="B2427" s="252">
        <v>43725</v>
      </c>
      <c r="C2427" s="251">
        <v>122</v>
      </c>
      <c r="D2427" s="251">
        <f t="shared" si="40"/>
        <v>-0.67505659874816881</v>
      </c>
      <c r="E2427" s="251">
        <v>-5.1321928460342107E-2</v>
      </c>
    </row>
    <row r="2428" spans="2:5">
      <c r="B2428" s="252">
        <v>43137</v>
      </c>
      <c r="C2428" s="251">
        <v>375.45</v>
      </c>
      <c r="D2428" s="251">
        <f t="shared" si="40"/>
        <v>1.12599093997735</v>
      </c>
      <c r="E2428" s="251">
        <v>-5.1414855987872717E-2</v>
      </c>
    </row>
    <row r="2429" spans="2:5">
      <c r="B2429" s="252">
        <v>43861</v>
      </c>
      <c r="C2429" s="251">
        <v>176.6</v>
      </c>
      <c r="D2429" s="251">
        <f t="shared" si="40"/>
        <v>-0.36095531029491595</v>
      </c>
      <c r="E2429" s="251">
        <v>-5.1557465091299652E-2</v>
      </c>
    </row>
    <row r="2430" spans="2:5">
      <c r="B2430" s="252">
        <v>42411</v>
      </c>
      <c r="C2430" s="251">
        <v>276.35000000000002</v>
      </c>
      <c r="D2430" s="251">
        <f t="shared" si="40"/>
        <v>1.2331313131313133</v>
      </c>
      <c r="E2430" s="251">
        <v>-5.2135139770193753E-2</v>
      </c>
    </row>
    <row r="2431" spans="2:5">
      <c r="B2431" s="252">
        <v>43682</v>
      </c>
      <c r="C2431" s="251">
        <v>123.75</v>
      </c>
      <c r="D2431" s="251">
        <f t="shared" si="40"/>
        <v>-0.6064557163301002</v>
      </c>
      <c r="E2431" s="251">
        <v>-5.3175210405508717E-2</v>
      </c>
    </row>
    <row r="2432" spans="2:5">
      <c r="B2432" s="252">
        <v>44335</v>
      </c>
      <c r="C2432" s="251">
        <v>314.45</v>
      </c>
      <c r="D2432" s="251">
        <f t="shared" si="40"/>
        <v>-0.34747873002697655</v>
      </c>
      <c r="E2432" s="251">
        <v>-5.4143480222589864E-2</v>
      </c>
    </row>
    <row r="2433" spans="2:5">
      <c r="B2433" s="252">
        <v>44488</v>
      </c>
      <c r="C2433" s="251">
        <v>481.9</v>
      </c>
      <c r="D2433" s="251">
        <f t="shared" si="40"/>
        <v>2.2165659136705883E-2</v>
      </c>
      <c r="E2433" s="251">
        <v>-5.4356357927786585E-2</v>
      </c>
    </row>
    <row r="2434" spans="2:5">
      <c r="B2434" s="252">
        <v>44606</v>
      </c>
      <c r="C2434" s="251">
        <v>471.45</v>
      </c>
      <c r="D2434" s="251">
        <f t="shared" si="40"/>
        <v>0.91685301890628179</v>
      </c>
      <c r="E2434" s="251">
        <v>-5.4926330560288728E-2</v>
      </c>
    </row>
    <row r="2435" spans="2:5">
      <c r="B2435" s="252">
        <v>44214</v>
      </c>
      <c r="C2435" s="251">
        <v>245.95</v>
      </c>
      <c r="D2435" s="251">
        <f t="shared" si="40"/>
        <v>-0.57576541612764121</v>
      </c>
      <c r="E2435" s="251">
        <v>-5.5128697656550221E-2</v>
      </c>
    </row>
    <row r="2436" spans="2:5">
      <c r="B2436" s="252">
        <v>45754</v>
      </c>
      <c r="C2436" s="251">
        <v>579.75</v>
      </c>
      <c r="D2436" s="251">
        <f t="shared" si="40"/>
        <v>0.47144670050761422</v>
      </c>
      <c r="E2436" s="251">
        <v>-5.5551030382015185E-2</v>
      </c>
    </row>
    <row r="2437" spans="2:5">
      <c r="B2437" s="252">
        <v>44627</v>
      </c>
      <c r="C2437" s="251">
        <v>394</v>
      </c>
      <c r="D2437" s="251">
        <f t="shared" si="40"/>
        <v>-0.41066487173734195</v>
      </c>
      <c r="E2437" s="251">
        <v>-5.5721989215098862E-2</v>
      </c>
    </row>
    <row r="2438" spans="2:5">
      <c r="B2438" s="252">
        <v>45743</v>
      </c>
      <c r="C2438" s="251">
        <v>668.55</v>
      </c>
      <c r="D2438" s="251">
        <f t="shared" si="40"/>
        <v>6.0559366754617407</v>
      </c>
      <c r="E2438" s="251">
        <v>-5.6053653370984884E-2</v>
      </c>
    </row>
    <row r="2439" spans="2:5">
      <c r="B2439" s="252">
        <v>43998</v>
      </c>
      <c r="C2439" s="251">
        <v>94.75</v>
      </c>
      <c r="D2439" s="251">
        <f t="shared" si="40"/>
        <v>-0.90294991293659732</v>
      </c>
      <c r="E2439" s="251">
        <v>-5.721393034825871E-2</v>
      </c>
    </row>
    <row r="2440" spans="2:5">
      <c r="B2440" s="252">
        <v>45546</v>
      </c>
      <c r="C2440" s="251">
        <v>976.3</v>
      </c>
      <c r="D2440" s="251">
        <f t="shared" si="40"/>
        <v>6.9341731003657054</v>
      </c>
      <c r="E2440" s="251">
        <v>-5.7443521915427689E-2</v>
      </c>
    </row>
    <row r="2441" spans="2:5">
      <c r="B2441" s="252">
        <v>43733</v>
      </c>
      <c r="C2441" s="251">
        <v>123.05</v>
      </c>
      <c r="D2441" s="251">
        <f t="shared" si="40"/>
        <v>0.57857601026298899</v>
      </c>
      <c r="E2441" s="251">
        <v>-5.9969442322383562E-2</v>
      </c>
    </row>
    <row r="2442" spans="2:5">
      <c r="B2442" s="252">
        <v>43907</v>
      </c>
      <c r="C2442" s="251">
        <v>77.95</v>
      </c>
      <c r="D2442" s="251">
        <f t="shared" ref="D2442:D2482" si="41">(C2442-C2443)/C2443</f>
        <v>-0.73064961990324817</v>
      </c>
      <c r="E2442" s="251">
        <v>-6.027727546714888E-2</v>
      </c>
    </row>
    <row r="2443" spans="2:5">
      <c r="B2443" s="252">
        <v>43276</v>
      </c>
      <c r="C2443" s="251">
        <v>289.39999999999998</v>
      </c>
      <c r="D2443" s="251">
        <f t="shared" si="41"/>
        <v>-0.26970828706974864</v>
      </c>
      <c r="E2443" s="251">
        <v>-6.0389610389610465E-2</v>
      </c>
    </row>
    <row r="2444" spans="2:5">
      <c r="B2444" s="252">
        <v>44830</v>
      </c>
      <c r="C2444" s="251">
        <v>396.28</v>
      </c>
      <c r="D2444" s="251">
        <f t="shared" si="41"/>
        <v>0.39045614035087711</v>
      </c>
      <c r="E2444" s="251">
        <v>-6.0502607871029013E-2</v>
      </c>
    </row>
    <row r="2445" spans="2:5">
      <c r="B2445" s="252">
        <v>42275</v>
      </c>
      <c r="C2445" s="251">
        <v>285</v>
      </c>
      <c r="D2445" s="251">
        <f t="shared" si="41"/>
        <v>-0.17042642992286425</v>
      </c>
      <c r="E2445" s="251">
        <v>-6.0646011865523992E-2</v>
      </c>
    </row>
    <row r="2446" spans="2:5">
      <c r="B2446" s="252">
        <v>42376</v>
      </c>
      <c r="C2446" s="251">
        <v>343.55</v>
      </c>
      <c r="D2446" s="251">
        <f t="shared" si="41"/>
        <v>-0.44033558686975643</v>
      </c>
      <c r="E2446" s="251">
        <v>-6.1082262913364216E-2</v>
      </c>
    </row>
    <row r="2447" spans="2:5">
      <c r="B2447" s="252">
        <v>45751</v>
      </c>
      <c r="C2447" s="251">
        <v>613.85</v>
      </c>
      <c r="D2447" s="251">
        <f t="shared" si="41"/>
        <v>1.1054707597324644</v>
      </c>
      <c r="E2447" s="251">
        <v>-6.1319672757856138E-2</v>
      </c>
    </row>
    <row r="2448" spans="2:5">
      <c r="B2448" s="252">
        <v>42410</v>
      </c>
      <c r="C2448" s="251">
        <v>291.55</v>
      </c>
      <c r="D2448" s="251">
        <f t="shared" si="41"/>
        <v>-0.22676037660787693</v>
      </c>
      <c r="E2448" s="251">
        <v>-6.1483985192338539E-2</v>
      </c>
    </row>
    <row r="2449" spans="2:5">
      <c r="B2449" s="252">
        <v>42373</v>
      </c>
      <c r="C2449" s="251">
        <v>377.05</v>
      </c>
      <c r="D2449" s="251">
        <f t="shared" si="41"/>
        <v>1.2768719806763287</v>
      </c>
      <c r="E2449" s="251">
        <v>-6.1831301318735925E-2</v>
      </c>
    </row>
    <row r="2450" spans="2:5">
      <c r="B2450" s="252">
        <v>43862</v>
      </c>
      <c r="C2450" s="251">
        <v>165.6</v>
      </c>
      <c r="D2450" s="251">
        <f t="shared" si="41"/>
        <v>0.67441860465116266</v>
      </c>
      <c r="E2450" s="251">
        <v>-6.2287655719139301E-2</v>
      </c>
    </row>
    <row r="2451" spans="2:5">
      <c r="B2451" s="252">
        <v>43901</v>
      </c>
      <c r="C2451" s="251">
        <v>98.9</v>
      </c>
      <c r="D2451" s="251">
        <f t="shared" si="41"/>
        <v>-0.2809887313704108</v>
      </c>
      <c r="E2451" s="251">
        <v>-6.4333017975402057E-2</v>
      </c>
    </row>
    <row r="2452" spans="2:5">
      <c r="B2452" s="252">
        <v>43675</v>
      </c>
      <c r="C2452" s="251">
        <v>137.55000000000001</v>
      </c>
      <c r="D2452" s="251">
        <f t="shared" si="41"/>
        <v>0.1201140065146581</v>
      </c>
      <c r="E2452" s="251">
        <v>-6.5239551478083552E-2</v>
      </c>
    </row>
    <row r="2453" spans="2:5">
      <c r="B2453" s="252">
        <v>44098</v>
      </c>
      <c r="C2453" s="251">
        <v>122.8</v>
      </c>
      <c r="D2453" s="251">
        <f t="shared" si="41"/>
        <v>-0.7331594958713602</v>
      </c>
      <c r="E2453" s="251">
        <v>-6.5449010654490172E-2</v>
      </c>
    </row>
    <row r="2454" spans="2:5">
      <c r="B2454" s="252">
        <v>44526</v>
      </c>
      <c r="C2454" s="251">
        <v>460.2</v>
      </c>
      <c r="D2454" s="251">
        <f t="shared" si="41"/>
        <v>0.59431837865927606</v>
      </c>
      <c r="E2454" s="251">
        <v>-6.6057838660578405E-2</v>
      </c>
    </row>
    <row r="2455" spans="2:5">
      <c r="B2455" s="252">
        <v>43244</v>
      </c>
      <c r="C2455" s="251">
        <v>288.64999999999998</v>
      </c>
      <c r="D2455" s="251">
        <f t="shared" si="41"/>
        <v>-0.24397590361445792</v>
      </c>
      <c r="E2455" s="251">
        <v>-6.7216028437550535E-2</v>
      </c>
    </row>
    <row r="2456" spans="2:5">
      <c r="B2456" s="252">
        <v>42494</v>
      </c>
      <c r="C2456" s="251">
        <v>381.8</v>
      </c>
      <c r="D2456" s="251">
        <f t="shared" si="41"/>
        <v>1.1595022624434388</v>
      </c>
      <c r="E2456" s="251">
        <v>-6.7984865128768376E-2</v>
      </c>
    </row>
    <row r="2457" spans="2:5">
      <c r="B2457" s="252">
        <v>43606</v>
      </c>
      <c r="C2457" s="251">
        <v>176.8</v>
      </c>
      <c r="D2457" s="251">
        <f t="shared" si="41"/>
        <v>0.28628592215351056</v>
      </c>
      <c r="E2457" s="251">
        <v>-7.020773073889032E-2</v>
      </c>
    </row>
    <row r="2458" spans="2:5">
      <c r="B2458" s="252">
        <v>44095</v>
      </c>
      <c r="C2458" s="251">
        <v>137.44999999999999</v>
      </c>
      <c r="D2458" s="251">
        <f t="shared" si="41"/>
        <v>0.84125920964500978</v>
      </c>
      <c r="E2458" s="251">
        <v>-7.0655848546315195E-2</v>
      </c>
    </row>
    <row r="2459" spans="2:5">
      <c r="B2459" s="252">
        <v>43942</v>
      </c>
      <c r="C2459" s="251">
        <v>74.650000000000006</v>
      </c>
      <c r="D2459" s="251">
        <f t="shared" si="41"/>
        <v>-0.75782643957826434</v>
      </c>
      <c r="E2459" s="251">
        <v>-7.2094468614045948E-2</v>
      </c>
    </row>
    <row r="2460" spans="2:5">
      <c r="B2460" s="252">
        <v>42240</v>
      </c>
      <c r="C2460" s="251">
        <v>308.25</v>
      </c>
      <c r="D2460" s="251">
        <f t="shared" si="41"/>
        <v>-0.69673864922032569</v>
      </c>
      <c r="E2460" s="251">
        <v>-7.2653429602888023E-2</v>
      </c>
    </row>
    <row r="2461" spans="2:5">
      <c r="B2461" s="252">
        <v>45509</v>
      </c>
      <c r="C2461" s="267">
        <v>1016.45</v>
      </c>
      <c r="D2461" s="251">
        <f t="shared" si="41"/>
        <v>0.45863528736456916</v>
      </c>
      <c r="E2461" s="251">
        <v>-7.3131810513837631E-2</v>
      </c>
    </row>
    <row r="2462" spans="2:5">
      <c r="B2462" s="252">
        <v>45687</v>
      </c>
      <c r="C2462" s="251">
        <v>696.85</v>
      </c>
      <c r="D2462" s="251">
        <f t="shared" si="41"/>
        <v>5.5927152317880795</v>
      </c>
      <c r="E2462" s="251">
        <v>-7.3953488372092993E-2</v>
      </c>
    </row>
    <row r="2463" spans="2:5">
      <c r="B2463" s="252">
        <v>43899</v>
      </c>
      <c r="C2463" s="251">
        <v>105.7</v>
      </c>
      <c r="D2463" s="251">
        <f t="shared" si="41"/>
        <v>0.27426160337552741</v>
      </c>
      <c r="E2463" s="251">
        <v>-7.4430823117338007E-2</v>
      </c>
    </row>
    <row r="2464" spans="2:5">
      <c r="B2464" s="252">
        <v>43906</v>
      </c>
      <c r="C2464" s="251">
        <v>82.95</v>
      </c>
      <c r="D2464" s="251">
        <f t="shared" si="41"/>
        <v>-0.81542056074766356</v>
      </c>
      <c r="E2464" s="251">
        <v>-7.5766016713091897E-2</v>
      </c>
    </row>
    <row r="2465" spans="2:5">
      <c r="B2465" s="252">
        <v>42545</v>
      </c>
      <c r="C2465" s="251">
        <v>449.4</v>
      </c>
      <c r="D2465" s="251">
        <f t="shared" si="41"/>
        <v>1.6521097668928888</v>
      </c>
      <c r="E2465" s="251">
        <v>-7.9003996311097474E-2</v>
      </c>
    </row>
    <row r="2466" spans="2:5">
      <c r="B2466" s="252">
        <v>43600</v>
      </c>
      <c r="C2466" s="251">
        <v>169.45</v>
      </c>
      <c r="D2466" s="251">
        <f t="shared" si="41"/>
        <v>-0.82289924749163879</v>
      </c>
      <c r="E2466" s="251">
        <v>-8.1571815718157248E-2</v>
      </c>
    </row>
    <row r="2467" spans="2:5">
      <c r="B2467" s="252">
        <v>45425</v>
      </c>
      <c r="C2467" s="251">
        <v>956.8</v>
      </c>
      <c r="D2467" s="251">
        <f t="shared" si="41"/>
        <v>2.0192489744398863</v>
      </c>
      <c r="E2467" s="251">
        <v>-8.3024256538531668E-2</v>
      </c>
    </row>
    <row r="2468" spans="2:5">
      <c r="B2468" s="252">
        <v>44383</v>
      </c>
      <c r="C2468" s="251">
        <v>316.89999999999998</v>
      </c>
      <c r="D2468" s="251">
        <f t="shared" si="41"/>
        <v>-0.1664913203577065</v>
      </c>
      <c r="E2468" s="251">
        <v>-8.436867957237805E-2</v>
      </c>
    </row>
    <row r="2469" spans="2:5">
      <c r="B2469" s="252">
        <v>42957</v>
      </c>
      <c r="C2469" s="251">
        <v>380.2</v>
      </c>
      <c r="D2469" s="251">
        <f t="shared" si="41"/>
        <v>1.310543907626861</v>
      </c>
      <c r="E2469" s="251">
        <v>-8.6167527941353253E-2</v>
      </c>
    </row>
    <row r="2470" spans="2:5">
      <c r="B2470" s="252">
        <v>44186</v>
      </c>
      <c r="C2470" s="251">
        <v>164.55</v>
      </c>
      <c r="D2470" s="251">
        <f t="shared" si="41"/>
        <v>0.44089316987740812</v>
      </c>
      <c r="E2470" s="251">
        <v>-8.8618111326502352E-2</v>
      </c>
    </row>
    <row r="2471" spans="2:5">
      <c r="B2471" s="252">
        <v>43896</v>
      </c>
      <c r="C2471" s="251">
        <v>114.2</v>
      </c>
      <c r="D2471" s="251">
        <f t="shared" si="41"/>
        <v>1.6014234875444813E-2</v>
      </c>
      <c r="E2471" s="251">
        <v>-9.1848906560636157E-2</v>
      </c>
    </row>
    <row r="2472" spans="2:5">
      <c r="B2472" s="252">
        <v>43698</v>
      </c>
      <c r="C2472" s="251">
        <v>112.4</v>
      </c>
      <c r="D2472" s="251">
        <f t="shared" si="41"/>
        <v>-0.74246763661358683</v>
      </c>
      <c r="E2472" s="251">
        <v>-9.2450545014129915E-2</v>
      </c>
    </row>
    <row r="2473" spans="2:5">
      <c r="B2473" s="252">
        <v>42781</v>
      </c>
      <c r="C2473" s="251">
        <v>436.45</v>
      </c>
      <c r="D2473" s="251">
        <f t="shared" si="41"/>
        <v>-4.5802361171840819E-2</v>
      </c>
      <c r="E2473" s="251">
        <v>-9.4595996265947557E-2</v>
      </c>
    </row>
    <row r="2474" spans="2:5">
      <c r="B2474" s="252">
        <v>42689</v>
      </c>
      <c r="C2474" s="251">
        <v>457.4</v>
      </c>
      <c r="D2474" s="251">
        <f t="shared" si="41"/>
        <v>0.59623102425405672</v>
      </c>
      <c r="E2474" s="251">
        <v>-9.836388724620547E-2</v>
      </c>
    </row>
    <row r="2475" spans="2:5">
      <c r="B2475" s="252">
        <v>44298</v>
      </c>
      <c r="C2475" s="251">
        <v>286.55</v>
      </c>
      <c r="D2475" s="251">
        <f t="shared" si="41"/>
        <v>2.4153754469606672</v>
      </c>
      <c r="E2475" s="251">
        <v>-9.9465744814581952E-2</v>
      </c>
    </row>
    <row r="2476" spans="2:5">
      <c r="B2476" s="252">
        <v>43955</v>
      </c>
      <c r="C2476" s="251">
        <v>83.9</v>
      </c>
      <c r="D2476" s="251">
        <f t="shared" si="41"/>
        <v>-0.80394905946956408</v>
      </c>
      <c r="E2476" s="251">
        <v>-0.10026809651474525</v>
      </c>
    </row>
    <row r="2477" spans="2:5">
      <c r="B2477" s="252">
        <v>44616</v>
      </c>
      <c r="C2477" s="251">
        <v>427.95</v>
      </c>
      <c r="D2477" s="251">
        <f t="shared" si="41"/>
        <v>3.8630681818181816</v>
      </c>
      <c r="E2477" s="251">
        <v>-0.1028301886792453</v>
      </c>
    </row>
    <row r="2478" spans="2:5">
      <c r="B2478" s="252">
        <v>43902</v>
      </c>
      <c r="C2478" s="251">
        <v>88</v>
      </c>
      <c r="D2478" s="251">
        <f t="shared" si="41"/>
        <v>-0.31756494765412946</v>
      </c>
      <c r="E2478" s="251">
        <v>-0.11021233569261886</v>
      </c>
    </row>
    <row r="2479" spans="2:5">
      <c r="B2479" s="252">
        <v>43889</v>
      </c>
      <c r="C2479" s="251">
        <v>128.94999999999999</v>
      </c>
      <c r="D2479" s="251">
        <f t="shared" si="41"/>
        <v>-0.30051532411174403</v>
      </c>
      <c r="E2479" s="251">
        <v>-0.11222030981067134</v>
      </c>
    </row>
    <row r="2480" spans="2:5">
      <c r="B2480" s="252">
        <v>43382</v>
      </c>
      <c r="C2480" s="251">
        <v>184.35</v>
      </c>
      <c r="D2480" s="251">
        <f t="shared" si="41"/>
        <v>1.7847432024169183</v>
      </c>
      <c r="E2480" s="251">
        <v>-0.13185778196373912</v>
      </c>
    </row>
    <row r="2481" spans="2:5">
      <c r="B2481" s="252">
        <v>43913</v>
      </c>
      <c r="C2481" s="251">
        <v>66.2</v>
      </c>
      <c r="D2481" s="251">
        <f t="shared" si="41"/>
        <v>-0.56071665560716655</v>
      </c>
      <c r="E2481" s="251">
        <v>-0.1435963777490297</v>
      </c>
    </row>
    <row r="2482" spans="2:5">
      <c r="B2482" s="252">
        <v>43504</v>
      </c>
      <c r="C2482" s="251">
        <v>150.69999999999999</v>
      </c>
      <c r="D2482" s="251" t="e">
        <f t="shared" si="41"/>
        <v>#DIV/0!</v>
      </c>
      <c r="E2482" s="251">
        <v>-0.17582718074924805</v>
      </c>
    </row>
    <row r="2483" spans="2:5">
      <c r="B2483" s="252"/>
      <c r="C2483" s="268"/>
    </row>
    <row r="2484" spans="2:5">
      <c r="B2484" s="252"/>
      <c r="C2484" s="268"/>
    </row>
    <row r="2485" spans="2:5">
      <c r="B2485" s="252"/>
      <c r="C2485" s="268"/>
    </row>
    <row r="2486" spans="2:5">
      <c r="B2486" s="252"/>
      <c r="C2486" s="268"/>
    </row>
    <row r="2487" spans="2:5">
      <c r="B2487" s="252"/>
      <c r="C2487" s="268"/>
    </row>
    <row r="2488" spans="2:5">
      <c r="B2488" s="252"/>
      <c r="C2488" s="268"/>
    </row>
    <row r="2489" spans="2:5">
      <c r="B2489" s="252"/>
      <c r="C2489" s="268"/>
    </row>
    <row r="2490" spans="2:5">
      <c r="B2490" s="252"/>
      <c r="C2490" s="268"/>
    </row>
    <row r="2491" spans="2:5">
      <c r="B2491" s="252"/>
      <c r="C2491" s="268"/>
    </row>
    <row r="2492" spans="2:5">
      <c r="B2492" s="252"/>
      <c r="C2492" s="268"/>
    </row>
    <row r="2493" spans="2:5">
      <c r="B2493" s="252"/>
      <c r="C2493" s="268"/>
    </row>
    <row r="2494" spans="2:5">
      <c r="B2494" s="252"/>
      <c r="C2494" s="268"/>
    </row>
    <row r="2495" spans="2:5">
      <c r="B2495" s="252"/>
      <c r="C2495" s="268"/>
    </row>
    <row r="2496" spans="2:5">
      <c r="B2496" s="252"/>
      <c r="C2496" s="268"/>
    </row>
    <row r="2497" spans="2:3">
      <c r="B2497" s="252"/>
      <c r="C2497" s="268"/>
    </row>
    <row r="2498" spans="2:3">
      <c r="B2498" s="252"/>
      <c r="C2498" s="268"/>
    </row>
    <row r="2499" spans="2:3">
      <c r="B2499" s="252"/>
      <c r="C2499" s="268"/>
    </row>
    <row r="2500" spans="2:3">
      <c r="B2500" s="252"/>
      <c r="C2500" s="268"/>
    </row>
    <row r="2501" spans="2:3">
      <c r="B2501" s="252"/>
      <c r="C2501" s="268"/>
    </row>
    <row r="2502" spans="2:3">
      <c r="B2502" s="252"/>
      <c r="C2502" s="268"/>
    </row>
    <row r="2503" spans="2:3">
      <c r="B2503" s="252"/>
      <c r="C2503" s="268"/>
    </row>
    <row r="2504" spans="2:3">
      <c r="B2504" s="252"/>
      <c r="C2504" s="268"/>
    </row>
    <row r="2505" spans="2:3">
      <c r="B2505" s="252"/>
      <c r="C2505" s="268"/>
    </row>
    <row r="2506" spans="2:3">
      <c r="B2506" s="252"/>
      <c r="C2506" s="268"/>
    </row>
    <row r="2507" spans="2:3">
      <c r="B2507" s="252"/>
      <c r="C2507" s="268"/>
    </row>
    <row r="2508" spans="2:3">
      <c r="B2508" s="252"/>
      <c r="C2508" s="268"/>
    </row>
    <row r="2509" spans="2:3">
      <c r="B2509" s="252"/>
      <c r="C2509" s="268"/>
    </row>
    <row r="2510" spans="2:3">
      <c r="B2510" s="252"/>
      <c r="C2510" s="268"/>
    </row>
    <row r="2511" spans="2:3">
      <c r="B2511" s="252"/>
      <c r="C2511" s="268"/>
    </row>
    <row r="2512" spans="2:3">
      <c r="B2512" s="252"/>
      <c r="C2512" s="268"/>
    </row>
    <row r="2513" spans="2:3">
      <c r="B2513" s="252"/>
      <c r="C2513" s="268"/>
    </row>
    <row r="2514" spans="2:3">
      <c r="B2514" s="252"/>
      <c r="C2514" s="268"/>
    </row>
    <row r="2515" spans="2:3">
      <c r="B2515" s="252"/>
      <c r="C2515" s="268"/>
    </row>
    <row r="2516" spans="2:3">
      <c r="B2516" s="252"/>
      <c r="C2516" s="268"/>
    </row>
    <row r="2517" spans="2:3">
      <c r="B2517" s="252"/>
      <c r="C2517" s="268"/>
    </row>
    <row r="2518" spans="2:3">
      <c r="B2518" s="252"/>
      <c r="C2518" s="268"/>
    </row>
    <row r="2519" spans="2:3">
      <c r="B2519" s="252"/>
      <c r="C2519" s="268"/>
    </row>
    <row r="2520" spans="2:3">
      <c r="B2520" s="252"/>
      <c r="C2520" s="268"/>
    </row>
    <row r="2521" spans="2:3">
      <c r="B2521" s="252"/>
      <c r="C2521" s="268"/>
    </row>
    <row r="2522" spans="2:3">
      <c r="B2522" s="252"/>
      <c r="C2522" s="268"/>
    </row>
    <row r="2523" spans="2:3">
      <c r="B2523" s="252"/>
      <c r="C2523" s="268"/>
    </row>
    <row r="2524" spans="2:3">
      <c r="B2524" s="252"/>
      <c r="C2524" s="268"/>
    </row>
    <row r="2525" spans="2:3">
      <c r="B2525" s="252"/>
      <c r="C2525" s="268"/>
    </row>
    <row r="2526" spans="2:3">
      <c r="B2526" s="252"/>
      <c r="C2526" s="268"/>
    </row>
    <row r="2527" spans="2:3">
      <c r="B2527" s="252"/>
      <c r="C2527" s="268"/>
    </row>
    <row r="2528" spans="2:3">
      <c r="B2528" s="252"/>
      <c r="C2528" s="268"/>
    </row>
    <row r="2529" spans="2:3">
      <c r="B2529" s="252"/>
      <c r="C2529" s="268"/>
    </row>
    <row r="2530" spans="2:3">
      <c r="B2530" s="252"/>
      <c r="C2530" s="268"/>
    </row>
    <row r="2531" spans="2:3">
      <c r="B2531" s="252"/>
      <c r="C2531" s="268"/>
    </row>
    <row r="2532" spans="2:3">
      <c r="B2532" s="252"/>
      <c r="C2532" s="268"/>
    </row>
    <row r="2533" spans="2:3">
      <c r="B2533" s="252"/>
      <c r="C2533" s="268"/>
    </row>
    <row r="2534" spans="2:3">
      <c r="B2534" s="252"/>
      <c r="C2534" s="268"/>
    </row>
    <row r="2535" spans="2:3">
      <c r="B2535" s="252"/>
      <c r="C2535" s="268"/>
    </row>
    <row r="2536" spans="2:3">
      <c r="B2536" s="252"/>
      <c r="C2536" s="268"/>
    </row>
    <row r="2537" spans="2:3">
      <c r="B2537" s="252"/>
      <c r="C2537" s="268"/>
    </row>
    <row r="2538" spans="2:3">
      <c r="B2538" s="252"/>
      <c r="C2538" s="268"/>
    </row>
    <row r="2539" spans="2:3">
      <c r="B2539" s="252"/>
      <c r="C2539" s="268"/>
    </row>
    <row r="2540" spans="2:3">
      <c r="B2540" s="252"/>
      <c r="C2540" s="268"/>
    </row>
    <row r="2541" spans="2:3">
      <c r="B2541" s="252"/>
      <c r="C2541" s="268"/>
    </row>
    <row r="2542" spans="2:3">
      <c r="B2542" s="252"/>
      <c r="C2542" s="268"/>
    </row>
    <row r="2543" spans="2:3">
      <c r="B2543" s="252"/>
      <c r="C2543" s="268"/>
    </row>
    <row r="2544" spans="2:3">
      <c r="B2544" s="252"/>
      <c r="C2544" s="268"/>
    </row>
    <row r="2545" spans="2:3">
      <c r="B2545" s="252"/>
      <c r="C2545" s="268"/>
    </row>
    <row r="2546" spans="2:3">
      <c r="B2546" s="252"/>
      <c r="C2546" s="268"/>
    </row>
    <row r="2547" spans="2:3">
      <c r="B2547" s="252"/>
      <c r="C2547" s="268"/>
    </row>
    <row r="2548" spans="2:3">
      <c r="B2548" s="252"/>
      <c r="C2548" s="268"/>
    </row>
    <row r="2549" spans="2:3">
      <c r="B2549" s="252"/>
      <c r="C2549" s="268"/>
    </row>
    <row r="2550" spans="2:3">
      <c r="B2550" s="252"/>
      <c r="C2550" s="268"/>
    </row>
    <row r="2551" spans="2:3">
      <c r="B2551" s="252"/>
      <c r="C2551" s="268"/>
    </row>
    <row r="2552" spans="2:3">
      <c r="B2552" s="252"/>
      <c r="C2552" s="268"/>
    </row>
    <row r="2553" spans="2:3">
      <c r="B2553" s="252"/>
      <c r="C2553" s="268"/>
    </row>
    <row r="2554" spans="2:3">
      <c r="B2554" s="252"/>
      <c r="C2554" s="268"/>
    </row>
    <row r="2555" spans="2:3">
      <c r="B2555" s="252"/>
      <c r="C2555" s="268"/>
    </row>
    <row r="2556" spans="2:3">
      <c r="B2556" s="252"/>
      <c r="C2556" s="268"/>
    </row>
    <row r="2557" spans="2:3">
      <c r="B2557" s="252"/>
      <c r="C2557" s="268"/>
    </row>
    <row r="2558" spans="2:3">
      <c r="B2558" s="252"/>
      <c r="C2558" s="268"/>
    </row>
    <row r="2559" spans="2:3">
      <c r="B2559" s="252"/>
      <c r="C2559" s="268"/>
    </row>
    <row r="2560" spans="2:3">
      <c r="B2560" s="252"/>
      <c r="C2560" s="268"/>
    </row>
    <row r="2561" spans="2:3">
      <c r="B2561" s="252"/>
      <c r="C2561" s="268"/>
    </row>
    <row r="2562" spans="2:3">
      <c r="B2562" s="252"/>
      <c r="C2562" s="268"/>
    </row>
    <row r="2563" spans="2:3">
      <c r="B2563" s="252"/>
      <c r="C2563" s="268"/>
    </row>
    <row r="2564" spans="2:3">
      <c r="B2564" s="252"/>
      <c r="C2564" s="268"/>
    </row>
    <row r="2565" spans="2:3">
      <c r="B2565" s="252"/>
      <c r="C2565" s="268"/>
    </row>
    <row r="2566" spans="2:3">
      <c r="B2566" s="252"/>
      <c r="C2566" s="268"/>
    </row>
    <row r="2567" spans="2:3">
      <c r="B2567" s="252"/>
      <c r="C2567" s="268"/>
    </row>
    <row r="2568" spans="2:3">
      <c r="B2568" s="252"/>
      <c r="C2568" s="268"/>
    </row>
    <row r="2569" spans="2:3">
      <c r="B2569" s="252"/>
      <c r="C2569" s="268"/>
    </row>
    <row r="2570" spans="2:3">
      <c r="B2570" s="252"/>
      <c r="C2570" s="268"/>
    </row>
    <row r="2571" spans="2:3">
      <c r="B2571" s="252"/>
      <c r="C2571" s="268"/>
    </row>
    <row r="2572" spans="2:3">
      <c r="B2572" s="252"/>
      <c r="C2572" s="268"/>
    </row>
    <row r="2573" spans="2:3">
      <c r="B2573" s="252"/>
      <c r="C2573" s="268"/>
    </row>
    <row r="2574" spans="2:3">
      <c r="B2574" s="252"/>
      <c r="C2574" s="268"/>
    </row>
    <row r="2575" spans="2:3">
      <c r="B2575" s="252"/>
      <c r="C2575" s="268"/>
    </row>
    <row r="2576" spans="2:3">
      <c r="B2576" s="252"/>
      <c r="C2576" s="268"/>
    </row>
    <row r="2577" spans="2:3">
      <c r="B2577" s="252"/>
      <c r="C2577" s="268"/>
    </row>
    <row r="2578" spans="2:3">
      <c r="B2578" s="252"/>
      <c r="C2578" s="268"/>
    </row>
    <row r="2579" spans="2:3">
      <c r="B2579" s="252"/>
      <c r="C2579" s="268"/>
    </row>
    <row r="2580" spans="2:3">
      <c r="B2580" s="252"/>
      <c r="C2580" s="268"/>
    </row>
    <row r="2581" spans="2:3">
      <c r="B2581" s="252"/>
      <c r="C2581" s="268"/>
    </row>
    <row r="2582" spans="2:3">
      <c r="B2582" s="252"/>
      <c r="C2582" s="268"/>
    </row>
    <row r="2583" spans="2:3">
      <c r="B2583" s="252"/>
      <c r="C2583" s="268"/>
    </row>
    <row r="2584" spans="2:3">
      <c r="B2584" s="252"/>
      <c r="C2584" s="268"/>
    </row>
    <row r="2585" spans="2:3">
      <c r="B2585" s="252"/>
      <c r="C2585" s="268"/>
    </row>
    <row r="2586" spans="2:3">
      <c r="B2586" s="252"/>
      <c r="C2586" s="268"/>
    </row>
    <row r="2587" spans="2:3">
      <c r="B2587" s="252"/>
      <c r="C2587" s="268"/>
    </row>
    <row r="2588" spans="2:3">
      <c r="B2588" s="252"/>
      <c r="C2588" s="268"/>
    </row>
    <row r="2589" spans="2:3">
      <c r="B2589" s="252"/>
      <c r="C2589" s="268"/>
    </row>
    <row r="2590" spans="2:3">
      <c r="B2590" s="252"/>
      <c r="C2590" s="268"/>
    </row>
    <row r="2591" spans="2:3">
      <c r="B2591" s="252"/>
      <c r="C2591" s="268"/>
    </row>
    <row r="2592" spans="2:3">
      <c r="B2592" s="252"/>
      <c r="C2592" s="268"/>
    </row>
    <row r="2593" spans="2:3">
      <c r="B2593" s="252"/>
      <c r="C2593" s="268"/>
    </row>
    <row r="2594" spans="2:3">
      <c r="B2594" s="252"/>
      <c r="C2594" s="268"/>
    </row>
    <row r="2595" spans="2:3">
      <c r="B2595" s="252"/>
      <c r="C2595" s="268"/>
    </row>
    <row r="2596" spans="2:3">
      <c r="B2596" s="252"/>
      <c r="C2596" s="268"/>
    </row>
    <row r="2597" spans="2:3">
      <c r="B2597" s="252"/>
      <c r="C2597" s="268"/>
    </row>
    <row r="2598" spans="2:3">
      <c r="B2598" s="252"/>
      <c r="C2598" s="268"/>
    </row>
    <row r="2599" spans="2:3">
      <c r="B2599" s="252"/>
      <c r="C2599" s="268"/>
    </row>
    <row r="2600" spans="2:3">
      <c r="B2600" s="252"/>
      <c r="C2600" s="268"/>
    </row>
    <row r="2601" spans="2:3">
      <c r="B2601" s="252"/>
      <c r="C2601" s="268"/>
    </row>
    <row r="2602" spans="2:3">
      <c r="B2602" s="252"/>
      <c r="C2602" s="268"/>
    </row>
    <row r="2603" spans="2:3">
      <c r="B2603" s="252"/>
      <c r="C2603" s="268"/>
    </row>
    <row r="2604" spans="2:3">
      <c r="B2604" s="252"/>
      <c r="C2604" s="268"/>
    </row>
    <row r="2605" spans="2:3">
      <c r="B2605" s="252"/>
      <c r="C2605" s="268"/>
    </row>
    <row r="2606" spans="2:3">
      <c r="B2606" s="252"/>
      <c r="C2606" s="268"/>
    </row>
    <row r="2607" spans="2:3">
      <c r="B2607" s="252"/>
      <c r="C2607" s="268"/>
    </row>
    <row r="2608" spans="2:3">
      <c r="B2608" s="252"/>
      <c r="C2608" s="268"/>
    </row>
    <row r="2609" spans="2:3">
      <c r="B2609" s="252"/>
      <c r="C2609" s="268"/>
    </row>
    <row r="2610" spans="2:3">
      <c r="B2610" s="252"/>
      <c r="C2610" s="268"/>
    </row>
    <row r="2611" spans="2:3">
      <c r="B2611" s="252"/>
      <c r="C2611" s="268"/>
    </row>
    <row r="2612" spans="2:3">
      <c r="B2612" s="252"/>
      <c r="C2612" s="268"/>
    </row>
    <row r="2613" spans="2:3">
      <c r="B2613" s="252"/>
      <c r="C2613" s="268"/>
    </row>
    <row r="2614" spans="2:3">
      <c r="B2614" s="252"/>
      <c r="C2614" s="268"/>
    </row>
    <row r="2615" spans="2:3">
      <c r="B2615" s="252"/>
      <c r="C2615" s="268"/>
    </row>
    <row r="2616" spans="2:3">
      <c r="B2616" s="252"/>
      <c r="C2616" s="268"/>
    </row>
    <row r="2617" spans="2:3">
      <c r="B2617" s="252"/>
      <c r="C2617" s="268"/>
    </row>
    <row r="2618" spans="2:3">
      <c r="B2618" s="252"/>
      <c r="C2618" s="268"/>
    </row>
    <row r="2619" spans="2:3">
      <c r="B2619" s="252"/>
      <c r="C2619" s="268"/>
    </row>
    <row r="2620" spans="2:3">
      <c r="B2620" s="252"/>
      <c r="C2620" s="268"/>
    </row>
    <row r="2621" spans="2:3">
      <c r="B2621" s="252"/>
      <c r="C2621" s="268"/>
    </row>
    <row r="2622" spans="2:3">
      <c r="B2622" s="252"/>
      <c r="C2622" s="268"/>
    </row>
    <row r="2623" spans="2:3">
      <c r="B2623" s="252"/>
      <c r="C2623" s="268"/>
    </row>
    <row r="2624" spans="2:3">
      <c r="B2624" s="252"/>
      <c r="C2624" s="268"/>
    </row>
    <row r="2625" spans="2:3">
      <c r="B2625" s="252"/>
      <c r="C2625" s="268"/>
    </row>
    <row r="2626" spans="2:3">
      <c r="B2626" s="252"/>
      <c r="C2626" s="268"/>
    </row>
    <row r="2627" spans="2:3">
      <c r="B2627" s="252"/>
      <c r="C2627" s="268"/>
    </row>
    <row r="2628" spans="2:3">
      <c r="B2628" s="252"/>
      <c r="C2628" s="268"/>
    </row>
    <row r="2629" spans="2:3">
      <c r="B2629" s="252"/>
      <c r="C2629" s="268"/>
    </row>
    <row r="2630" spans="2:3">
      <c r="B2630" s="252"/>
      <c r="C2630" s="268"/>
    </row>
    <row r="2631" spans="2:3">
      <c r="B2631" s="252"/>
      <c r="C2631" s="268"/>
    </row>
    <row r="2632" spans="2:3">
      <c r="B2632" s="252"/>
      <c r="C2632" s="268"/>
    </row>
    <row r="2633" spans="2:3">
      <c r="B2633" s="252"/>
      <c r="C2633" s="268"/>
    </row>
    <row r="2634" spans="2:3">
      <c r="B2634" s="252"/>
      <c r="C2634" s="268"/>
    </row>
    <row r="2635" spans="2:3">
      <c r="B2635" s="252"/>
      <c r="C2635" s="268"/>
    </row>
    <row r="2636" spans="2:3">
      <c r="B2636" s="252"/>
      <c r="C2636" s="268"/>
    </row>
    <row r="2637" spans="2:3">
      <c r="B2637" s="252"/>
      <c r="C2637" s="268"/>
    </row>
    <row r="2638" spans="2:3">
      <c r="B2638" s="252"/>
      <c r="C2638" s="268"/>
    </row>
    <row r="2639" spans="2:3">
      <c r="B2639" s="252"/>
      <c r="C2639" s="268"/>
    </row>
    <row r="2640" spans="2:3">
      <c r="B2640" s="252"/>
      <c r="C2640" s="268"/>
    </row>
    <row r="2641" spans="2:3">
      <c r="B2641" s="252"/>
      <c r="C2641" s="268"/>
    </row>
    <row r="2642" spans="2:3">
      <c r="B2642" s="252"/>
      <c r="C2642" s="268"/>
    </row>
    <row r="2643" spans="2:3">
      <c r="B2643" s="252"/>
      <c r="C2643" s="268"/>
    </row>
    <row r="2644" spans="2:3">
      <c r="B2644" s="252"/>
      <c r="C2644" s="268"/>
    </row>
    <row r="2645" spans="2:3">
      <c r="B2645" s="252"/>
      <c r="C2645" s="268"/>
    </row>
    <row r="2646" spans="2:3">
      <c r="B2646" s="252"/>
      <c r="C2646" s="268"/>
    </row>
    <row r="2647" spans="2:3">
      <c r="B2647" s="252"/>
      <c r="C2647" s="268"/>
    </row>
    <row r="2648" spans="2:3">
      <c r="B2648" s="252"/>
      <c r="C2648" s="268"/>
    </row>
    <row r="2649" spans="2:3">
      <c r="B2649" s="252"/>
      <c r="C2649" s="268"/>
    </row>
    <row r="2650" spans="2:3">
      <c r="B2650" s="252"/>
      <c r="C2650" s="268"/>
    </row>
    <row r="2651" spans="2:3">
      <c r="B2651" s="252"/>
      <c r="C2651" s="268"/>
    </row>
    <row r="2652" spans="2:3">
      <c r="B2652" s="252"/>
      <c r="C2652" s="268"/>
    </row>
    <row r="2653" spans="2:3">
      <c r="B2653" s="252"/>
      <c r="C2653" s="268"/>
    </row>
    <row r="2654" spans="2:3">
      <c r="B2654" s="252"/>
      <c r="C2654" s="268"/>
    </row>
    <row r="2655" spans="2:3">
      <c r="B2655" s="252"/>
      <c r="C2655" s="268"/>
    </row>
    <row r="2656" spans="2:3">
      <c r="B2656" s="252"/>
      <c r="C2656" s="268"/>
    </row>
    <row r="2657" spans="2:3">
      <c r="B2657" s="252"/>
      <c r="C2657" s="268"/>
    </row>
    <row r="2658" spans="2:3">
      <c r="B2658" s="252"/>
      <c r="C2658" s="268"/>
    </row>
    <row r="2659" spans="2:3">
      <c r="B2659" s="252"/>
      <c r="C2659" s="268"/>
    </row>
    <row r="2660" spans="2:3">
      <c r="B2660" s="252"/>
      <c r="C2660" s="268"/>
    </row>
    <row r="2661" spans="2:3">
      <c r="B2661" s="252"/>
      <c r="C2661" s="268"/>
    </row>
    <row r="2662" spans="2:3">
      <c r="B2662" s="252"/>
      <c r="C2662" s="268"/>
    </row>
    <row r="2663" spans="2:3">
      <c r="B2663" s="252"/>
      <c r="C2663" s="268"/>
    </row>
    <row r="2664" spans="2:3">
      <c r="B2664" s="252"/>
      <c r="C2664" s="268"/>
    </row>
    <row r="2665" spans="2:3">
      <c r="B2665" s="252"/>
      <c r="C2665" s="268"/>
    </row>
    <row r="2666" spans="2:3">
      <c r="B2666" s="252"/>
      <c r="C2666" s="268"/>
    </row>
    <row r="2667" spans="2:3">
      <c r="B2667" s="252"/>
      <c r="C2667" s="268"/>
    </row>
    <row r="2668" spans="2:3">
      <c r="B2668" s="252"/>
      <c r="C2668" s="268"/>
    </row>
    <row r="2669" spans="2:3">
      <c r="B2669" s="252"/>
      <c r="C2669" s="268"/>
    </row>
    <row r="2670" spans="2:3">
      <c r="B2670" s="252"/>
      <c r="C2670" s="268"/>
    </row>
    <row r="2671" spans="2:3">
      <c r="B2671" s="252"/>
      <c r="C2671" s="268"/>
    </row>
    <row r="2672" spans="2:3">
      <c r="B2672" s="252"/>
      <c r="C2672" s="268"/>
    </row>
    <row r="2673" spans="2:3">
      <c r="B2673" s="252"/>
      <c r="C2673" s="268"/>
    </row>
    <row r="2674" spans="2:3">
      <c r="B2674" s="252"/>
      <c r="C2674" s="268"/>
    </row>
    <row r="2675" spans="2:3">
      <c r="B2675" s="252"/>
      <c r="C2675" s="268"/>
    </row>
    <row r="2676" spans="2:3">
      <c r="B2676" s="252"/>
      <c r="C2676" s="268"/>
    </row>
    <row r="2677" spans="2:3">
      <c r="B2677" s="252"/>
      <c r="C2677" s="268"/>
    </row>
    <row r="2678" spans="2:3">
      <c r="B2678" s="252"/>
      <c r="C2678" s="268"/>
    </row>
    <row r="2679" spans="2:3">
      <c r="B2679" s="252"/>
      <c r="C2679" s="268"/>
    </row>
    <row r="2680" spans="2:3">
      <c r="B2680" s="252"/>
      <c r="C2680" s="268"/>
    </row>
    <row r="2681" spans="2:3">
      <c r="B2681" s="252"/>
      <c r="C2681" s="268"/>
    </row>
    <row r="2682" spans="2:3">
      <c r="B2682" s="252"/>
      <c r="C2682" s="268"/>
    </row>
    <row r="2683" spans="2:3">
      <c r="B2683" s="252"/>
      <c r="C2683" s="268"/>
    </row>
    <row r="2684" spans="2:3">
      <c r="B2684" s="252"/>
      <c r="C2684" s="268"/>
    </row>
    <row r="2685" spans="2:3">
      <c r="B2685" s="252"/>
      <c r="C2685" s="268"/>
    </row>
    <row r="2686" spans="2:3">
      <c r="B2686" s="252"/>
      <c r="C2686" s="268"/>
    </row>
    <row r="2687" spans="2:3">
      <c r="B2687" s="252"/>
      <c r="C2687" s="268"/>
    </row>
    <row r="2688" spans="2:3">
      <c r="B2688" s="252"/>
      <c r="C2688" s="268"/>
    </row>
    <row r="2689" spans="2:3">
      <c r="B2689" s="252"/>
      <c r="C2689" s="268"/>
    </row>
    <row r="2690" spans="2:3">
      <c r="B2690" s="252"/>
      <c r="C2690" s="268"/>
    </row>
    <row r="2691" spans="2:3">
      <c r="B2691" s="252"/>
      <c r="C2691" s="268"/>
    </row>
    <row r="2692" spans="2:3">
      <c r="B2692" s="252"/>
      <c r="C2692" s="268"/>
    </row>
    <row r="2693" spans="2:3">
      <c r="B2693" s="252"/>
      <c r="C2693" s="268"/>
    </row>
    <row r="2694" spans="2:3">
      <c r="B2694" s="252"/>
      <c r="C2694" s="268"/>
    </row>
    <row r="2695" spans="2:3">
      <c r="B2695" s="252"/>
      <c r="C2695" s="268"/>
    </row>
    <row r="2696" spans="2:3">
      <c r="B2696" s="252"/>
      <c r="C2696" s="268"/>
    </row>
    <row r="2697" spans="2:3">
      <c r="B2697" s="252"/>
      <c r="C2697" s="268"/>
    </row>
    <row r="2698" spans="2:3">
      <c r="B2698" s="252"/>
      <c r="C2698" s="268"/>
    </row>
    <row r="2699" spans="2:3">
      <c r="B2699" s="252"/>
      <c r="C2699" s="268"/>
    </row>
    <row r="2700" spans="2:3">
      <c r="B2700" s="252"/>
      <c r="C2700" s="268"/>
    </row>
    <row r="2701" spans="2:3">
      <c r="B2701" s="252"/>
      <c r="C2701" s="268"/>
    </row>
    <row r="2702" spans="2:3">
      <c r="B2702" s="252"/>
      <c r="C2702" s="268"/>
    </row>
    <row r="2703" spans="2:3">
      <c r="B2703" s="252"/>
      <c r="C2703" s="268"/>
    </row>
    <row r="2704" spans="2:3">
      <c r="B2704" s="252"/>
      <c r="C2704" s="268"/>
    </row>
    <row r="2705" spans="2:3">
      <c r="B2705" s="252"/>
      <c r="C2705" s="268"/>
    </row>
    <row r="2706" spans="2:3">
      <c r="B2706" s="252"/>
      <c r="C2706" s="268"/>
    </row>
    <row r="2707" spans="2:3">
      <c r="B2707" s="252"/>
      <c r="C2707" s="268"/>
    </row>
    <row r="2708" spans="2:3">
      <c r="B2708" s="252"/>
      <c r="C2708" s="268"/>
    </row>
    <row r="2709" spans="2:3">
      <c r="B2709" s="252"/>
      <c r="C2709" s="268"/>
    </row>
    <row r="2710" spans="2:3">
      <c r="B2710" s="252"/>
      <c r="C2710" s="268"/>
    </row>
    <row r="2711" spans="2:3">
      <c r="B2711" s="252"/>
      <c r="C2711" s="268"/>
    </row>
    <row r="2712" spans="2:3">
      <c r="B2712" s="252"/>
      <c r="C2712" s="268"/>
    </row>
    <row r="2713" spans="2:3">
      <c r="B2713" s="252"/>
      <c r="C2713" s="268"/>
    </row>
    <row r="2714" spans="2:3">
      <c r="B2714" s="252"/>
      <c r="C2714" s="268"/>
    </row>
    <row r="2715" spans="2:3">
      <c r="B2715" s="252"/>
      <c r="C2715" s="268"/>
    </row>
    <row r="2716" spans="2:3">
      <c r="B2716" s="252"/>
      <c r="C2716" s="268"/>
    </row>
    <row r="2717" spans="2:3">
      <c r="B2717" s="252"/>
      <c r="C2717" s="268"/>
    </row>
    <row r="2718" spans="2:3">
      <c r="B2718" s="252"/>
      <c r="C2718" s="268"/>
    </row>
    <row r="2719" spans="2:3">
      <c r="B2719" s="252"/>
      <c r="C2719" s="268"/>
    </row>
    <row r="2720" spans="2:3">
      <c r="B2720" s="252"/>
      <c r="C2720" s="268"/>
    </row>
    <row r="2721" spans="2:3">
      <c r="B2721" s="252"/>
      <c r="C2721" s="268"/>
    </row>
    <row r="2722" spans="2:3">
      <c r="B2722" s="252"/>
      <c r="C2722" s="268"/>
    </row>
    <row r="2723" spans="2:3">
      <c r="B2723" s="252"/>
      <c r="C2723" s="268"/>
    </row>
    <row r="2724" spans="2:3">
      <c r="B2724" s="252"/>
      <c r="C2724" s="268"/>
    </row>
    <row r="2725" spans="2:3">
      <c r="B2725" s="252"/>
      <c r="C2725" s="268"/>
    </row>
    <row r="2726" spans="2:3">
      <c r="B2726" s="252"/>
      <c r="C2726" s="268"/>
    </row>
    <row r="2727" spans="2:3">
      <c r="B2727" s="252"/>
      <c r="C2727" s="268"/>
    </row>
    <row r="2728" spans="2:3">
      <c r="B2728" s="252"/>
      <c r="C2728" s="268"/>
    </row>
    <row r="2729" spans="2:3">
      <c r="B2729" s="252"/>
      <c r="C2729" s="268"/>
    </row>
    <row r="2730" spans="2:3">
      <c r="B2730" s="252"/>
      <c r="C2730" s="268"/>
    </row>
    <row r="2731" spans="2:3">
      <c r="B2731" s="252"/>
      <c r="C2731" s="268"/>
    </row>
    <row r="2732" spans="2:3">
      <c r="B2732" s="252"/>
      <c r="C2732" s="268"/>
    </row>
    <row r="2733" spans="2:3">
      <c r="B2733" s="252"/>
      <c r="C2733" s="268"/>
    </row>
    <row r="2734" spans="2:3">
      <c r="B2734" s="252"/>
      <c r="C2734" s="268"/>
    </row>
    <row r="2735" spans="2:3">
      <c r="B2735" s="252"/>
      <c r="C2735" s="268"/>
    </row>
    <row r="2736" spans="2:3">
      <c r="B2736" s="252"/>
      <c r="C2736" s="268"/>
    </row>
    <row r="2737" spans="2:3">
      <c r="B2737" s="252"/>
      <c r="C2737" s="268"/>
    </row>
    <row r="2738" spans="2:3">
      <c r="B2738" s="252"/>
      <c r="C2738" s="268"/>
    </row>
    <row r="2739" spans="2:3">
      <c r="B2739" s="252"/>
      <c r="C2739" s="268"/>
    </row>
    <row r="2740" spans="2:3">
      <c r="B2740" s="252"/>
      <c r="C2740" s="268"/>
    </row>
    <row r="2741" spans="2:3">
      <c r="B2741" s="252"/>
      <c r="C2741" s="268"/>
    </row>
    <row r="2742" spans="2:3">
      <c r="B2742" s="252"/>
      <c r="C2742" s="268"/>
    </row>
    <row r="2743" spans="2:3">
      <c r="B2743" s="252"/>
      <c r="C2743" s="268"/>
    </row>
    <row r="2744" spans="2:3">
      <c r="B2744" s="252"/>
      <c r="C2744" s="268"/>
    </row>
    <row r="2745" spans="2:3">
      <c r="B2745" s="252"/>
      <c r="C2745" s="268"/>
    </row>
    <row r="2746" spans="2:3">
      <c r="B2746" s="252"/>
      <c r="C2746" s="268"/>
    </row>
    <row r="2747" spans="2:3">
      <c r="B2747" s="252"/>
      <c r="C2747" s="268"/>
    </row>
    <row r="2748" spans="2:3">
      <c r="B2748" s="252"/>
      <c r="C2748" s="268"/>
    </row>
    <row r="2749" spans="2:3">
      <c r="B2749" s="252"/>
      <c r="C2749" s="268"/>
    </row>
    <row r="2750" spans="2:3">
      <c r="B2750" s="252"/>
      <c r="C2750" s="268"/>
    </row>
    <row r="2751" spans="2:3">
      <c r="B2751" s="252"/>
      <c r="C2751" s="268"/>
    </row>
    <row r="2752" spans="2:3">
      <c r="B2752" s="252"/>
      <c r="C2752" s="268"/>
    </row>
    <row r="2753" spans="2:3">
      <c r="B2753" s="252"/>
      <c r="C2753" s="268"/>
    </row>
    <row r="2754" spans="2:3">
      <c r="B2754" s="252"/>
      <c r="C2754" s="268"/>
    </row>
    <row r="2755" spans="2:3">
      <c r="B2755" s="252"/>
      <c r="C2755" s="268"/>
    </row>
    <row r="2756" spans="2:3">
      <c r="B2756" s="252"/>
      <c r="C2756" s="268"/>
    </row>
    <row r="2757" spans="2:3">
      <c r="B2757" s="252"/>
      <c r="C2757" s="268"/>
    </row>
    <row r="2758" spans="2:3">
      <c r="B2758" s="252"/>
      <c r="C2758" s="268"/>
    </row>
    <row r="2759" spans="2:3">
      <c r="B2759" s="252"/>
      <c r="C2759" s="268"/>
    </row>
    <row r="2760" spans="2:3">
      <c r="B2760" s="252"/>
      <c r="C2760" s="268"/>
    </row>
    <row r="2761" spans="2:3">
      <c r="B2761" s="252"/>
      <c r="C2761" s="268"/>
    </row>
    <row r="2762" spans="2:3">
      <c r="B2762" s="252"/>
      <c r="C2762" s="268"/>
    </row>
    <row r="2763" spans="2:3">
      <c r="B2763" s="252"/>
      <c r="C2763" s="268"/>
    </row>
    <row r="2764" spans="2:3">
      <c r="B2764" s="252"/>
      <c r="C2764" s="268"/>
    </row>
    <row r="2765" spans="2:3">
      <c r="B2765" s="252"/>
      <c r="C2765" s="268"/>
    </row>
    <row r="2766" spans="2:3">
      <c r="B2766" s="252"/>
      <c r="C2766" s="268"/>
    </row>
    <row r="2767" spans="2:3">
      <c r="B2767" s="252"/>
      <c r="C2767" s="268"/>
    </row>
    <row r="2768" spans="2:3">
      <c r="B2768" s="252"/>
      <c r="C2768" s="268"/>
    </row>
    <row r="2769" spans="2:3">
      <c r="B2769" s="252"/>
      <c r="C2769" s="268"/>
    </row>
    <row r="2770" spans="2:3">
      <c r="B2770" s="252"/>
      <c r="C2770" s="268"/>
    </row>
    <row r="2771" spans="2:3">
      <c r="B2771" s="252"/>
      <c r="C2771" s="268"/>
    </row>
    <row r="2772" spans="2:3">
      <c r="B2772" s="252"/>
      <c r="C2772" s="268"/>
    </row>
    <row r="2773" spans="2:3">
      <c r="B2773" s="252"/>
      <c r="C2773" s="268"/>
    </row>
    <row r="2774" spans="2:3">
      <c r="B2774" s="252"/>
      <c r="C2774" s="268"/>
    </row>
    <row r="2775" spans="2:3">
      <c r="B2775" s="252"/>
      <c r="C2775" s="268"/>
    </row>
    <row r="2776" spans="2:3">
      <c r="B2776" s="252"/>
      <c r="C2776" s="268"/>
    </row>
    <row r="2777" spans="2:3">
      <c r="B2777" s="252"/>
      <c r="C2777" s="268"/>
    </row>
    <row r="2778" spans="2:3">
      <c r="B2778" s="252"/>
      <c r="C2778" s="268"/>
    </row>
    <row r="2779" spans="2:3">
      <c r="B2779" s="252"/>
      <c r="C2779" s="268"/>
    </row>
    <row r="2780" spans="2:3">
      <c r="B2780" s="252"/>
      <c r="C2780" s="268"/>
    </row>
    <row r="2781" spans="2:3">
      <c r="B2781" s="252"/>
      <c r="C2781" s="268"/>
    </row>
    <row r="2782" spans="2:3">
      <c r="B2782" s="252"/>
      <c r="C2782" s="268"/>
    </row>
    <row r="2783" spans="2:3">
      <c r="B2783" s="252"/>
      <c r="C2783" s="268"/>
    </row>
    <row r="2784" spans="2:3">
      <c r="B2784" s="252"/>
      <c r="C2784" s="268"/>
    </row>
    <row r="2785" spans="2:3">
      <c r="B2785" s="252"/>
      <c r="C2785" s="268"/>
    </row>
    <row r="2786" spans="2:3">
      <c r="B2786" s="252"/>
      <c r="C2786" s="268"/>
    </row>
    <row r="2787" spans="2:3">
      <c r="B2787" s="252"/>
      <c r="C2787" s="268"/>
    </row>
    <row r="2788" spans="2:3">
      <c r="B2788" s="252"/>
      <c r="C2788" s="268"/>
    </row>
    <row r="2789" spans="2:3">
      <c r="B2789" s="252"/>
      <c r="C2789" s="268"/>
    </row>
    <row r="2790" spans="2:3">
      <c r="B2790" s="252"/>
      <c r="C2790" s="268"/>
    </row>
    <row r="2791" spans="2:3">
      <c r="B2791" s="252"/>
      <c r="C2791" s="268"/>
    </row>
    <row r="2792" spans="2:3">
      <c r="B2792" s="252"/>
      <c r="C2792" s="268"/>
    </row>
    <row r="2793" spans="2:3">
      <c r="B2793" s="252"/>
      <c r="C2793" s="268"/>
    </row>
    <row r="2794" spans="2:3">
      <c r="B2794" s="252"/>
      <c r="C2794" s="268"/>
    </row>
    <row r="2795" spans="2:3">
      <c r="B2795" s="252"/>
      <c r="C2795" s="268"/>
    </row>
    <row r="2796" spans="2:3">
      <c r="B2796" s="252"/>
      <c r="C2796" s="268"/>
    </row>
    <row r="2797" spans="2:3">
      <c r="B2797" s="252"/>
      <c r="C2797" s="268"/>
    </row>
    <row r="2798" spans="2:3">
      <c r="B2798" s="252"/>
      <c r="C2798" s="268"/>
    </row>
    <row r="2799" spans="2:3">
      <c r="B2799" s="252"/>
      <c r="C2799" s="268"/>
    </row>
    <row r="2800" spans="2:3">
      <c r="B2800" s="252"/>
      <c r="C2800" s="268"/>
    </row>
    <row r="2801" spans="2:3">
      <c r="B2801" s="252"/>
      <c r="C2801" s="268"/>
    </row>
    <row r="2802" spans="2:3">
      <c r="B2802" s="252"/>
      <c r="C2802" s="268"/>
    </row>
    <row r="2803" spans="2:3">
      <c r="B2803" s="252"/>
      <c r="C2803" s="268"/>
    </row>
    <row r="2804" spans="2:3">
      <c r="B2804" s="252"/>
      <c r="C2804" s="268"/>
    </row>
    <row r="2805" spans="2:3">
      <c r="B2805" s="252"/>
      <c r="C2805" s="268"/>
    </row>
    <row r="2806" spans="2:3">
      <c r="B2806" s="252"/>
      <c r="C2806" s="268"/>
    </row>
    <row r="2807" spans="2:3">
      <c r="B2807" s="252"/>
      <c r="C2807" s="268"/>
    </row>
    <row r="2808" spans="2:3">
      <c r="B2808" s="252"/>
      <c r="C2808" s="268"/>
    </row>
    <row r="2809" spans="2:3">
      <c r="B2809" s="252"/>
      <c r="C2809" s="268"/>
    </row>
    <row r="2810" spans="2:3">
      <c r="B2810" s="252"/>
      <c r="C2810" s="268"/>
    </row>
    <row r="2811" spans="2:3">
      <c r="B2811" s="252"/>
      <c r="C2811" s="268"/>
    </row>
    <row r="2812" spans="2:3">
      <c r="B2812" s="252"/>
      <c r="C2812" s="268"/>
    </row>
    <row r="2813" spans="2:3">
      <c r="B2813" s="252"/>
      <c r="C2813" s="268"/>
    </row>
    <row r="2814" spans="2:3">
      <c r="B2814" s="252"/>
      <c r="C2814" s="268"/>
    </row>
    <row r="2815" spans="2:3">
      <c r="B2815" s="252"/>
      <c r="C2815" s="268"/>
    </row>
    <row r="2816" spans="2:3">
      <c r="B2816" s="252"/>
      <c r="C2816" s="268"/>
    </row>
    <row r="2817" spans="2:3">
      <c r="B2817" s="252"/>
      <c r="C2817" s="268"/>
    </row>
    <row r="2818" spans="2:3">
      <c r="B2818" s="252"/>
      <c r="C2818" s="268"/>
    </row>
    <row r="2819" spans="2:3">
      <c r="B2819" s="252"/>
      <c r="C2819" s="268"/>
    </row>
    <row r="2820" spans="2:3">
      <c r="B2820" s="252"/>
      <c r="C2820" s="268"/>
    </row>
    <row r="2821" spans="2:3">
      <c r="B2821" s="252"/>
      <c r="C2821" s="268"/>
    </row>
    <row r="2822" spans="2:3">
      <c r="B2822" s="252"/>
      <c r="C2822" s="268"/>
    </row>
    <row r="2823" spans="2:3">
      <c r="B2823" s="252"/>
      <c r="C2823" s="268"/>
    </row>
    <row r="2824" spans="2:3">
      <c r="B2824" s="252"/>
      <c r="C2824" s="268"/>
    </row>
    <row r="2825" spans="2:3">
      <c r="B2825" s="252"/>
      <c r="C2825" s="268"/>
    </row>
    <row r="2826" spans="2:3">
      <c r="B2826" s="252"/>
      <c r="C2826" s="268"/>
    </row>
    <row r="2827" spans="2:3">
      <c r="B2827" s="252"/>
      <c r="C2827" s="268"/>
    </row>
    <row r="2828" spans="2:3">
      <c r="B2828" s="252"/>
      <c r="C2828" s="268"/>
    </row>
    <row r="2829" spans="2:3">
      <c r="B2829" s="252"/>
      <c r="C2829" s="268"/>
    </row>
    <row r="2830" spans="2:3">
      <c r="B2830" s="252"/>
      <c r="C2830" s="268"/>
    </row>
    <row r="2831" spans="2:3">
      <c r="B2831" s="252"/>
      <c r="C2831" s="268"/>
    </row>
    <row r="2832" spans="2:3">
      <c r="B2832" s="252"/>
      <c r="C2832" s="268"/>
    </row>
    <row r="2833" spans="2:3">
      <c r="B2833" s="252"/>
      <c r="C2833" s="268"/>
    </row>
    <row r="2834" spans="2:3">
      <c r="B2834" s="252"/>
      <c r="C2834" s="268"/>
    </row>
    <row r="2835" spans="2:3">
      <c r="B2835" s="252"/>
      <c r="C2835" s="268"/>
    </row>
    <row r="2836" spans="2:3">
      <c r="B2836" s="252"/>
      <c r="C2836" s="268"/>
    </row>
    <row r="2837" spans="2:3">
      <c r="B2837" s="252"/>
      <c r="C2837" s="268"/>
    </row>
    <row r="2838" spans="2:3">
      <c r="B2838" s="252"/>
      <c r="C2838" s="268"/>
    </row>
    <row r="2839" spans="2:3">
      <c r="B2839" s="252"/>
      <c r="C2839" s="268"/>
    </row>
    <row r="2840" spans="2:3">
      <c r="B2840" s="252"/>
      <c r="C2840" s="268"/>
    </row>
    <row r="2841" spans="2:3">
      <c r="B2841" s="252"/>
      <c r="C2841" s="268"/>
    </row>
    <row r="2842" spans="2:3">
      <c r="B2842" s="252"/>
      <c r="C2842" s="268"/>
    </row>
    <row r="2843" spans="2:3">
      <c r="B2843" s="252"/>
      <c r="C2843" s="268"/>
    </row>
    <row r="2844" spans="2:3">
      <c r="B2844" s="252"/>
      <c r="C2844" s="268"/>
    </row>
    <row r="2845" spans="2:3">
      <c r="B2845" s="252"/>
      <c r="C2845" s="268"/>
    </row>
    <row r="2846" spans="2:3">
      <c r="B2846" s="252"/>
      <c r="C2846" s="268"/>
    </row>
    <row r="2847" spans="2:3">
      <c r="B2847" s="252"/>
      <c r="C2847" s="268"/>
    </row>
    <row r="2848" spans="2:3">
      <c r="B2848" s="252"/>
      <c r="C2848" s="268"/>
    </row>
    <row r="2849" spans="2:3">
      <c r="B2849" s="252"/>
      <c r="C2849" s="268"/>
    </row>
    <row r="2850" spans="2:3">
      <c r="B2850" s="252"/>
      <c r="C2850" s="268"/>
    </row>
    <row r="2851" spans="2:3">
      <c r="B2851" s="252"/>
      <c r="C2851" s="268"/>
    </row>
    <row r="2852" spans="2:3">
      <c r="B2852" s="252"/>
      <c r="C2852" s="268"/>
    </row>
    <row r="2853" spans="2:3">
      <c r="B2853" s="252"/>
      <c r="C2853" s="268"/>
    </row>
    <row r="2854" spans="2:3">
      <c r="B2854" s="252"/>
      <c r="C2854" s="268"/>
    </row>
    <row r="2855" spans="2:3">
      <c r="B2855" s="252"/>
      <c r="C2855" s="268"/>
    </row>
    <row r="2856" spans="2:3">
      <c r="B2856" s="252"/>
      <c r="C2856" s="268"/>
    </row>
    <row r="2857" spans="2:3">
      <c r="B2857" s="252"/>
      <c r="C2857" s="268"/>
    </row>
    <row r="2858" spans="2:3">
      <c r="B2858" s="252"/>
      <c r="C2858" s="268"/>
    </row>
    <row r="2859" spans="2:3">
      <c r="B2859" s="252"/>
      <c r="C2859" s="268"/>
    </row>
    <row r="2860" spans="2:3">
      <c r="B2860" s="252"/>
      <c r="C2860" s="268"/>
    </row>
    <row r="2861" spans="2:3">
      <c r="B2861" s="252"/>
      <c r="C2861" s="268"/>
    </row>
    <row r="2862" spans="2:3">
      <c r="B2862" s="252"/>
      <c r="C2862" s="268"/>
    </row>
    <row r="2863" spans="2:3">
      <c r="B2863" s="252"/>
      <c r="C2863" s="268"/>
    </row>
    <row r="2864" spans="2:3">
      <c r="B2864" s="252"/>
      <c r="C2864" s="268"/>
    </row>
    <row r="2865" spans="2:3">
      <c r="B2865" s="252"/>
      <c r="C2865" s="268"/>
    </row>
    <row r="2866" spans="2:3">
      <c r="B2866" s="252"/>
      <c r="C2866" s="268"/>
    </row>
    <row r="2867" spans="2:3">
      <c r="B2867" s="252"/>
      <c r="C2867" s="268"/>
    </row>
    <row r="2868" spans="2:3">
      <c r="B2868" s="252"/>
      <c r="C2868" s="268"/>
    </row>
    <row r="2869" spans="2:3">
      <c r="B2869" s="252"/>
      <c r="C2869" s="268"/>
    </row>
    <row r="2870" spans="2:3">
      <c r="B2870" s="252"/>
      <c r="C2870" s="268"/>
    </row>
    <row r="2871" spans="2:3">
      <c r="B2871" s="252"/>
      <c r="C2871" s="268"/>
    </row>
    <row r="2872" spans="2:3">
      <c r="B2872" s="252"/>
      <c r="C2872" s="268"/>
    </row>
    <row r="2873" spans="2:3">
      <c r="B2873" s="252"/>
      <c r="C2873" s="268"/>
    </row>
    <row r="2874" spans="2:3">
      <c r="B2874" s="252"/>
      <c r="C2874" s="268"/>
    </row>
    <row r="2875" spans="2:3">
      <c r="B2875" s="252"/>
      <c r="C2875" s="268"/>
    </row>
    <row r="2876" spans="2:3">
      <c r="B2876" s="252"/>
      <c r="C2876" s="268"/>
    </row>
    <row r="2877" spans="2:3">
      <c r="B2877" s="252"/>
      <c r="C2877" s="268"/>
    </row>
    <row r="2878" spans="2:3">
      <c r="B2878" s="252"/>
      <c r="C2878" s="268"/>
    </row>
    <row r="2879" spans="2:3">
      <c r="B2879" s="252"/>
      <c r="C2879" s="268"/>
    </row>
    <row r="2880" spans="2:3">
      <c r="B2880" s="252"/>
      <c r="C2880" s="268"/>
    </row>
    <row r="2881" spans="2:3">
      <c r="B2881" s="252"/>
      <c r="C2881" s="268"/>
    </row>
    <row r="2882" spans="2:3">
      <c r="B2882" s="252"/>
      <c r="C2882" s="268"/>
    </row>
    <row r="2883" spans="2:3">
      <c r="B2883" s="252"/>
      <c r="C2883" s="268"/>
    </row>
    <row r="2884" spans="2:3">
      <c r="B2884" s="252"/>
      <c r="C2884" s="268"/>
    </row>
    <row r="2885" spans="2:3">
      <c r="B2885" s="252"/>
      <c r="C2885" s="268"/>
    </row>
    <row r="2886" spans="2:3">
      <c r="B2886" s="252"/>
      <c r="C2886" s="268"/>
    </row>
    <row r="2887" spans="2:3">
      <c r="B2887" s="252"/>
      <c r="C2887" s="268"/>
    </row>
    <row r="2888" spans="2:3">
      <c r="B2888" s="252"/>
      <c r="C2888" s="268"/>
    </row>
    <row r="2889" spans="2:3">
      <c r="B2889" s="252"/>
      <c r="C2889" s="268"/>
    </row>
    <row r="2890" spans="2:3">
      <c r="B2890" s="252"/>
      <c r="C2890" s="268"/>
    </row>
    <row r="2891" spans="2:3">
      <c r="B2891" s="252"/>
      <c r="C2891" s="268"/>
    </row>
    <row r="2892" spans="2:3">
      <c r="B2892" s="252"/>
      <c r="C2892" s="268"/>
    </row>
    <row r="2893" spans="2:3">
      <c r="B2893" s="252"/>
      <c r="C2893" s="268"/>
    </row>
    <row r="2894" spans="2:3">
      <c r="B2894" s="252"/>
      <c r="C2894" s="268"/>
    </row>
    <row r="2895" spans="2:3">
      <c r="B2895" s="252"/>
      <c r="C2895" s="268"/>
    </row>
    <row r="2896" spans="2:3">
      <c r="B2896" s="252"/>
      <c r="C2896" s="268"/>
    </row>
    <row r="2897" spans="2:3">
      <c r="B2897" s="252"/>
      <c r="C2897" s="268"/>
    </row>
    <row r="2898" spans="2:3">
      <c r="B2898" s="252"/>
      <c r="C2898" s="268"/>
    </row>
    <row r="2899" spans="2:3">
      <c r="B2899" s="252"/>
      <c r="C2899" s="268"/>
    </row>
    <row r="2900" spans="2:3">
      <c r="B2900" s="252"/>
      <c r="C2900" s="268"/>
    </row>
    <row r="2901" spans="2:3">
      <c r="B2901" s="252"/>
      <c r="C2901" s="268"/>
    </row>
    <row r="2902" spans="2:3">
      <c r="B2902" s="252"/>
      <c r="C2902" s="268"/>
    </row>
    <row r="2903" spans="2:3">
      <c r="B2903" s="252"/>
      <c r="C2903" s="268"/>
    </row>
    <row r="2904" spans="2:3">
      <c r="B2904" s="252"/>
      <c r="C2904" s="268"/>
    </row>
    <row r="2905" spans="2:3">
      <c r="B2905" s="252"/>
      <c r="C2905" s="268"/>
    </row>
    <row r="2906" spans="2:3">
      <c r="B2906" s="252"/>
      <c r="C2906" s="268"/>
    </row>
    <row r="2907" spans="2:3">
      <c r="B2907" s="252"/>
      <c r="C2907" s="268"/>
    </row>
    <row r="2908" spans="2:3">
      <c r="B2908" s="252"/>
      <c r="C2908" s="268"/>
    </row>
    <row r="2909" spans="2:3">
      <c r="B2909" s="252"/>
      <c r="C2909" s="268"/>
    </row>
    <row r="2910" spans="2:3">
      <c r="B2910" s="252"/>
      <c r="C2910" s="268"/>
    </row>
    <row r="2911" spans="2:3">
      <c r="B2911" s="252"/>
      <c r="C2911" s="268"/>
    </row>
    <row r="2912" spans="2:3">
      <c r="B2912" s="252"/>
      <c r="C2912" s="268"/>
    </row>
    <row r="2913" spans="2:3">
      <c r="B2913" s="252"/>
      <c r="C2913" s="268"/>
    </row>
    <row r="2914" spans="2:3">
      <c r="B2914" s="252"/>
      <c r="C2914" s="268"/>
    </row>
    <row r="2915" spans="2:3">
      <c r="B2915" s="252"/>
      <c r="C2915" s="268"/>
    </row>
    <row r="2916" spans="2:3">
      <c r="B2916" s="252"/>
      <c r="C2916" s="268"/>
    </row>
    <row r="2917" spans="2:3">
      <c r="B2917" s="252"/>
      <c r="C2917" s="268"/>
    </row>
    <row r="2918" spans="2:3">
      <c r="B2918" s="252"/>
      <c r="C2918" s="268"/>
    </row>
    <row r="2919" spans="2:3">
      <c r="B2919" s="252"/>
      <c r="C2919" s="268"/>
    </row>
    <row r="2920" spans="2:3">
      <c r="B2920" s="252"/>
      <c r="C2920" s="268"/>
    </row>
    <row r="2921" spans="2:3">
      <c r="B2921" s="252"/>
      <c r="C2921" s="268"/>
    </row>
    <row r="2922" spans="2:3">
      <c r="B2922" s="252"/>
      <c r="C2922" s="268"/>
    </row>
    <row r="2923" spans="2:3">
      <c r="B2923" s="252"/>
      <c r="C2923" s="268"/>
    </row>
    <row r="2924" spans="2:3">
      <c r="B2924" s="252"/>
      <c r="C2924" s="268"/>
    </row>
    <row r="2925" spans="2:3">
      <c r="B2925" s="252"/>
      <c r="C2925" s="268"/>
    </row>
    <row r="2926" spans="2:3">
      <c r="B2926" s="252"/>
      <c r="C2926" s="268"/>
    </row>
    <row r="2927" spans="2:3">
      <c r="B2927" s="252"/>
      <c r="C2927" s="268"/>
    </row>
    <row r="2928" spans="2:3">
      <c r="B2928" s="252"/>
      <c r="C2928" s="268"/>
    </row>
    <row r="2929" spans="2:3">
      <c r="B2929" s="252"/>
      <c r="C2929" s="268"/>
    </row>
    <row r="2930" spans="2:3">
      <c r="B2930" s="252"/>
      <c r="C2930" s="268"/>
    </row>
    <row r="2931" spans="2:3">
      <c r="B2931" s="252"/>
      <c r="C2931" s="268"/>
    </row>
    <row r="2932" spans="2:3">
      <c r="B2932" s="252"/>
      <c r="C2932" s="268"/>
    </row>
    <row r="2933" spans="2:3">
      <c r="B2933" s="252"/>
      <c r="C2933" s="268"/>
    </row>
    <row r="2934" spans="2:3">
      <c r="B2934" s="252"/>
      <c r="C2934" s="268"/>
    </row>
    <row r="2935" spans="2:3">
      <c r="B2935" s="252"/>
      <c r="C2935" s="268"/>
    </row>
    <row r="2936" spans="2:3">
      <c r="B2936" s="252"/>
      <c r="C2936" s="268"/>
    </row>
    <row r="2937" spans="2:3">
      <c r="B2937" s="252"/>
      <c r="C2937" s="268"/>
    </row>
    <row r="2938" spans="2:3">
      <c r="B2938" s="252"/>
      <c r="C2938" s="268"/>
    </row>
    <row r="2939" spans="2:3">
      <c r="B2939" s="252"/>
      <c r="C2939" s="268"/>
    </row>
    <row r="2940" spans="2:3">
      <c r="B2940" s="252"/>
      <c r="C2940" s="268"/>
    </row>
    <row r="2941" spans="2:3">
      <c r="B2941" s="252"/>
      <c r="C2941" s="268"/>
    </row>
    <row r="2942" spans="2:3">
      <c r="B2942" s="252"/>
      <c r="C2942" s="268"/>
    </row>
    <row r="2943" spans="2:3">
      <c r="B2943" s="252"/>
      <c r="C2943" s="268"/>
    </row>
    <row r="2944" spans="2:3">
      <c r="B2944" s="252"/>
      <c r="C2944" s="268"/>
    </row>
    <row r="2945" spans="2:3">
      <c r="B2945" s="252"/>
      <c r="C2945" s="268"/>
    </row>
    <row r="2946" spans="2:3">
      <c r="B2946" s="252"/>
      <c r="C2946" s="268"/>
    </row>
    <row r="2947" spans="2:3">
      <c r="B2947" s="252"/>
      <c r="C2947" s="268"/>
    </row>
    <row r="2948" spans="2:3">
      <c r="B2948" s="252"/>
      <c r="C2948" s="268"/>
    </row>
    <row r="2949" spans="2:3">
      <c r="B2949" s="252"/>
      <c r="C2949" s="268"/>
    </row>
    <row r="2950" spans="2:3">
      <c r="B2950" s="252"/>
      <c r="C2950" s="268"/>
    </row>
    <row r="2951" spans="2:3">
      <c r="B2951" s="252"/>
      <c r="C2951" s="268"/>
    </row>
    <row r="2952" spans="2:3">
      <c r="B2952" s="252"/>
      <c r="C2952" s="268"/>
    </row>
    <row r="2953" spans="2:3">
      <c r="B2953" s="252"/>
      <c r="C2953" s="268"/>
    </row>
    <row r="2954" spans="2:3">
      <c r="B2954" s="252"/>
      <c r="C2954" s="268"/>
    </row>
    <row r="2955" spans="2:3">
      <c r="B2955" s="252"/>
      <c r="C2955" s="268"/>
    </row>
    <row r="2956" spans="2:3">
      <c r="B2956" s="252"/>
      <c r="C2956" s="268"/>
    </row>
    <row r="2957" spans="2:3">
      <c r="B2957" s="252"/>
      <c r="C2957" s="268"/>
    </row>
    <row r="2958" spans="2:3">
      <c r="B2958" s="252"/>
      <c r="C2958" s="268"/>
    </row>
    <row r="2959" spans="2:3">
      <c r="B2959" s="252"/>
      <c r="C2959" s="268"/>
    </row>
    <row r="2960" spans="2:3">
      <c r="B2960" s="252"/>
      <c r="C2960" s="268"/>
    </row>
    <row r="2961" spans="2:3">
      <c r="B2961" s="252"/>
      <c r="C2961" s="268"/>
    </row>
    <row r="2962" spans="2:3">
      <c r="B2962" s="252"/>
      <c r="C2962" s="268"/>
    </row>
    <row r="2963" spans="2:3">
      <c r="B2963" s="252"/>
      <c r="C2963" s="268"/>
    </row>
    <row r="2964" spans="2:3">
      <c r="B2964" s="252"/>
      <c r="C2964" s="268"/>
    </row>
    <row r="2965" spans="2:3">
      <c r="B2965" s="252"/>
      <c r="C2965" s="268"/>
    </row>
    <row r="2966" spans="2:3">
      <c r="B2966" s="252"/>
      <c r="C2966" s="268"/>
    </row>
    <row r="2967" spans="2:3">
      <c r="B2967" s="252"/>
      <c r="C2967" s="268"/>
    </row>
    <row r="2968" spans="2:3">
      <c r="B2968" s="252"/>
      <c r="C2968" s="268"/>
    </row>
    <row r="2969" spans="2:3">
      <c r="B2969" s="252"/>
      <c r="C2969" s="268"/>
    </row>
    <row r="2970" spans="2:3">
      <c r="B2970" s="252"/>
      <c r="C2970" s="268"/>
    </row>
    <row r="2971" spans="2:3">
      <c r="B2971" s="252"/>
      <c r="C2971" s="268"/>
    </row>
    <row r="2972" spans="2:3">
      <c r="B2972" s="252"/>
      <c r="C2972" s="268"/>
    </row>
    <row r="2973" spans="2:3">
      <c r="B2973" s="252"/>
      <c r="C2973" s="268"/>
    </row>
    <row r="2974" spans="2:3">
      <c r="B2974" s="252"/>
      <c r="C2974" s="268"/>
    </row>
    <row r="2975" spans="2:3">
      <c r="B2975" s="252"/>
      <c r="C2975" s="268"/>
    </row>
    <row r="2976" spans="2:3">
      <c r="B2976" s="252"/>
      <c r="C2976" s="268"/>
    </row>
    <row r="2977" spans="2:3">
      <c r="B2977" s="252"/>
      <c r="C2977" s="268"/>
    </row>
    <row r="2978" spans="2:3">
      <c r="B2978" s="252"/>
      <c r="C2978" s="268"/>
    </row>
    <row r="2979" spans="2:3">
      <c r="B2979" s="252"/>
      <c r="C2979" s="268"/>
    </row>
    <row r="2980" spans="2:3">
      <c r="B2980" s="252"/>
      <c r="C2980" s="268"/>
    </row>
    <row r="2981" spans="2:3">
      <c r="B2981" s="252"/>
      <c r="C2981" s="268"/>
    </row>
    <row r="2982" spans="2:3">
      <c r="B2982" s="252"/>
      <c r="C2982" s="268"/>
    </row>
    <row r="2983" spans="2:3">
      <c r="B2983" s="252"/>
      <c r="C2983" s="268"/>
    </row>
    <row r="2984" spans="2:3">
      <c r="B2984" s="252"/>
      <c r="C2984" s="268"/>
    </row>
    <row r="2985" spans="2:3">
      <c r="B2985" s="252"/>
      <c r="C2985" s="268"/>
    </row>
    <row r="2986" spans="2:3">
      <c r="B2986" s="252"/>
      <c r="C2986" s="268"/>
    </row>
    <row r="2987" spans="2:3">
      <c r="B2987" s="252"/>
      <c r="C2987" s="268"/>
    </row>
    <row r="2988" spans="2:3">
      <c r="B2988" s="252"/>
      <c r="C2988" s="268"/>
    </row>
    <row r="2989" spans="2:3">
      <c r="B2989" s="252"/>
      <c r="C2989" s="268"/>
    </row>
    <row r="2990" spans="2:3">
      <c r="B2990" s="252"/>
      <c r="C2990" s="268"/>
    </row>
    <row r="2991" spans="2:3">
      <c r="B2991" s="252"/>
      <c r="C2991" s="268"/>
    </row>
    <row r="2992" spans="2:3">
      <c r="B2992" s="252"/>
      <c r="C2992" s="268"/>
    </row>
    <row r="2993" spans="2:3">
      <c r="B2993" s="252"/>
      <c r="C2993" s="268"/>
    </row>
    <row r="2994" spans="2:3">
      <c r="B2994" s="252"/>
      <c r="C2994" s="268"/>
    </row>
    <row r="2995" spans="2:3">
      <c r="B2995" s="252"/>
      <c r="C2995" s="268"/>
    </row>
    <row r="2996" spans="2:3">
      <c r="B2996" s="252"/>
      <c r="C2996" s="268"/>
    </row>
    <row r="2997" spans="2:3">
      <c r="B2997" s="252"/>
      <c r="C2997" s="268"/>
    </row>
    <row r="2998" spans="2:3">
      <c r="B2998" s="252"/>
      <c r="C2998" s="268"/>
    </row>
    <row r="2999" spans="2:3">
      <c r="B2999" s="252"/>
      <c r="C2999" s="268"/>
    </row>
    <row r="3000" spans="2:3">
      <c r="B3000" s="252"/>
      <c r="C3000" s="268"/>
    </row>
    <row r="3001" spans="2:3">
      <c r="B3001" s="252"/>
      <c r="C3001" s="268"/>
    </row>
    <row r="3002" spans="2:3">
      <c r="B3002" s="252"/>
      <c r="C3002" s="268"/>
    </row>
    <row r="3003" spans="2:3">
      <c r="B3003" s="252"/>
      <c r="C3003" s="268"/>
    </row>
    <row r="3004" spans="2:3">
      <c r="B3004" s="252"/>
      <c r="C3004" s="268"/>
    </row>
    <row r="3005" spans="2:3">
      <c r="B3005" s="252"/>
      <c r="C3005" s="268"/>
    </row>
    <row r="3006" spans="2:3">
      <c r="B3006" s="252"/>
      <c r="C3006" s="268"/>
    </row>
    <row r="3007" spans="2:3">
      <c r="B3007" s="252"/>
      <c r="C3007" s="268"/>
    </row>
    <row r="3008" spans="2:3">
      <c r="B3008" s="252"/>
      <c r="C3008" s="268"/>
    </row>
    <row r="3009" spans="2:3">
      <c r="B3009" s="252"/>
      <c r="C3009" s="268"/>
    </row>
    <row r="3010" spans="2:3">
      <c r="B3010" s="252"/>
      <c r="C3010" s="268"/>
    </row>
    <row r="3011" spans="2:3">
      <c r="B3011" s="252"/>
      <c r="C3011" s="268"/>
    </row>
    <row r="3012" spans="2:3">
      <c r="B3012" s="252"/>
      <c r="C3012" s="268"/>
    </row>
    <row r="3013" spans="2:3">
      <c r="B3013" s="252"/>
      <c r="C3013" s="268"/>
    </row>
    <row r="3014" spans="2:3">
      <c r="B3014" s="252"/>
      <c r="C3014" s="268"/>
    </row>
    <row r="3015" spans="2:3">
      <c r="B3015" s="252"/>
      <c r="C3015" s="268"/>
    </row>
    <row r="3016" spans="2:3">
      <c r="B3016" s="252"/>
      <c r="C3016" s="268"/>
    </row>
    <row r="3017" spans="2:3">
      <c r="B3017" s="252"/>
      <c r="C3017" s="268"/>
    </row>
    <row r="3018" spans="2:3">
      <c r="B3018" s="252"/>
      <c r="C3018" s="268"/>
    </row>
    <row r="3019" spans="2:3">
      <c r="B3019" s="252"/>
      <c r="C3019" s="268"/>
    </row>
    <row r="3020" spans="2:3">
      <c r="B3020" s="252"/>
      <c r="C3020" s="268"/>
    </row>
    <row r="3021" spans="2:3">
      <c r="B3021" s="252"/>
      <c r="C3021" s="268"/>
    </row>
    <row r="3022" spans="2:3">
      <c r="B3022" s="252"/>
      <c r="C3022" s="268"/>
    </row>
    <row r="3023" spans="2:3">
      <c r="B3023" s="252"/>
      <c r="C3023" s="268"/>
    </row>
    <row r="3024" spans="2:3">
      <c r="B3024" s="252"/>
      <c r="C3024" s="268"/>
    </row>
    <row r="3025" spans="2:3">
      <c r="B3025" s="252"/>
      <c r="C3025" s="268"/>
    </row>
    <row r="3026" spans="2:3">
      <c r="B3026" s="252"/>
      <c r="C3026" s="268"/>
    </row>
    <row r="3027" spans="2:3">
      <c r="B3027" s="252"/>
      <c r="C3027" s="268"/>
    </row>
    <row r="3028" spans="2:3">
      <c r="B3028" s="252"/>
      <c r="C3028" s="268"/>
    </row>
    <row r="3029" spans="2:3">
      <c r="B3029" s="252"/>
      <c r="C3029" s="268"/>
    </row>
    <row r="3030" spans="2:3">
      <c r="B3030" s="252"/>
      <c r="C3030" s="268"/>
    </row>
    <row r="3031" spans="2:3">
      <c r="B3031" s="252"/>
      <c r="C3031" s="268"/>
    </row>
    <row r="3032" spans="2:3">
      <c r="B3032" s="252"/>
      <c r="C3032" s="268"/>
    </row>
    <row r="3033" spans="2:3">
      <c r="B3033" s="252"/>
      <c r="C3033" s="268"/>
    </row>
    <row r="3034" spans="2:3">
      <c r="B3034" s="252"/>
      <c r="C3034" s="268"/>
    </row>
    <row r="3035" spans="2:3">
      <c r="B3035" s="252"/>
      <c r="C3035" s="268"/>
    </row>
    <row r="3036" spans="2:3">
      <c r="B3036" s="252"/>
      <c r="C3036" s="268"/>
    </row>
    <row r="3037" spans="2:3">
      <c r="B3037" s="252"/>
      <c r="C3037" s="268"/>
    </row>
    <row r="3038" spans="2:3">
      <c r="B3038" s="252"/>
      <c r="C3038" s="268"/>
    </row>
    <row r="3039" spans="2:3">
      <c r="B3039" s="252"/>
      <c r="C3039" s="268"/>
    </row>
    <row r="3040" spans="2:3">
      <c r="B3040" s="252"/>
      <c r="C3040" s="268"/>
    </row>
    <row r="3041" spans="2:3">
      <c r="B3041" s="252"/>
      <c r="C3041" s="268"/>
    </row>
    <row r="3042" spans="2:3">
      <c r="B3042" s="252"/>
      <c r="C3042" s="268"/>
    </row>
    <row r="3043" spans="2:3">
      <c r="B3043" s="252"/>
      <c r="C3043" s="268"/>
    </row>
    <row r="3044" spans="2:3">
      <c r="B3044" s="252"/>
      <c r="C3044" s="268"/>
    </row>
    <row r="3045" spans="2:3">
      <c r="B3045" s="252"/>
      <c r="C3045" s="268"/>
    </row>
    <row r="3046" spans="2:3">
      <c r="B3046" s="252"/>
      <c r="C3046" s="268"/>
    </row>
    <row r="3047" spans="2:3">
      <c r="B3047" s="252"/>
      <c r="C3047" s="268"/>
    </row>
    <row r="3048" spans="2:3">
      <c r="B3048" s="252"/>
      <c r="C3048" s="268"/>
    </row>
    <row r="3049" spans="2:3">
      <c r="B3049" s="252"/>
      <c r="C3049" s="268"/>
    </row>
    <row r="3050" spans="2:3">
      <c r="B3050" s="252"/>
      <c r="C3050" s="268"/>
    </row>
    <row r="3051" spans="2:3">
      <c r="B3051" s="252"/>
      <c r="C3051" s="268"/>
    </row>
    <row r="3052" spans="2:3">
      <c r="B3052" s="252"/>
      <c r="C3052" s="268"/>
    </row>
    <row r="3053" spans="2:3">
      <c r="B3053" s="252"/>
      <c r="C3053" s="268"/>
    </row>
    <row r="3054" spans="2:3">
      <c r="B3054" s="252"/>
      <c r="C3054" s="268"/>
    </row>
    <row r="3055" spans="2:3">
      <c r="B3055" s="252"/>
      <c r="C3055" s="268"/>
    </row>
    <row r="3056" spans="2:3">
      <c r="B3056" s="252"/>
      <c r="C3056" s="268"/>
    </row>
    <row r="3057" spans="2:3">
      <c r="B3057" s="252"/>
      <c r="C3057" s="268"/>
    </row>
    <row r="3058" spans="2:3">
      <c r="B3058" s="252"/>
      <c r="C3058" s="268"/>
    </row>
    <row r="3059" spans="2:3">
      <c r="B3059" s="252"/>
      <c r="C3059" s="268"/>
    </row>
    <row r="3060" spans="2:3">
      <c r="B3060" s="252"/>
      <c r="C3060" s="268"/>
    </row>
    <row r="3061" spans="2:3">
      <c r="B3061" s="252"/>
      <c r="C3061" s="268"/>
    </row>
    <row r="3062" spans="2:3">
      <c r="B3062" s="252"/>
      <c r="C3062" s="268"/>
    </row>
    <row r="3063" spans="2:3">
      <c r="B3063" s="252"/>
      <c r="C3063" s="268"/>
    </row>
    <row r="3064" spans="2:3">
      <c r="B3064" s="252"/>
      <c r="C3064" s="268"/>
    </row>
    <row r="3065" spans="2:3">
      <c r="B3065" s="252"/>
      <c r="C3065" s="268"/>
    </row>
    <row r="3066" spans="2:3">
      <c r="B3066" s="252"/>
      <c r="C3066" s="268"/>
    </row>
    <row r="3067" spans="2:3">
      <c r="B3067" s="252"/>
      <c r="C3067" s="268"/>
    </row>
    <row r="3068" spans="2:3">
      <c r="B3068" s="252"/>
      <c r="C3068" s="268"/>
    </row>
    <row r="3069" spans="2:3">
      <c r="B3069" s="252"/>
      <c r="C3069" s="268"/>
    </row>
    <row r="3070" spans="2:3">
      <c r="B3070" s="252"/>
      <c r="C3070" s="268"/>
    </row>
    <row r="3071" spans="2:3">
      <c r="B3071" s="252"/>
      <c r="C3071" s="268"/>
    </row>
    <row r="3072" spans="2:3">
      <c r="B3072" s="252"/>
      <c r="C3072" s="268"/>
    </row>
    <row r="3073" spans="2:3">
      <c r="B3073" s="252"/>
      <c r="C3073" s="268"/>
    </row>
    <row r="3074" spans="2:3">
      <c r="B3074" s="252"/>
      <c r="C3074" s="268"/>
    </row>
    <row r="3075" spans="2:3">
      <c r="B3075" s="252"/>
      <c r="C3075" s="268"/>
    </row>
    <row r="3076" spans="2:3">
      <c r="B3076" s="252"/>
      <c r="C3076" s="268"/>
    </row>
    <row r="3077" spans="2:3">
      <c r="B3077" s="252"/>
      <c r="C3077" s="268"/>
    </row>
    <row r="3078" spans="2:3">
      <c r="B3078" s="252"/>
      <c r="C3078" s="268"/>
    </row>
    <row r="3079" spans="2:3">
      <c r="B3079" s="252"/>
      <c r="C3079" s="268"/>
    </row>
    <row r="3080" spans="2:3">
      <c r="B3080" s="252"/>
      <c r="C3080" s="268"/>
    </row>
    <row r="3081" spans="2:3">
      <c r="B3081" s="252"/>
      <c r="C3081" s="268"/>
    </row>
    <row r="3082" spans="2:3">
      <c r="B3082" s="252"/>
      <c r="C3082" s="268"/>
    </row>
    <row r="3083" spans="2:3">
      <c r="B3083" s="252"/>
      <c r="C3083" s="268"/>
    </row>
    <row r="3084" spans="2:3">
      <c r="B3084" s="252"/>
      <c r="C3084" s="268"/>
    </row>
    <row r="3085" spans="2:3">
      <c r="B3085" s="252"/>
      <c r="C3085" s="268"/>
    </row>
    <row r="3086" spans="2:3">
      <c r="B3086" s="252"/>
      <c r="C3086" s="268"/>
    </row>
    <row r="3087" spans="2:3">
      <c r="B3087" s="252"/>
      <c r="C3087" s="268"/>
    </row>
    <row r="3088" spans="2:3">
      <c r="B3088" s="252"/>
      <c r="C3088" s="268"/>
    </row>
    <row r="3089" spans="2:3">
      <c r="B3089" s="252"/>
      <c r="C3089" s="268"/>
    </row>
    <row r="3090" spans="2:3">
      <c r="B3090" s="252"/>
      <c r="C3090" s="268"/>
    </row>
    <row r="3091" spans="2:3">
      <c r="B3091" s="252"/>
      <c r="C3091" s="268"/>
    </row>
    <row r="3092" spans="2:3">
      <c r="B3092" s="252"/>
      <c r="C3092" s="268"/>
    </row>
    <row r="3093" spans="2:3">
      <c r="B3093" s="252"/>
      <c r="C3093" s="268"/>
    </row>
    <row r="3094" spans="2:3">
      <c r="B3094" s="252"/>
      <c r="C3094" s="268"/>
    </row>
    <row r="3095" spans="2:3">
      <c r="B3095" s="252"/>
      <c r="C3095" s="268"/>
    </row>
    <row r="3096" spans="2:3">
      <c r="B3096" s="252"/>
      <c r="C3096" s="268"/>
    </row>
    <row r="3097" spans="2:3">
      <c r="B3097" s="252"/>
      <c r="C3097" s="268"/>
    </row>
    <row r="3098" spans="2:3">
      <c r="B3098" s="252"/>
      <c r="C3098" s="268"/>
    </row>
    <row r="3099" spans="2:3">
      <c r="B3099" s="252"/>
      <c r="C3099" s="268"/>
    </row>
    <row r="3100" spans="2:3">
      <c r="B3100" s="252"/>
      <c r="C3100" s="268"/>
    </row>
    <row r="3101" spans="2:3">
      <c r="B3101" s="252"/>
      <c r="C3101" s="268"/>
    </row>
    <row r="3102" spans="2:3">
      <c r="B3102" s="252"/>
      <c r="C3102" s="268"/>
    </row>
    <row r="3103" spans="2:3">
      <c r="B3103" s="252"/>
      <c r="C3103" s="268"/>
    </row>
    <row r="3104" spans="2:3">
      <c r="B3104" s="252"/>
      <c r="C3104" s="268"/>
    </row>
    <row r="3105" spans="2:3">
      <c r="B3105" s="252"/>
      <c r="C3105" s="268"/>
    </row>
    <row r="3106" spans="2:3">
      <c r="B3106" s="252"/>
      <c r="C3106" s="268"/>
    </row>
    <row r="3107" spans="2:3">
      <c r="B3107" s="252"/>
      <c r="C3107" s="268"/>
    </row>
    <row r="3108" spans="2:3">
      <c r="B3108" s="252"/>
      <c r="C3108" s="268"/>
    </row>
    <row r="3109" spans="2:3">
      <c r="B3109" s="252"/>
      <c r="C3109" s="268"/>
    </row>
    <row r="3110" spans="2:3">
      <c r="B3110" s="252"/>
      <c r="C3110" s="268"/>
    </row>
    <row r="3111" spans="2:3">
      <c r="B3111" s="252"/>
      <c r="C3111" s="268"/>
    </row>
    <row r="3112" spans="2:3">
      <c r="B3112" s="252"/>
      <c r="C3112" s="268"/>
    </row>
    <row r="3113" spans="2:3">
      <c r="B3113" s="252"/>
      <c r="C3113" s="268"/>
    </row>
    <row r="3114" spans="2:3">
      <c r="B3114" s="252"/>
      <c r="C3114" s="268"/>
    </row>
    <row r="3115" spans="2:3">
      <c r="B3115" s="252"/>
      <c r="C3115" s="268"/>
    </row>
    <row r="3116" spans="2:3">
      <c r="B3116" s="252"/>
      <c r="C3116" s="268"/>
    </row>
    <row r="3117" spans="2:3">
      <c r="B3117" s="252"/>
      <c r="C3117" s="268"/>
    </row>
    <row r="3118" spans="2:3">
      <c r="B3118" s="252"/>
      <c r="C3118" s="268"/>
    </row>
    <row r="3119" spans="2:3">
      <c r="B3119" s="252"/>
      <c r="C3119" s="268"/>
    </row>
    <row r="3120" spans="2:3">
      <c r="B3120" s="252"/>
      <c r="C3120" s="268"/>
    </row>
    <row r="3121" spans="2:3">
      <c r="B3121" s="252"/>
      <c r="C3121" s="268"/>
    </row>
    <row r="3122" spans="2:3">
      <c r="B3122" s="252"/>
      <c r="C3122" s="268"/>
    </row>
    <row r="3123" spans="2:3">
      <c r="B3123" s="252"/>
      <c r="C3123" s="268"/>
    </row>
    <row r="3124" spans="2:3">
      <c r="B3124" s="252"/>
      <c r="C3124" s="268"/>
    </row>
    <row r="3125" spans="2:3">
      <c r="B3125" s="252"/>
      <c r="C3125" s="268"/>
    </row>
    <row r="3126" spans="2:3">
      <c r="B3126" s="252"/>
      <c r="C3126" s="268"/>
    </row>
    <row r="3127" spans="2:3">
      <c r="B3127" s="252"/>
      <c r="C3127" s="268"/>
    </row>
    <row r="3128" spans="2:3">
      <c r="B3128" s="252"/>
      <c r="C3128" s="268"/>
    </row>
    <row r="3129" spans="2:3">
      <c r="B3129" s="252"/>
      <c r="C3129" s="268"/>
    </row>
    <row r="3130" spans="2:3">
      <c r="B3130" s="252"/>
      <c r="C3130" s="268"/>
    </row>
    <row r="3131" spans="2:3">
      <c r="B3131" s="252"/>
      <c r="C3131" s="268"/>
    </row>
    <row r="3132" spans="2:3">
      <c r="B3132" s="252"/>
      <c r="C3132" s="268"/>
    </row>
    <row r="3133" spans="2:3">
      <c r="B3133" s="252"/>
      <c r="C3133" s="268"/>
    </row>
    <row r="3134" spans="2:3">
      <c r="B3134" s="252"/>
      <c r="C3134" s="268"/>
    </row>
    <row r="3135" spans="2:3">
      <c r="B3135" s="252"/>
      <c r="C3135" s="268"/>
    </row>
    <row r="3136" spans="2:3">
      <c r="B3136" s="252"/>
      <c r="C3136" s="268"/>
    </row>
    <row r="3137" spans="2:3">
      <c r="B3137" s="252"/>
      <c r="C3137" s="268"/>
    </row>
    <row r="3138" spans="2:3">
      <c r="B3138" s="252"/>
      <c r="C3138" s="268"/>
    </row>
    <row r="3139" spans="2:3">
      <c r="B3139" s="252"/>
      <c r="C3139" s="268"/>
    </row>
    <row r="3140" spans="2:3">
      <c r="B3140" s="252"/>
      <c r="C3140" s="268"/>
    </row>
    <row r="3141" spans="2:3">
      <c r="B3141" s="252"/>
      <c r="C3141" s="268"/>
    </row>
    <row r="3142" spans="2:3">
      <c r="B3142" s="252"/>
      <c r="C3142" s="268"/>
    </row>
    <row r="3143" spans="2:3">
      <c r="B3143" s="252"/>
      <c r="C3143" s="268"/>
    </row>
    <row r="3144" spans="2:3">
      <c r="B3144" s="252"/>
      <c r="C3144" s="268"/>
    </row>
    <row r="3145" spans="2:3">
      <c r="B3145" s="252"/>
      <c r="C3145" s="268"/>
    </row>
    <row r="3146" spans="2:3">
      <c r="B3146" s="252"/>
      <c r="C3146" s="268"/>
    </row>
    <row r="3147" spans="2:3">
      <c r="B3147" s="252"/>
      <c r="C3147" s="268"/>
    </row>
    <row r="3148" spans="2:3">
      <c r="B3148" s="252"/>
      <c r="C3148" s="268"/>
    </row>
    <row r="3149" spans="2:3">
      <c r="B3149" s="252"/>
      <c r="C3149" s="268"/>
    </row>
    <row r="3150" spans="2:3">
      <c r="B3150" s="252"/>
      <c r="C3150" s="268"/>
    </row>
    <row r="3151" spans="2:3">
      <c r="B3151" s="252"/>
      <c r="C3151" s="268"/>
    </row>
    <row r="3152" spans="2:3">
      <c r="B3152" s="252"/>
      <c r="C3152" s="268"/>
    </row>
    <row r="3153" spans="2:3">
      <c r="B3153" s="252"/>
      <c r="C3153" s="268"/>
    </row>
    <row r="3154" spans="2:3">
      <c r="B3154" s="252"/>
      <c r="C3154" s="268"/>
    </row>
    <row r="3155" spans="2:3">
      <c r="B3155" s="252"/>
      <c r="C3155" s="268"/>
    </row>
    <row r="3156" spans="2:3">
      <c r="B3156" s="252"/>
      <c r="C3156" s="268"/>
    </row>
    <row r="3157" spans="2:3">
      <c r="B3157" s="252"/>
      <c r="C3157" s="268"/>
    </row>
    <row r="3158" spans="2:3">
      <c r="B3158" s="252"/>
      <c r="C3158" s="268"/>
    </row>
    <row r="3159" spans="2:3">
      <c r="B3159" s="252"/>
      <c r="C3159" s="268"/>
    </row>
    <row r="3160" spans="2:3">
      <c r="B3160" s="252"/>
      <c r="C3160" s="268"/>
    </row>
    <row r="3161" spans="2:3">
      <c r="B3161" s="252"/>
      <c r="C3161" s="268"/>
    </row>
    <row r="3162" spans="2:3">
      <c r="B3162" s="252"/>
      <c r="C3162" s="268"/>
    </row>
    <row r="3163" spans="2:3">
      <c r="B3163" s="252"/>
      <c r="C3163" s="268"/>
    </row>
    <row r="3164" spans="2:3">
      <c r="B3164" s="252"/>
      <c r="C3164" s="268"/>
    </row>
    <row r="3165" spans="2:3">
      <c r="B3165" s="252"/>
      <c r="C3165" s="268"/>
    </row>
    <row r="3166" spans="2:3">
      <c r="B3166" s="252"/>
      <c r="C3166" s="268"/>
    </row>
    <row r="3167" spans="2:3">
      <c r="B3167" s="252"/>
      <c r="C3167" s="268"/>
    </row>
    <row r="3168" spans="2:3">
      <c r="B3168" s="252"/>
      <c r="C3168" s="268"/>
    </row>
    <row r="3169" spans="2:3">
      <c r="B3169" s="252"/>
      <c r="C3169" s="268"/>
    </row>
    <row r="3170" spans="2:3">
      <c r="B3170" s="252"/>
      <c r="C3170" s="268"/>
    </row>
    <row r="3171" spans="2:3">
      <c r="B3171" s="252"/>
      <c r="C3171" s="268"/>
    </row>
    <row r="3172" spans="2:3">
      <c r="B3172" s="252"/>
      <c r="C3172" s="268"/>
    </row>
    <row r="3173" spans="2:3">
      <c r="B3173" s="252"/>
      <c r="C3173" s="268"/>
    </row>
    <row r="3174" spans="2:3">
      <c r="B3174" s="252"/>
      <c r="C3174" s="268"/>
    </row>
    <row r="3175" spans="2:3">
      <c r="B3175" s="252"/>
      <c r="C3175" s="268"/>
    </row>
    <row r="3176" spans="2:3">
      <c r="B3176" s="252"/>
      <c r="C3176" s="268"/>
    </row>
    <row r="3177" spans="2:3">
      <c r="B3177" s="252"/>
      <c r="C3177" s="268"/>
    </row>
    <row r="3178" spans="2:3">
      <c r="B3178" s="252"/>
      <c r="C3178" s="268"/>
    </row>
    <row r="3179" spans="2:3">
      <c r="B3179" s="252"/>
      <c r="C3179" s="268"/>
    </row>
    <row r="3180" spans="2:3">
      <c r="B3180" s="252"/>
      <c r="C3180" s="268"/>
    </row>
    <row r="3181" spans="2:3">
      <c r="B3181" s="252"/>
      <c r="C3181" s="268"/>
    </row>
    <row r="3182" spans="2:3">
      <c r="B3182" s="252"/>
      <c r="C3182" s="268"/>
    </row>
    <row r="3183" spans="2:3">
      <c r="B3183" s="252"/>
      <c r="C3183" s="268"/>
    </row>
    <row r="3184" spans="2:3">
      <c r="B3184" s="252"/>
      <c r="C3184" s="268"/>
    </row>
    <row r="3185" spans="2:3">
      <c r="B3185" s="252"/>
      <c r="C3185" s="268"/>
    </row>
    <row r="3186" spans="2:3">
      <c r="B3186" s="252"/>
      <c r="C3186" s="268"/>
    </row>
    <row r="3187" spans="2:3">
      <c r="B3187" s="252"/>
      <c r="C3187" s="268"/>
    </row>
    <row r="3188" spans="2:3">
      <c r="B3188" s="252"/>
      <c r="C3188" s="268"/>
    </row>
    <row r="3189" spans="2:3">
      <c r="B3189" s="252"/>
      <c r="C3189" s="268"/>
    </row>
    <row r="3190" spans="2:3">
      <c r="B3190" s="252"/>
      <c r="C3190" s="268"/>
    </row>
    <row r="3191" spans="2:3">
      <c r="B3191" s="252"/>
      <c r="C3191" s="268"/>
    </row>
    <row r="3192" spans="2:3">
      <c r="B3192" s="252"/>
      <c r="C3192" s="268"/>
    </row>
    <row r="3193" spans="2:3">
      <c r="B3193" s="252"/>
      <c r="C3193" s="268"/>
    </row>
    <row r="3194" spans="2:3">
      <c r="B3194" s="252"/>
      <c r="C3194" s="268"/>
    </row>
    <row r="3195" spans="2:3">
      <c r="B3195" s="252"/>
      <c r="C3195" s="268"/>
    </row>
    <row r="3196" spans="2:3">
      <c r="B3196" s="252"/>
      <c r="C3196" s="268"/>
    </row>
    <row r="3197" spans="2:3">
      <c r="B3197" s="252"/>
      <c r="C3197" s="268"/>
    </row>
    <row r="3198" spans="2:3">
      <c r="B3198" s="252"/>
      <c r="C3198" s="268"/>
    </row>
    <row r="3199" spans="2:3">
      <c r="B3199" s="252"/>
      <c r="C3199" s="268"/>
    </row>
    <row r="3200" spans="2:3">
      <c r="B3200" s="252"/>
      <c r="C3200" s="268"/>
    </row>
    <row r="3201" spans="2:3">
      <c r="B3201" s="252"/>
      <c r="C3201" s="268"/>
    </row>
    <row r="3202" spans="2:3">
      <c r="B3202" s="252"/>
      <c r="C3202" s="268"/>
    </row>
    <row r="3203" spans="2:3">
      <c r="B3203" s="252"/>
      <c r="C3203" s="268"/>
    </row>
    <row r="3204" spans="2:3">
      <c r="B3204" s="252"/>
      <c r="C3204" s="268"/>
    </row>
    <row r="3205" spans="2:3">
      <c r="B3205" s="252"/>
      <c r="C3205" s="268"/>
    </row>
    <row r="3206" spans="2:3">
      <c r="B3206" s="252"/>
      <c r="C3206" s="268"/>
    </row>
    <row r="3207" spans="2:3">
      <c r="B3207" s="252"/>
      <c r="C3207" s="268"/>
    </row>
    <row r="3208" spans="2:3">
      <c r="B3208" s="252"/>
      <c r="C3208" s="268"/>
    </row>
    <row r="3209" spans="2:3">
      <c r="B3209" s="252"/>
      <c r="C3209" s="268"/>
    </row>
    <row r="3210" spans="2:3">
      <c r="B3210" s="252"/>
      <c r="C3210" s="268"/>
    </row>
    <row r="3211" spans="2:3">
      <c r="B3211" s="252"/>
      <c r="C3211" s="268"/>
    </row>
    <row r="3212" spans="2:3">
      <c r="B3212" s="252"/>
      <c r="C3212" s="268"/>
    </row>
    <row r="3213" spans="2:3">
      <c r="B3213" s="252"/>
      <c r="C3213" s="268"/>
    </row>
    <row r="3214" spans="2:3">
      <c r="B3214" s="252"/>
      <c r="C3214" s="268"/>
    </row>
    <row r="3215" spans="2:3">
      <c r="B3215" s="252"/>
      <c r="C3215" s="268"/>
    </row>
    <row r="3216" spans="2:3">
      <c r="B3216" s="252"/>
      <c r="C3216" s="268"/>
    </row>
    <row r="3217" spans="2:3">
      <c r="B3217" s="252"/>
      <c r="C3217" s="268"/>
    </row>
    <row r="3218" spans="2:3">
      <c r="B3218" s="252"/>
      <c r="C3218" s="268"/>
    </row>
    <row r="3219" spans="2:3">
      <c r="B3219" s="252"/>
      <c r="C3219" s="268"/>
    </row>
    <row r="3220" spans="2:3">
      <c r="B3220" s="252"/>
      <c r="C3220" s="268"/>
    </row>
    <row r="3221" spans="2:3">
      <c r="B3221" s="252"/>
      <c r="C3221" s="268"/>
    </row>
    <row r="3222" spans="2:3">
      <c r="B3222" s="252"/>
      <c r="C3222" s="268"/>
    </row>
    <row r="3223" spans="2:3">
      <c r="B3223" s="252"/>
      <c r="C3223" s="268"/>
    </row>
    <row r="3224" spans="2:3">
      <c r="B3224" s="252"/>
      <c r="C3224" s="268"/>
    </row>
    <row r="3225" spans="2:3">
      <c r="B3225" s="252"/>
      <c r="C3225" s="268"/>
    </row>
    <row r="3226" spans="2:3">
      <c r="B3226" s="252"/>
      <c r="C3226" s="268"/>
    </row>
    <row r="3227" spans="2:3">
      <c r="B3227" s="252"/>
      <c r="C3227" s="268"/>
    </row>
    <row r="3228" spans="2:3">
      <c r="B3228" s="252"/>
      <c r="C3228" s="268"/>
    </row>
    <row r="3229" spans="2:3">
      <c r="B3229" s="252"/>
      <c r="C3229" s="268"/>
    </row>
    <row r="3230" spans="2:3">
      <c r="B3230" s="252"/>
      <c r="C3230" s="268"/>
    </row>
    <row r="3231" spans="2:3">
      <c r="B3231" s="252"/>
      <c r="C3231" s="268"/>
    </row>
    <row r="3232" spans="2:3">
      <c r="B3232" s="252"/>
      <c r="C3232" s="268"/>
    </row>
    <row r="3233" spans="2:3">
      <c r="B3233" s="252"/>
      <c r="C3233" s="268"/>
    </row>
    <row r="3234" spans="2:3">
      <c r="B3234" s="252"/>
      <c r="C3234" s="268"/>
    </row>
    <row r="3235" spans="2:3">
      <c r="B3235" s="252"/>
      <c r="C3235" s="268"/>
    </row>
    <row r="3236" spans="2:3">
      <c r="B3236" s="252"/>
      <c r="C3236" s="268"/>
    </row>
    <row r="3237" spans="2:3">
      <c r="B3237" s="252"/>
      <c r="C3237" s="268"/>
    </row>
    <row r="3238" spans="2:3">
      <c r="B3238" s="252"/>
      <c r="C3238" s="268"/>
    </row>
    <row r="3239" spans="2:3">
      <c r="B3239" s="252"/>
      <c r="C3239" s="268"/>
    </row>
    <row r="3240" spans="2:3">
      <c r="B3240" s="252"/>
      <c r="C3240" s="268"/>
    </row>
    <row r="3241" spans="2:3">
      <c r="B3241" s="252"/>
      <c r="C3241" s="268"/>
    </row>
    <row r="3242" spans="2:3">
      <c r="B3242" s="252"/>
      <c r="C3242" s="268"/>
    </row>
    <row r="3243" spans="2:3">
      <c r="B3243" s="252"/>
      <c r="C3243" s="268"/>
    </row>
    <row r="3244" spans="2:3">
      <c r="B3244" s="252"/>
      <c r="C3244" s="268"/>
    </row>
    <row r="3245" spans="2:3">
      <c r="B3245" s="252"/>
      <c r="C3245" s="268"/>
    </row>
    <row r="3246" spans="2:3">
      <c r="B3246" s="252"/>
      <c r="C3246" s="268"/>
    </row>
    <row r="3247" spans="2:3">
      <c r="B3247" s="252"/>
      <c r="C3247" s="268"/>
    </row>
    <row r="3248" spans="2:3">
      <c r="B3248" s="252"/>
      <c r="C3248" s="268"/>
    </row>
    <row r="3249" spans="2:3">
      <c r="B3249" s="252"/>
      <c r="C3249" s="268"/>
    </row>
    <row r="3250" spans="2:3">
      <c r="B3250" s="252"/>
      <c r="C3250" s="268"/>
    </row>
    <row r="3251" spans="2:3">
      <c r="B3251" s="252"/>
      <c r="C3251" s="268"/>
    </row>
    <row r="3252" spans="2:3">
      <c r="B3252" s="252"/>
      <c r="C3252" s="268"/>
    </row>
    <row r="3253" spans="2:3">
      <c r="B3253" s="252"/>
      <c r="C3253" s="268"/>
    </row>
    <row r="3254" spans="2:3">
      <c r="B3254" s="252"/>
      <c r="C3254" s="268"/>
    </row>
    <row r="3255" spans="2:3">
      <c r="B3255" s="252"/>
      <c r="C3255" s="268"/>
    </row>
    <row r="3256" spans="2:3">
      <c r="B3256" s="252"/>
      <c r="C3256" s="268"/>
    </row>
    <row r="3257" spans="2:3">
      <c r="B3257" s="252"/>
      <c r="C3257" s="268"/>
    </row>
    <row r="3258" spans="2:3">
      <c r="B3258" s="252"/>
      <c r="C3258" s="268"/>
    </row>
    <row r="3259" spans="2:3">
      <c r="B3259" s="252"/>
      <c r="C3259" s="268"/>
    </row>
    <row r="3260" spans="2:3">
      <c r="B3260" s="252"/>
      <c r="C3260" s="268"/>
    </row>
    <row r="3261" spans="2:3">
      <c r="B3261" s="252"/>
      <c r="C3261" s="268"/>
    </row>
    <row r="3262" spans="2:3">
      <c r="B3262" s="252"/>
      <c r="C3262" s="268"/>
    </row>
    <row r="3263" spans="2:3">
      <c r="B3263" s="252"/>
      <c r="C3263" s="268"/>
    </row>
    <row r="3264" spans="2:3">
      <c r="B3264" s="252"/>
      <c r="C3264" s="268"/>
    </row>
    <row r="3265" spans="2:3">
      <c r="B3265" s="252"/>
      <c r="C3265" s="268"/>
    </row>
    <row r="3266" spans="2:3">
      <c r="B3266" s="252"/>
      <c r="C3266" s="268"/>
    </row>
    <row r="3267" spans="2:3">
      <c r="B3267" s="252"/>
      <c r="C3267" s="268"/>
    </row>
    <row r="3268" spans="2:3">
      <c r="B3268" s="252"/>
      <c r="C3268" s="268"/>
    </row>
    <row r="3269" spans="2:3">
      <c r="B3269" s="252"/>
      <c r="C3269" s="268"/>
    </row>
    <row r="3270" spans="2:3">
      <c r="B3270" s="252"/>
      <c r="C3270" s="268"/>
    </row>
    <row r="3271" spans="2:3">
      <c r="B3271" s="252"/>
      <c r="C3271" s="268"/>
    </row>
    <row r="3272" spans="2:3">
      <c r="B3272" s="252"/>
      <c r="C3272" s="268"/>
    </row>
    <row r="3273" spans="2:3">
      <c r="B3273" s="252"/>
      <c r="C3273" s="268"/>
    </row>
    <row r="3274" spans="2:3">
      <c r="B3274" s="252"/>
      <c r="C3274" s="268"/>
    </row>
    <row r="3275" spans="2:3">
      <c r="B3275" s="252"/>
      <c r="C3275" s="268"/>
    </row>
    <row r="3276" spans="2:3">
      <c r="B3276" s="252"/>
      <c r="C3276" s="268"/>
    </row>
    <row r="3277" spans="2:3">
      <c r="B3277" s="252"/>
      <c r="C3277" s="268"/>
    </row>
    <row r="3278" spans="2:3">
      <c r="B3278" s="252"/>
      <c r="C3278" s="268"/>
    </row>
    <row r="3279" spans="2:3">
      <c r="B3279" s="252"/>
      <c r="C3279" s="268"/>
    </row>
    <row r="3280" spans="2:3">
      <c r="B3280" s="252"/>
      <c r="C3280" s="268"/>
    </row>
    <row r="3281" spans="2:3">
      <c r="B3281" s="252"/>
      <c r="C3281" s="268"/>
    </row>
    <row r="3282" spans="2:3">
      <c r="B3282" s="252"/>
      <c r="C3282" s="268"/>
    </row>
    <row r="3283" spans="2:3">
      <c r="B3283" s="252"/>
      <c r="C3283" s="268"/>
    </row>
    <row r="3284" spans="2:3">
      <c r="B3284" s="252"/>
      <c r="C3284" s="268"/>
    </row>
    <row r="3285" spans="2:3">
      <c r="B3285" s="252"/>
      <c r="C3285" s="268"/>
    </row>
    <row r="3286" spans="2:3">
      <c r="B3286" s="252"/>
      <c r="C3286" s="268"/>
    </row>
    <row r="3287" spans="2:3">
      <c r="B3287" s="252"/>
      <c r="C3287" s="268"/>
    </row>
    <row r="3288" spans="2:3">
      <c r="B3288" s="252"/>
      <c r="C3288" s="268"/>
    </row>
    <row r="3289" spans="2:3">
      <c r="B3289" s="252"/>
      <c r="C3289" s="268"/>
    </row>
    <row r="3290" spans="2:3">
      <c r="B3290" s="252"/>
      <c r="C3290" s="268"/>
    </row>
    <row r="3291" spans="2:3">
      <c r="B3291" s="252"/>
      <c r="C3291" s="268"/>
    </row>
    <row r="3292" spans="2:3">
      <c r="B3292" s="252"/>
      <c r="C3292" s="268"/>
    </row>
    <row r="3293" spans="2:3">
      <c r="B3293" s="252"/>
      <c r="C3293" s="268"/>
    </row>
    <row r="3294" spans="2:3">
      <c r="B3294" s="252"/>
      <c r="C3294" s="268"/>
    </row>
    <row r="3295" spans="2:3">
      <c r="B3295" s="252"/>
      <c r="C3295" s="268"/>
    </row>
    <row r="3296" spans="2:3">
      <c r="B3296" s="252"/>
      <c r="C3296" s="268"/>
    </row>
    <row r="3297" spans="2:3">
      <c r="B3297" s="252"/>
      <c r="C3297" s="268"/>
    </row>
    <row r="3298" spans="2:3">
      <c r="B3298" s="252"/>
      <c r="C3298" s="268"/>
    </row>
    <row r="3299" spans="2:3">
      <c r="B3299" s="252"/>
      <c r="C3299" s="268"/>
    </row>
    <row r="3300" spans="2:3">
      <c r="B3300" s="252"/>
      <c r="C3300" s="268"/>
    </row>
    <row r="3301" spans="2:3">
      <c r="B3301" s="252"/>
      <c r="C3301" s="268"/>
    </row>
    <row r="3302" spans="2:3">
      <c r="B3302" s="252"/>
      <c r="C3302" s="268"/>
    </row>
    <row r="3303" spans="2:3">
      <c r="B3303" s="252"/>
      <c r="C3303" s="268"/>
    </row>
    <row r="3304" spans="2:3">
      <c r="B3304" s="252"/>
      <c r="C3304" s="268"/>
    </row>
    <row r="3305" spans="2:3">
      <c r="B3305" s="252"/>
      <c r="C3305" s="268"/>
    </row>
    <row r="3306" spans="2:3">
      <c r="B3306" s="252"/>
      <c r="C3306" s="268"/>
    </row>
    <row r="3307" spans="2:3">
      <c r="B3307" s="252"/>
      <c r="C3307" s="268"/>
    </row>
    <row r="3308" spans="2:3">
      <c r="B3308" s="252"/>
      <c r="C3308" s="268"/>
    </row>
    <row r="3309" spans="2:3">
      <c r="B3309" s="252"/>
      <c r="C3309" s="268"/>
    </row>
    <row r="3310" spans="2:3">
      <c r="B3310" s="252"/>
      <c r="C3310" s="268"/>
    </row>
    <row r="3311" spans="2:3">
      <c r="B3311" s="252"/>
      <c r="C3311" s="268"/>
    </row>
    <row r="3312" spans="2:3">
      <c r="B3312" s="252"/>
      <c r="C3312" s="268"/>
    </row>
    <row r="3313" spans="2:3">
      <c r="B3313" s="252"/>
      <c r="C3313" s="268"/>
    </row>
    <row r="3314" spans="2:3">
      <c r="B3314" s="252"/>
      <c r="C3314" s="268"/>
    </row>
    <row r="3315" spans="2:3">
      <c r="B3315" s="252"/>
      <c r="C3315" s="268"/>
    </row>
    <row r="3316" spans="2:3">
      <c r="B3316" s="252"/>
      <c r="C3316" s="268"/>
    </row>
    <row r="3317" spans="2:3">
      <c r="B3317" s="252"/>
      <c r="C3317" s="268"/>
    </row>
    <row r="3318" spans="2:3">
      <c r="B3318" s="252"/>
      <c r="C3318" s="268"/>
    </row>
    <row r="3319" spans="2:3">
      <c r="B3319" s="252"/>
      <c r="C3319" s="268"/>
    </row>
    <row r="3320" spans="2:3">
      <c r="B3320" s="252"/>
      <c r="C3320" s="268"/>
    </row>
    <row r="3321" spans="2:3">
      <c r="B3321" s="252"/>
      <c r="C3321" s="268"/>
    </row>
    <row r="3322" spans="2:3">
      <c r="B3322" s="252"/>
      <c r="C3322" s="268"/>
    </row>
    <row r="3323" spans="2:3">
      <c r="B3323" s="252"/>
      <c r="C3323" s="268"/>
    </row>
    <row r="3324" spans="2:3">
      <c r="B3324" s="252"/>
      <c r="C3324" s="268"/>
    </row>
    <row r="3325" spans="2:3">
      <c r="B3325" s="252"/>
      <c r="C3325" s="268"/>
    </row>
    <row r="3326" spans="2:3">
      <c r="B3326" s="252"/>
      <c r="C3326" s="268"/>
    </row>
    <row r="3327" spans="2:3">
      <c r="B3327" s="252"/>
      <c r="C3327" s="268"/>
    </row>
    <row r="3328" spans="2:3">
      <c r="B3328" s="252"/>
      <c r="C3328" s="268"/>
    </row>
    <row r="3329" spans="2:3">
      <c r="B3329" s="252"/>
      <c r="C3329" s="268"/>
    </row>
    <row r="3330" spans="2:3">
      <c r="B3330" s="252"/>
      <c r="C3330" s="268"/>
    </row>
    <row r="3331" spans="2:3">
      <c r="B3331" s="252"/>
      <c r="C3331" s="268"/>
    </row>
    <row r="3332" spans="2:3">
      <c r="B3332" s="252"/>
      <c r="C3332" s="268"/>
    </row>
    <row r="3333" spans="2:3">
      <c r="B3333" s="252"/>
      <c r="C3333" s="268"/>
    </row>
    <row r="3334" spans="2:3">
      <c r="B3334" s="252"/>
      <c r="C3334" s="268"/>
    </row>
    <row r="3335" spans="2:3">
      <c r="B3335" s="252"/>
      <c r="C3335" s="268"/>
    </row>
    <row r="3336" spans="2:3">
      <c r="B3336" s="252"/>
      <c r="C3336" s="268"/>
    </row>
    <row r="3337" spans="2:3">
      <c r="B3337" s="252"/>
      <c r="C3337" s="268"/>
    </row>
    <row r="3338" spans="2:3">
      <c r="B3338" s="252"/>
      <c r="C3338" s="268"/>
    </row>
    <row r="3339" spans="2:3">
      <c r="B3339" s="252"/>
      <c r="C3339" s="268"/>
    </row>
    <row r="3340" spans="2:3">
      <c r="B3340" s="252"/>
      <c r="C3340" s="268"/>
    </row>
    <row r="3341" spans="2:3">
      <c r="B3341" s="252"/>
      <c r="C3341" s="268"/>
    </row>
    <row r="3342" spans="2:3">
      <c r="B3342" s="252"/>
      <c r="C3342" s="268"/>
    </row>
    <row r="3343" spans="2:3">
      <c r="B3343" s="252"/>
      <c r="C3343" s="268"/>
    </row>
    <row r="3344" spans="2:3">
      <c r="B3344" s="252"/>
      <c r="C3344" s="268"/>
    </row>
    <row r="3345" spans="2:3">
      <c r="B3345" s="252"/>
      <c r="C3345" s="268"/>
    </row>
    <row r="3346" spans="2:3">
      <c r="B3346" s="252"/>
      <c r="C3346" s="268"/>
    </row>
    <row r="3347" spans="2:3">
      <c r="B3347" s="252"/>
      <c r="C3347" s="268"/>
    </row>
    <row r="3348" spans="2:3">
      <c r="B3348" s="252"/>
      <c r="C3348" s="268"/>
    </row>
    <row r="3349" spans="2:3">
      <c r="B3349" s="252"/>
      <c r="C3349" s="268"/>
    </row>
    <row r="3350" spans="2:3">
      <c r="B3350" s="252"/>
      <c r="C3350" s="268"/>
    </row>
    <row r="3351" spans="2:3">
      <c r="B3351" s="252"/>
      <c r="C3351" s="268"/>
    </row>
    <row r="3352" spans="2:3">
      <c r="B3352" s="252"/>
      <c r="C3352" s="268"/>
    </row>
    <row r="3353" spans="2:3">
      <c r="B3353" s="252"/>
      <c r="C3353" s="268"/>
    </row>
    <row r="3354" spans="2:3">
      <c r="B3354" s="252"/>
      <c r="C3354" s="268"/>
    </row>
    <row r="3355" spans="2:3">
      <c r="B3355" s="252"/>
      <c r="C3355" s="268"/>
    </row>
    <row r="3356" spans="2:3">
      <c r="B3356" s="252"/>
      <c r="C3356" s="268"/>
    </row>
    <row r="3357" spans="2:3">
      <c r="B3357" s="252"/>
      <c r="C3357" s="268"/>
    </row>
    <row r="3358" spans="2:3">
      <c r="B3358" s="252"/>
      <c r="C3358" s="268"/>
    </row>
    <row r="3359" spans="2:3">
      <c r="B3359" s="252"/>
      <c r="C3359" s="268"/>
    </row>
    <row r="3360" spans="2:3">
      <c r="B3360" s="252"/>
      <c r="C3360" s="268"/>
    </row>
    <row r="3361" spans="2:3">
      <c r="B3361" s="252"/>
      <c r="C3361" s="268"/>
    </row>
    <row r="3362" spans="2:3">
      <c r="B3362" s="252"/>
      <c r="C3362" s="268"/>
    </row>
    <row r="3363" spans="2:3">
      <c r="B3363" s="252"/>
      <c r="C3363" s="268"/>
    </row>
    <row r="3364" spans="2:3">
      <c r="B3364" s="252"/>
      <c r="C3364" s="268"/>
    </row>
    <row r="3365" spans="2:3">
      <c r="B3365" s="252"/>
      <c r="C3365" s="268"/>
    </row>
    <row r="3366" spans="2:3">
      <c r="B3366" s="252"/>
      <c r="C3366" s="268"/>
    </row>
    <row r="3367" spans="2:3">
      <c r="B3367" s="252"/>
      <c r="C3367" s="268"/>
    </row>
    <row r="3368" spans="2:3">
      <c r="B3368" s="252"/>
      <c r="C3368" s="268"/>
    </row>
    <row r="3369" spans="2:3">
      <c r="B3369" s="252"/>
      <c r="C3369" s="268"/>
    </row>
    <row r="3370" spans="2:3">
      <c r="B3370" s="252"/>
      <c r="C3370" s="268"/>
    </row>
    <row r="3371" spans="2:3">
      <c r="B3371" s="252"/>
      <c r="C3371" s="268"/>
    </row>
    <row r="3372" spans="2:3">
      <c r="B3372" s="252"/>
      <c r="C3372" s="268"/>
    </row>
    <row r="3373" spans="2:3">
      <c r="B3373" s="252"/>
      <c r="C3373" s="268"/>
    </row>
    <row r="3374" spans="2:3">
      <c r="B3374" s="252"/>
      <c r="C3374" s="268"/>
    </row>
    <row r="3375" spans="2:3">
      <c r="B3375" s="252"/>
      <c r="C3375" s="268"/>
    </row>
    <row r="3376" spans="2:3">
      <c r="B3376" s="252"/>
      <c r="C3376" s="268"/>
    </row>
    <row r="3377" spans="2:3">
      <c r="B3377" s="252"/>
      <c r="C3377" s="268"/>
    </row>
    <row r="3378" spans="2:3">
      <c r="B3378" s="252"/>
      <c r="C3378" s="268"/>
    </row>
    <row r="3379" spans="2:3">
      <c r="B3379" s="252"/>
      <c r="C3379" s="268"/>
    </row>
    <row r="3380" spans="2:3">
      <c r="B3380" s="252"/>
      <c r="C3380" s="268"/>
    </row>
    <row r="3381" spans="2:3">
      <c r="B3381" s="252"/>
      <c r="C3381" s="268"/>
    </row>
    <row r="3382" spans="2:3">
      <c r="B3382" s="252"/>
      <c r="C3382" s="268"/>
    </row>
    <row r="3383" spans="2:3">
      <c r="B3383" s="252"/>
      <c r="C3383" s="268"/>
    </row>
    <row r="3384" spans="2:3">
      <c r="B3384" s="252"/>
      <c r="C3384" s="268"/>
    </row>
    <row r="3385" spans="2:3">
      <c r="B3385" s="252"/>
      <c r="C3385" s="268"/>
    </row>
    <row r="3386" spans="2:3">
      <c r="B3386" s="252"/>
      <c r="C3386" s="268"/>
    </row>
    <row r="3387" spans="2:3">
      <c r="B3387" s="252"/>
      <c r="C3387" s="268"/>
    </row>
    <row r="3388" spans="2:3">
      <c r="B3388" s="252"/>
      <c r="C3388" s="268"/>
    </row>
    <row r="3389" spans="2:3">
      <c r="B3389" s="252"/>
      <c r="C3389" s="268"/>
    </row>
    <row r="3390" spans="2:3">
      <c r="B3390" s="252"/>
      <c r="C3390" s="268"/>
    </row>
    <row r="3391" spans="2:3">
      <c r="B3391" s="252"/>
      <c r="C3391" s="268"/>
    </row>
    <row r="3392" spans="2:3">
      <c r="B3392" s="252"/>
      <c r="C3392" s="268"/>
    </row>
    <row r="3393" spans="2:3">
      <c r="B3393" s="252"/>
      <c r="C3393" s="268"/>
    </row>
    <row r="3394" spans="2:3">
      <c r="B3394" s="252"/>
      <c r="C3394" s="268"/>
    </row>
    <row r="3395" spans="2:3">
      <c r="B3395" s="252"/>
      <c r="C3395" s="268"/>
    </row>
    <row r="3396" spans="2:3">
      <c r="B3396" s="252"/>
      <c r="C3396" s="268"/>
    </row>
    <row r="3397" spans="2:3">
      <c r="B3397" s="252"/>
      <c r="C3397" s="268"/>
    </row>
    <row r="3398" spans="2:3">
      <c r="B3398" s="252"/>
      <c r="C3398" s="268"/>
    </row>
    <row r="3399" spans="2:3">
      <c r="B3399" s="252"/>
      <c r="C3399" s="268"/>
    </row>
    <row r="3400" spans="2:3">
      <c r="B3400" s="252"/>
      <c r="C3400" s="268"/>
    </row>
    <row r="3401" spans="2:3">
      <c r="B3401" s="252"/>
      <c r="C3401" s="268"/>
    </row>
    <row r="3402" spans="2:3">
      <c r="B3402" s="252"/>
      <c r="C3402" s="268"/>
    </row>
    <row r="3403" spans="2:3">
      <c r="B3403" s="252"/>
      <c r="C3403" s="268"/>
    </row>
    <row r="3404" spans="2:3">
      <c r="B3404" s="252"/>
      <c r="C3404" s="268"/>
    </row>
    <row r="3405" spans="2:3">
      <c r="B3405" s="252"/>
      <c r="C3405" s="268"/>
    </row>
    <row r="3406" spans="2:3">
      <c r="B3406" s="252"/>
      <c r="C3406" s="268"/>
    </row>
    <row r="3407" spans="2:3">
      <c r="B3407" s="252"/>
      <c r="C3407" s="268"/>
    </row>
    <row r="3408" spans="2:3">
      <c r="B3408" s="252"/>
      <c r="C3408" s="268"/>
    </row>
    <row r="3409" spans="2:3">
      <c r="B3409" s="252"/>
      <c r="C3409" s="268"/>
    </row>
    <row r="3410" spans="2:3">
      <c r="B3410" s="252"/>
      <c r="C3410" s="268"/>
    </row>
    <row r="3411" spans="2:3">
      <c r="B3411" s="252"/>
      <c r="C3411" s="268"/>
    </row>
    <row r="3412" spans="2:3">
      <c r="B3412" s="252"/>
      <c r="C3412" s="268"/>
    </row>
    <row r="3413" spans="2:3">
      <c r="B3413" s="252"/>
      <c r="C3413" s="268"/>
    </row>
    <row r="3414" spans="2:3">
      <c r="B3414" s="252"/>
      <c r="C3414" s="268"/>
    </row>
    <row r="3415" spans="2:3">
      <c r="B3415" s="252"/>
      <c r="C3415" s="268"/>
    </row>
    <row r="3416" spans="2:3">
      <c r="B3416" s="252"/>
      <c r="C3416" s="268"/>
    </row>
    <row r="3417" spans="2:3">
      <c r="B3417" s="252"/>
      <c r="C3417" s="268"/>
    </row>
    <row r="3418" spans="2:3">
      <c r="B3418" s="252"/>
      <c r="C3418" s="268"/>
    </row>
    <row r="3419" spans="2:3">
      <c r="B3419" s="252"/>
      <c r="C3419" s="268"/>
    </row>
    <row r="3420" spans="2:3">
      <c r="B3420" s="252"/>
      <c r="C3420" s="268"/>
    </row>
    <row r="3421" spans="2:3">
      <c r="B3421" s="252"/>
      <c r="C3421" s="268"/>
    </row>
    <row r="3422" spans="2:3">
      <c r="B3422" s="252"/>
      <c r="C3422" s="268"/>
    </row>
    <row r="3423" spans="2:3">
      <c r="B3423" s="252"/>
      <c r="C3423" s="268"/>
    </row>
    <row r="3424" spans="2:3">
      <c r="B3424" s="252"/>
      <c r="C3424" s="268"/>
    </row>
    <row r="3425" spans="2:3">
      <c r="B3425" s="252"/>
      <c r="C3425" s="268"/>
    </row>
    <row r="3426" spans="2:3">
      <c r="B3426" s="252"/>
      <c r="C3426" s="268"/>
    </row>
    <row r="3427" spans="2:3">
      <c r="B3427" s="252"/>
      <c r="C3427" s="268"/>
    </row>
    <row r="3428" spans="2:3">
      <c r="B3428" s="252"/>
      <c r="C3428" s="268"/>
    </row>
    <row r="3429" spans="2:3">
      <c r="B3429" s="252"/>
      <c r="C3429" s="268"/>
    </row>
    <row r="3430" spans="2:3">
      <c r="B3430" s="252"/>
      <c r="C3430" s="268"/>
    </row>
    <row r="3431" spans="2:3">
      <c r="B3431" s="252"/>
      <c r="C3431" s="268"/>
    </row>
    <row r="3432" spans="2:3">
      <c r="B3432" s="252"/>
      <c r="C3432" s="268"/>
    </row>
    <row r="3433" spans="2:3">
      <c r="B3433" s="252"/>
      <c r="C3433" s="268"/>
    </row>
    <row r="3434" spans="2:3">
      <c r="B3434" s="252"/>
      <c r="C3434" s="268"/>
    </row>
    <row r="3435" spans="2:3">
      <c r="B3435" s="252"/>
      <c r="C3435" s="268"/>
    </row>
    <row r="3436" spans="2:3">
      <c r="B3436" s="252"/>
      <c r="C3436" s="268"/>
    </row>
    <row r="3437" spans="2:3">
      <c r="B3437" s="252"/>
      <c r="C3437" s="268"/>
    </row>
    <row r="3438" spans="2:3">
      <c r="B3438" s="252"/>
      <c r="C3438" s="268"/>
    </row>
    <row r="3439" spans="2:3">
      <c r="B3439" s="252"/>
      <c r="C3439" s="268"/>
    </row>
    <row r="3440" spans="2:3">
      <c r="B3440" s="252"/>
      <c r="C3440" s="268"/>
    </row>
    <row r="3441" spans="2:3">
      <c r="B3441" s="252"/>
      <c r="C3441" s="268"/>
    </row>
    <row r="3442" spans="2:3">
      <c r="B3442" s="252"/>
      <c r="C3442" s="268"/>
    </row>
    <row r="3443" spans="2:3">
      <c r="B3443" s="252"/>
      <c r="C3443" s="268"/>
    </row>
    <row r="3444" spans="2:3">
      <c r="B3444" s="252"/>
      <c r="C3444" s="268"/>
    </row>
    <row r="3445" spans="2:3">
      <c r="B3445" s="252"/>
      <c r="C3445" s="268"/>
    </row>
    <row r="3446" spans="2:3">
      <c r="B3446" s="252"/>
      <c r="C3446" s="268"/>
    </row>
    <row r="3447" spans="2:3">
      <c r="B3447" s="252"/>
      <c r="C3447" s="268"/>
    </row>
    <row r="3448" spans="2:3">
      <c r="B3448" s="252"/>
      <c r="C3448" s="268"/>
    </row>
    <row r="3449" spans="2:3">
      <c r="B3449" s="252"/>
      <c r="C3449" s="268"/>
    </row>
    <row r="3450" spans="2:3">
      <c r="B3450" s="252"/>
      <c r="C3450" s="268"/>
    </row>
    <row r="3451" spans="2:3">
      <c r="B3451" s="252"/>
      <c r="C3451" s="268"/>
    </row>
    <row r="3452" spans="2:3">
      <c r="B3452" s="252"/>
      <c r="C3452" s="268"/>
    </row>
    <row r="3453" spans="2:3">
      <c r="B3453" s="252"/>
      <c r="C3453" s="268"/>
    </row>
    <row r="3454" spans="2:3">
      <c r="B3454" s="252"/>
      <c r="C3454" s="268"/>
    </row>
    <row r="3455" spans="2:3">
      <c r="B3455" s="252"/>
      <c r="C3455" s="268"/>
    </row>
    <row r="3456" spans="2:3">
      <c r="B3456" s="252"/>
      <c r="C3456" s="268"/>
    </row>
    <row r="3457" spans="2:3">
      <c r="B3457" s="252"/>
      <c r="C3457" s="268"/>
    </row>
    <row r="3458" spans="2:3">
      <c r="B3458" s="252"/>
      <c r="C3458" s="268"/>
    </row>
    <row r="3459" spans="2:3">
      <c r="B3459" s="252"/>
      <c r="C3459" s="268"/>
    </row>
    <row r="3460" spans="2:3">
      <c r="B3460" s="252"/>
      <c r="C3460" s="268"/>
    </row>
    <row r="3461" spans="2:3">
      <c r="B3461" s="252"/>
      <c r="C3461" s="268"/>
    </row>
    <row r="3462" spans="2:3">
      <c r="B3462" s="252"/>
      <c r="C3462" s="268"/>
    </row>
    <row r="3463" spans="2:3">
      <c r="B3463" s="252"/>
      <c r="C3463" s="268"/>
    </row>
    <row r="3464" spans="2:3">
      <c r="B3464" s="252"/>
      <c r="C3464" s="268"/>
    </row>
    <row r="3465" spans="2:3">
      <c r="B3465" s="252"/>
      <c r="C3465" s="268"/>
    </row>
    <row r="3466" spans="2:3">
      <c r="B3466" s="252"/>
      <c r="C3466" s="268"/>
    </row>
    <row r="3467" spans="2:3">
      <c r="B3467" s="252"/>
      <c r="C3467" s="268"/>
    </row>
    <row r="3468" spans="2:3">
      <c r="B3468" s="252"/>
      <c r="C3468" s="268"/>
    </row>
    <row r="3469" spans="2:3">
      <c r="B3469" s="252"/>
      <c r="C3469" s="268"/>
    </row>
    <row r="3470" spans="2:3">
      <c r="B3470" s="252"/>
      <c r="C3470" s="268"/>
    </row>
    <row r="3471" spans="2:3">
      <c r="B3471" s="252"/>
      <c r="C3471" s="268"/>
    </row>
    <row r="3472" spans="2:3">
      <c r="B3472" s="252"/>
      <c r="C3472" s="268"/>
    </row>
    <row r="3473" spans="2:3">
      <c r="B3473" s="252"/>
      <c r="C3473" s="268"/>
    </row>
    <row r="3474" spans="2:3">
      <c r="B3474" s="252"/>
      <c r="C3474" s="268"/>
    </row>
    <row r="3475" spans="2:3">
      <c r="B3475" s="252"/>
      <c r="C3475" s="268"/>
    </row>
    <row r="3476" spans="2:3">
      <c r="B3476" s="252"/>
      <c r="C3476" s="268"/>
    </row>
    <row r="3477" spans="2:3">
      <c r="B3477" s="252"/>
      <c r="C3477" s="268"/>
    </row>
    <row r="3478" spans="2:3">
      <c r="B3478" s="252"/>
      <c r="C3478" s="268"/>
    </row>
    <row r="3479" spans="2:3">
      <c r="B3479" s="252"/>
      <c r="C3479" s="268"/>
    </row>
    <row r="3480" spans="2:3">
      <c r="B3480" s="252"/>
      <c r="C3480" s="268"/>
    </row>
    <row r="3481" spans="2:3">
      <c r="B3481" s="252"/>
      <c r="C3481" s="268"/>
    </row>
    <row r="3482" spans="2:3">
      <c r="B3482" s="252"/>
      <c r="C3482" s="268"/>
    </row>
    <row r="3483" spans="2:3">
      <c r="B3483" s="252"/>
      <c r="C3483" s="268"/>
    </row>
    <row r="3484" spans="2:3">
      <c r="B3484" s="252"/>
      <c r="C3484" s="268"/>
    </row>
    <row r="3485" spans="2:3">
      <c r="B3485" s="252"/>
      <c r="C3485" s="268"/>
    </row>
    <row r="3486" spans="2:3">
      <c r="B3486" s="252"/>
      <c r="C3486" s="268"/>
    </row>
    <row r="3487" spans="2:3">
      <c r="B3487" s="252"/>
      <c r="C3487" s="268"/>
    </row>
    <row r="3488" spans="2:3">
      <c r="B3488" s="252"/>
      <c r="C3488" s="268"/>
    </row>
    <row r="3489" spans="2:3">
      <c r="B3489" s="252"/>
      <c r="C3489" s="268"/>
    </row>
    <row r="3490" spans="2:3">
      <c r="B3490" s="252"/>
      <c r="C3490" s="268"/>
    </row>
    <row r="3491" spans="2:3">
      <c r="B3491" s="252"/>
      <c r="C3491" s="268"/>
    </row>
    <row r="3492" spans="2:3">
      <c r="B3492" s="252"/>
      <c r="C3492" s="268"/>
    </row>
    <row r="3493" spans="2:3">
      <c r="B3493" s="252"/>
      <c r="C3493" s="268"/>
    </row>
    <row r="3494" spans="2:3">
      <c r="B3494" s="252"/>
      <c r="C3494" s="268"/>
    </row>
    <row r="3495" spans="2:3">
      <c r="B3495" s="252"/>
      <c r="C3495" s="268"/>
    </row>
    <row r="3496" spans="2:3">
      <c r="B3496" s="252"/>
      <c r="C3496" s="268"/>
    </row>
    <row r="3497" spans="2:3">
      <c r="B3497" s="252"/>
      <c r="C3497" s="268"/>
    </row>
    <row r="3498" spans="2:3">
      <c r="B3498" s="252"/>
      <c r="C3498" s="268"/>
    </row>
    <row r="3499" spans="2:3">
      <c r="B3499" s="252"/>
      <c r="C3499" s="268"/>
    </row>
    <row r="3500" spans="2:3">
      <c r="B3500" s="252"/>
      <c r="C3500" s="268"/>
    </row>
    <row r="3501" spans="2:3">
      <c r="B3501" s="252"/>
      <c r="C3501" s="268"/>
    </row>
    <row r="3502" spans="2:3">
      <c r="B3502" s="252"/>
      <c r="C3502" s="268"/>
    </row>
    <row r="3503" spans="2:3">
      <c r="B3503" s="252"/>
      <c r="C3503" s="268"/>
    </row>
    <row r="3504" spans="2:3">
      <c r="B3504" s="252"/>
      <c r="C3504" s="268"/>
    </row>
    <row r="3505" spans="2:3">
      <c r="B3505" s="252"/>
      <c r="C3505" s="268"/>
    </row>
    <row r="3506" spans="2:3">
      <c r="B3506" s="252"/>
      <c r="C3506" s="268"/>
    </row>
    <row r="3507" spans="2:3">
      <c r="B3507" s="252"/>
      <c r="C3507" s="268"/>
    </row>
    <row r="3508" spans="2:3">
      <c r="B3508" s="252"/>
      <c r="C3508" s="268"/>
    </row>
    <row r="3509" spans="2:3">
      <c r="B3509" s="252"/>
      <c r="C3509" s="268"/>
    </row>
    <row r="3510" spans="2:3">
      <c r="B3510" s="252"/>
      <c r="C3510" s="268"/>
    </row>
    <row r="3511" spans="2:3">
      <c r="B3511" s="252"/>
      <c r="C3511" s="268"/>
    </row>
    <row r="3512" spans="2:3">
      <c r="B3512" s="252"/>
      <c r="C3512" s="268"/>
    </row>
    <row r="3513" spans="2:3">
      <c r="B3513" s="252"/>
      <c r="C3513" s="268"/>
    </row>
    <row r="3514" spans="2:3">
      <c r="B3514" s="252"/>
      <c r="C3514" s="268"/>
    </row>
    <row r="3515" spans="2:3">
      <c r="B3515" s="252"/>
      <c r="C3515" s="268"/>
    </row>
    <row r="3516" spans="2:3">
      <c r="B3516" s="252"/>
      <c r="C3516" s="268"/>
    </row>
    <row r="3517" spans="2:3">
      <c r="B3517" s="252"/>
      <c r="C3517" s="268"/>
    </row>
    <row r="3518" spans="2:3">
      <c r="B3518" s="252"/>
      <c r="C3518" s="268"/>
    </row>
    <row r="3519" spans="2:3">
      <c r="B3519" s="252"/>
      <c r="C3519" s="268"/>
    </row>
    <row r="3520" spans="2:3">
      <c r="B3520" s="252"/>
      <c r="C3520" s="268"/>
    </row>
    <row r="3521" spans="2:3">
      <c r="B3521" s="252"/>
      <c r="C3521" s="268"/>
    </row>
    <row r="3522" spans="2:3">
      <c r="B3522" s="252"/>
      <c r="C3522" s="268"/>
    </row>
    <row r="3523" spans="2:3">
      <c r="B3523" s="252"/>
      <c r="C3523" s="268"/>
    </row>
    <row r="3524" spans="2:3">
      <c r="B3524" s="252"/>
      <c r="C3524" s="268"/>
    </row>
    <row r="3525" spans="2:3">
      <c r="B3525" s="252"/>
      <c r="C3525" s="268"/>
    </row>
    <row r="3526" spans="2:3">
      <c r="B3526" s="252"/>
      <c r="C3526" s="268"/>
    </row>
    <row r="3527" spans="2:3">
      <c r="B3527" s="252"/>
      <c r="C3527" s="268"/>
    </row>
    <row r="3528" spans="2:3">
      <c r="B3528" s="252"/>
      <c r="C3528" s="268"/>
    </row>
    <row r="3529" spans="2:3">
      <c r="B3529" s="252"/>
      <c r="C3529" s="268"/>
    </row>
    <row r="3530" spans="2:3">
      <c r="B3530" s="252"/>
      <c r="C3530" s="268"/>
    </row>
    <row r="3531" spans="2:3">
      <c r="B3531" s="252"/>
      <c r="C3531" s="268"/>
    </row>
    <row r="3532" spans="2:3">
      <c r="B3532" s="252"/>
      <c r="C3532" s="268"/>
    </row>
    <row r="3533" spans="2:3">
      <c r="B3533" s="252"/>
      <c r="C3533" s="268"/>
    </row>
    <row r="3534" spans="2:3">
      <c r="B3534" s="252"/>
      <c r="C3534" s="268"/>
    </row>
    <row r="3535" spans="2:3">
      <c r="B3535" s="252"/>
      <c r="C3535" s="268"/>
    </row>
    <row r="3536" spans="2:3">
      <c r="B3536" s="252"/>
      <c r="C3536" s="268"/>
    </row>
    <row r="3537" spans="2:3">
      <c r="B3537" s="252"/>
      <c r="C3537" s="268"/>
    </row>
    <row r="3538" spans="2:3">
      <c r="B3538" s="252"/>
      <c r="C3538" s="268"/>
    </row>
    <row r="3539" spans="2:3">
      <c r="B3539" s="252"/>
      <c r="C3539" s="268"/>
    </row>
    <row r="3540" spans="2:3">
      <c r="B3540" s="252"/>
      <c r="C3540" s="268"/>
    </row>
    <row r="3541" spans="2:3">
      <c r="B3541" s="252"/>
      <c r="C3541" s="268"/>
    </row>
    <row r="3542" spans="2:3">
      <c r="B3542" s="252"/>
      <c r="C3542" s="268"/>
    </row>
    <row r="3543" spans="2:3">
      <c r="B3543" s="252"/>
      <c r="C3543" s="268"/>
    </row>
    <row r="3544" spans="2:3">
      <c r="B3544" s="252"/>
      <c r="C3544" s="268"/>
    </row>
    <row r="3545" spans="2:3">
      <c r="B3545" s="252"/>
      <c r="C3545" s="268"/>
    </row>
    <row r="3546" spans="2:3">
      <c r="B3546" s="252"/>
      <c r="C3546" s="268"/>
    </row>
    <row r="3547" spans="2:3">
      <c r="B3547" s="252"/>
      <c r="C3547" s="268"/>
    </row>
    <row r="3548" spans="2:3">
      <c r="B3548" s="252"/>
      <c r="C3548" s="268"/>
    </row>
    <row r="3549" spans="2:3">
      <c r="B3549" s="252"/>
      <c r="C3549" s="268"/>
    </row>
    <row r="3550" spans="2:3">
      <c r="B3550" s="252"/>
      <c r="C3550" s="268"/>
    </row>
    <row r="3551" spans="2:3">
      <c r="B3551" s="252"/>
      <c r="C3551" s="268"/>
    </row>
    <row r="3552" spans="2:3">
      <c r="B3552" s="252"/>
      <c r="C3552" s="268"/>
    </row>
    <row r="3553" spans="2:3">
      <c r="B3553" s="252"/>
      <c r="C3553" s="268"/>
    </row>
    <row r="3554" spans="2:3">
      <c r="B3554" s="252"/>
      <c r="C3554" s="268"/>
    </row>
    <row r="3555" spans="2:3">
      <c r="B3555" s="252"/>
      <c r="C3555" s="268"/>
    </row>
    <row r="3556" spans="2:3">
      <c r="B3556" s="252"/>
      <c r="C3556" s="268"/>
    </row>
    <row r="3557" spans="2:3">
      <c r="B3557" s="252"/>
      <c r="C3557" s="268"/>
    </row>
    <row r="3558" spans="2:3">
      <c r="B3558" s="252"/>
      <c r="C3558" s="268"/>
    </row>
    <row r="3559" spans="2:3">
      <c r="B3559" s="252"/>
      <c r="C3559" s="268"/>
    </row>
    <row r="3560" spans="2:3">
      <c r="B3560" s="252"/>
      <c r="C3560" s="268"/>
    </row>
    <row r="3561" spans="2:3">
      <c r="B3561" s="252"/>
      <c r="C3561" s="268"/>
    </row>
    <row r="3562" spans="2:3">
      <c r="B3562" s="252"/>
      <c r="C3562" s="268"/>
    </row>
    <row r="3563" spans="2:3">
      <c r="B3563" s="252"/>
      <c r="C3563" s="268"/>
    </row>
    <row r="3564" spans="2:3">
      <c r="B3564" s="252"/>
      <c r="C3564" s="268"/>
    </row>
    <row r="3565" spans="2:3">
      <c r="B3565" s="252"/>
      <c r="C3565" s="268"/>
    </row>
    <row r="3566" spans="2:3">
      <c r="B3566" s="252"/>
      <c r="C3566" s="268"/>
    </row>
    <row r="3567" spans="2:3">
      <c r="B3567" s="252"/>
      <c r="C3567" s="268"/>
    </row>
    <row r="3568" spans="2:3">
      <c r="B3568" s="252"/>
      <c r="C3568" s="268"/>
    </row>
    <row r="3569" spans="2:3">
      <c r="B3569" s="252"/>
      <c r="C3569" s="268"/>
    </row>
    <row r="3570" spans="2:3">
      <c r="B3570" s="252"/>
      <c r="C3570" s="268"/>
    </row>
    <row r="3571" spans="2:3">
      <c r="B3571" s="252"/>
      <c r="C3571" s="268"/>
    </row>
    <row r="3572" spans="2:3">
      <c r="B3572" s="252"/>
      <c r="C3572" s="268"/>
    </row>
    <row r="3573" spans="2:3">
      <c r="B3573" s="252"/>
      <c r="C3573" s="268"/>
    </row>
    <row r="3574" spans="2:3">
      <c r="B3574" s="252"/>
      <c r="C3574" s="268"/>
    </row>
    <row r="3575" spans="2:3">
      <c r="B3575" s="252"/>
      <c r="C3575" s="268"/>
    </row>
    <row r="3576" spans="2:3">
      <c r="B3576" s="252"/>
      <c r="C3576" s="268"/>
    </row>
    <row r="3577" spans="2:3">
      <c r="B3577" s="252"/>
      <c r="C3577" s="268"/>
    </row>
    <row r="3578" spans="2:3">
      <c r="B3578" s="252"/>
      <c r="C3578" s="268"/>
    </row>
    <row r="3579" spans="2:3">
      <c r="B3579" s="252"/>
      <c r="C3579" s="268"/>
    </row>
    <row r="3580" spans="2:3">
      <c r="B3580" s="252"/>
      <c r="C3580" s="268"/>
    </row>
    <row r="3581" spans="2:3">
      <c r="B3581" s="252"/>
      <c r="C3581" s="268"/>
    </row>
    <row r="3582" spans="2:3">
      <c r="B3582" s="252"/>
      <c r="C3582" s="268"/>
    </row>
    <row r="3583" spans="2:3">
      <c r="B3583" s="252"/>
      <c r="C3583" s="268"/>
    </row>
    <row r="3584" spans="2:3">
      <c r="B3584" s="252"/>
      <c r="C3584" s="268"/>
    </row>
    <row r="3585" spans="2:3">
      <c r="B3585" s="252"/>
      <c r="C3585" s="268"/>
    </row>
    <row r="3586" spans="2:3">
      <c r="B3586" s="252"/>
      <c r="C3586" s="268"/>
    </row>
    <row r="3587" spans="2:3">
      <c r="B3587" s="252"/>
      <c r="C3587" s="268"/>
    </row>
    <row r="3588" spans="2:3">
      <c r="B3588" s="252"/>
      <c r="C3588" s="268"/>
    </row>
    <row r="3589" spans="2:3">
      <c r="B3589" s="252"/>
      <c r="C3589" s="268"/>
    </row>
    <row r="3590" spans="2:3">
      <c r="B3590" s="252"/>
      <c r="C3590" s="268"/>
    </row>
    <row r="3591" spans="2:3">
      <c r="B3591" s="252"/>
      <c r="C3591" s="268"/>
    </row>
    <row r="3592" spans="2:3">
      <c r="B3592" s="252"/>
      <c r="C3592" s="268"/>
    </row>
    <row r="3593" spans="2:3">
      <c r="B3593" s="252"/>
      <c r="C3593" s="268"/>
    </row>
    <row r="3594" spans="2:3">
      <c r="B3594" s="252"/>
      <c r="C3594" s="268"/>
    </row>
    <row r="3595" spans="2:3">
      <c r="B3595" s="252"/>
      <c r="C3595" s="268"/>
    </row>
    <row r="3596" spans="2:3">
      <c r="B3596" s="252"/>
      <c r="C3596" s="268"/>
    </row>
    <row r="3597" spans="2:3">
      <c r="B3597" s="252"/>
      <c r="C3597" s="268"/>
    </row>
    <row r="3598" spans="2:3">
      <c r="B3598" s="252"/>
      <c r="C3598" s="268"/>
    </row>
    <row r="3599" spans="2:3">
      <c r="B3599" s="252"/>
      <c r="C3599" s="268"/>
    </row>
    <row r="3600" spans="2:3">
      <c r="B3600" s="252"/>
      <c r="C3600" s="268"/>
    </row>
    <row r="3601" spans="2:3">
      <c r="B3601" s="252"/>
      <c r="C3601" s="268"/>
    </row>
    <row r="3602" spans="2:3">
      <c r="B3602" s="252"/>
      <c r="C3602" s="268"/>
    </row>
    <row r="3603" spans="2:3">
      <c r="B3603" s="252"/>
      <c r="C3603" s="268"/>
    </row>
    <row r="3604" spans="2:3">
      <c r="B3604" s="252"/>
      <c r="C3604" s="268"/>
    </row>
    <row r="3605" spans="2:3">
      <c r="B3605" s="252"/>
      <c r="C3605" s="268"/>
    </row>
    <row r="3606" spans="2:3">
      <c r="B3606" s="252"/>
      <c r="C3606" s="268"/>
    </row>
    <row r="3607" spans="2:3">
      <c r="B3607" s="252"/>
      <c r="C3607" s="268"/>
    </row>
    <row r="3608" spans="2:3">
      <c r="B3608" s="252"/>
      <c r="C3608" s="268"/>
    </row>
    <row r="3609" spans="2:3">
      <c r="B3609" s="252"/>
      <c r="C3609" s="268"/>
    </row>
    <row r="3610" spans="2:3">
      <c r="B3610" s="252"/>
      <c r="C3610" s="268"/>
    </row>
    <row r="3611" spans="2:3">
      <c r="B3611" s="252"/>
      <c r="C3611" s="268"/>
    </row>
    <row r="3612" spans="2:3">
      <c r="B3612" s="252"/>
      <c r="C3612" s="268"/>
    </row>
    <row r="3613" spans="2:3">
      <c r="B3613" s="252"/>
      <c r="C3613" s="268"/>
    </row>
    <row r="3614" spans="2:3">
      <c r="B3614" s="252"/>
      <c r="C3614" s="268"/>
    </row>
    <row r="3615" spans="2:3">
      <c r="B3615" s="252"/>
      <c r="C3615" s="268"/>
    </row>
    <row r="3616" spans="2:3">
      <c r="B3616" s="252"/>
      <c r="C3616" s="268"/>
    </row>
    <row r="3617" spans="2:3">
      <c r="B3617" s="252"/>
      <c r="C3617" s="268"/>
    </row>
    <row r="3618" spans="2:3">
      <c r="B3618" s="252"/>
      <c r="C3618" s="268"/>
    </row>
    <row r="3619" spans="2:3">
      <c r="B3619" s="252"/>
      <c r="C3619" s="268"/>
    </row>
    <row r="3620" spans="2:3">
      <c r="B3620" s="252"/>
      <c r="C3620" s="268"/>
    </row>
    <row r="3621" spans="2:3">
      <c r="B3621" s="252"/>
      <c r="C3621" s="268"/>
    </row>
    <row r="3622" spans="2:3">
      <c r="B3622" s="252"/>
      <c r="C3622" s="268"/>
    </row>
    <row r="3623" spans="2:3">
      <c r="B3623" s="252"/>
      <c r="C3623" s="268"/>
    </row>
    <row r="3624" spans="2:3">
      <c r="B3624" s="252"/>
      <c r="C3624" s="268"/>
    </row>
    <row r="3625" spans="2:3">
      <c r="B3625" s="252"/>
      <c r="C3625" s="268"/>
    </row>
    <row r="3626" spans="2:3">
      <c r="B3626" s="252"/>
      <c r="C3626" s="268"/>
    </row>
    <row r="3627" spans="2:3">
      <c r="B3627" s="252"/>
      <c r="C3627" s="268"/>
    </row>
    <row r="3628" spans="2:3">
      <c r="B3628" s="252"/>
      <c r="C3628" s="268"/>
    </row>
    <row r="3629" spans="2:3">
      <c r="B3629" s="252"/>
      <c r="C3629" s="268"/>
    </row>
    <row r="3630" spans="2:3">
      <c r="B3630" s="252"/>
      <c r="C3630" s="268"/>
    </row>
    <row r="3631" spans="2:3">
      <c r="B3631" s="252"/>
      <c r="C3631" s="268"/>
    </row>
    <row r="3632" spans="2:3">
      <c r="B3632" s="252"/>
      <c r="C3632" s="268"/>
    </row>
    <row r="3633" spans="2:3">
      <c r="B3633" s="252"/>
      <c r="C3633" s="268"/>
    </row>
    <row r="3634" spans="2:3">
      <c r="B3634" s="252"/>
      <c r="C3634" s="268"/>
    </row>
    <row r="3635" spans="2:3">
      <c r="B3635" s="252"/>
      <c r="C3635" s="268"/>
    </row>
    <row r="3636" spans="2:3">
      <c r="B3636" s="252"/>
      <c r="C3636" s="268"/>
    </row>
    <row r="3637" spans="2:3">
      <c r="B3637" s="252"/>
      <c r="C3637" s="268"/>
    </row>
    <row r="3638" spans="2:3">
      <c r="B3638" s="252"/>
      <c r="C3638" s="268"/>
    </row>
    <row r="3639" spans="2:3">
      <c r="B3639" s="252"/>
      <c r="C3639" s="268"/>
    </row>
    <row r="3640" spans="2:3">
      <c r="B3640" s="252"/>
      <c r="C3640" s="268"/>
    </row>
    <row r="3641" spans="2:3">
      <c r="B3641" s="252"/>
      <c r="C3641" s="268"/>
    </row>
    <row r="3642" spans="2:3">
      <c r="B3642" s="252"/>
      <c r="C3642" s="268"/>
    </row>
    <row r="3643" spans="2:3">
      <c r="B3643" s="252"/>
      <c r="C3643" s="268"/>
    </row>
    <row r="3644" spans="2:3">
      <c r="B3644" s="252"/>
      <c r="C3644" s="268"/>
    </row>
    <row r="3645" spans="2:3">
      <c r="B3645" s="252"/>
      <c r="C3645" s="268"/>
    </row>
    <row r="3646" spans="2:3">
      <c r="B3646" s="252"/>
      <c r="C3646" s="268"/>
    </row>
    <row r="3647" spans="2:3">
      <c r="B3647" s="252"/>
      <c r="C3647" s="268"/>
    </row>
    <row r="3648" spans="2:3">
      <c r="B3648" s="252"/>
      <c r="C3648" s="268"/>
    </row>
    <row r="3649" spans="2:3">
      <c r="B3649" s="252"/>
      <c r="C3649" s="268"/>
    </row>
    <row r="3650" spans="2:3">
      <c r="B3650" s="252"/>
      <c r="C3650" s="268"/>
    </row>
    <row r="3651" spans="2:3">
      <c r="B3651" s="252"/>
      <c r="C3651" s="268"/>
    </row>
    <row r="3652" spans="2:3">
      <c r="B3652" s="252"/>
      <c r="C3652" s="268"/>
    </row>
    <row r="3653" spans="2:3">
      <c r="B3653" s="252"/>
      <c r="C3653" s="268"/>
    </row>
    <row r="3654" spans="2:3">
      <c r="B3654" s="252"/>
      <c r="C3654" s="268"/>
    </row>
    <row r="3655" spans="2:3">
      <c r="B3655" s="252"/>
      <c r="C3655" s="268"/>
    </row>
    <row r="3656" spans="2:3">
      <c r="B3656" s="252"/>
      <c r="C3656" s="268"/>
    </row>
    <row r="3657" spans="2:3">
      <c r="B3657" s="252"/>
      <c r="C3657" s="268"/>
    </row>
    <row r="3658" spans="2:3">
      <c r="B3658" s="252"/>
      <c r="C3658" s="268"/>
    </row>
    <row r="3659" spans="2:3">
      <c r="B3659" s="252"/>
      <c r="C3659" s="268"/>
    </row>
    <row r="3660" spans="2:3">
      <c r="B3660" s="252"/>
      <c r="C3660" s="268"/>
    </row>
    <row r="3661" spans="2:3">
      <c r="B3661" s="252"/>
      <c r="C3661" s="268"/>
    </row>
    <row r="3662" spans="2:3">
      <c r="B3662" s="252"/>
      <c r="C3662" s="268"/>
    </row>
    <row r="3663" spans="2:3">
      <c r="B3663" s="252"/>
      <c r="C3663" s="268"/>
    </row>
    <row r="3664" spans="2:3">
      <c r="B3664" s="252"/>
      <c r="C3664" s="268"/>
    </row>
    <row r="3665" spans="2:3">
      <c r="B3665" s="252"/>
      <c r="C3665" s="268"/>
    </row>
    <row r="3666" spans="2:3">
      <c r="B3666" s="252"/>
      <c r="C3666" s="268"/>
    </row>
    <row r="3667" spans="2:3">
      <c r="B3667" s="252"/>
      <c r="C3667" s="268"/>
    </row>
    <row r="3668" spans="2:3">
      <c r="B3668" s="252"/>
      <c r="C3668" s="268"/>
    </row>
    <row r="3669" spans="2:3">
      <c r="B3669" s="252"/>
      <c r="C3669" s="268"/>
    </row>
    <row r="3670" spans="2:3">
      <c r="B3670" s="252"/>
      <c r="C3670" s="268"/>
    </row>
    <row r="3671" spans="2:3">
      <c r="B3671" s="252"/>
      <c r="C3671" s="268"/>
    </row>
    <row r="3672" spans="2:3">
      <c r="B3672" s="252"/>
      <c r="C3672" s="268"/>
    </row>
    <row r="3673" spans="2:3">
      <c r="B3673" s="252"/>
      <c r="C3673" s="268"/>
    </row>
    <row r="3674" spans="2:3">
      <c r="B3674" s="252"/>
      <c r="C3674" s="268"/>
    </row>
    <row r="3675" spans="2:3">
      <c r="B3675" s="252"/>
      <c r="C3675" s="268"/>
    </row>
    <row r="3676" spans="2:3">
      <c r="B3676" s="252"/>
      <c r="C3676" s="268"/>
    </row>
    <row r="3677" spans="2:3">
      <c r="B3677" s="252"/>
      <c r="C3677" s="268"/>
    </row>
    <row r="3678" spans="2:3">
      <c r="B3678" s="252"/>
      <c r="C3678" s="268"/>
    </row>
    <row r="3679" spans="2:3">
      <c r="B3679" s="252"/>
      <c r="C3679" s="268"/>
    </row>
    <row r="3680" spans="2:3">
      <c r="B3680" s="252"/>
      <c r="C3680" s="268"/>
    </row>
    <row r="3681" spans="2:3">
      <c r="B3681" s="252"/>
      <c r="C3681" s="268"/>
    </row>
    <row r="3682" spans="2:3">
      <c r="B3682" s="252"/>
      <c r="C3682" s="268"/>
    </row>
    <row r="3683" spans="2:3">
      <c r="B3683" s="252"/>
      <c r="C3683" s="268"/>
    </row>
    <row r="3684" spans="2:3">
      <c r="B3684" s="252"/>
      <c r="C3684" s="268"/>
    </row>
    <row r="3685" spans="2:3">
      <c r="B3685" s="252"/>
      <c r="C3685" s="268"/>
    </row>
    <row r="3686" spans="2:3">
      <c r="B3686" s="252"/>
      <c r="C3686" s="268"/>
    </row>
    <row r="3687" spans="2:3">
      <c r="B3687" s="252"/>
      <c r="C3687" s="268"/>
    </row>
    <row r="3688" spans="2:3">
      <c r="B3688" s="252"/>
      <c r="C3688" s="268"/>
    </row>
    <row r="3689" spans="2:3">
      <c r="B3689" s="252"/>
      <c r="C3689" s="268"/>
    </row>
    <row r="3690" spans="2:3">
      <c r="B3690" s="252"/>
      <c r="C3690" s="268"/>
    </row>
    <row r="3691" spans="2:3">
      <c r="B3691" s="252"/>
      <c r="C3691" s="268"/>
    </row>
    <row r="3692" spans="2:3">
      <c r="B3692" s="252"/>
      <c r="C3692" s="268"/>
    </row>
    <row r="3693" spans="2:3">
      <c r="B3693" s="252"/>
      <c r="C3693" s="268"/>
    </row>
    <row r="3694" spans="2:3">
      <c r="B3694" s="252"/>
      <c r="C3694" s="268"/>
    </row>
    <row r="3695" spans="2:3">
      <c r="B3695" s="252"/>
      <c r="C3695" s="268"/>
    </row>
    <row r="3696" spans="2:3">
      <c r="B3696" s="252"/>
      <c r="C3696" s="268"/>
    </row>
    <row r="3697" spans="2:3">
      <c r="B3697" s="252"/>
      <c r="C3697" s="268"/>
    </row>
    <row r="3698" spans="2:3">
      <c r="B3698" s="252"/>
      <c r="C3698" s="268"/>
    </row>
    <row r="3699" spans="2:3">
      <c r="B3699" s="252"/>
      <c r="C3699" s="268"/>
    </row>
    <row r="3700" spans="2:3">
      <c r="B3700" s="252"/>
      <c r="C3700" s="268"/>
    </row>
    <row r="3701" spans="2:3">
      <c r="B3701" s="252"/>
      <c r="C3701" s="268"/>
    </row>
    <row r="3702" spans="2:3">
      <c r="B3702" s="252"/>
      <c r="C3702" s="268"/>
    </row>
    <row r="3703" spans="2:3">
      <c r="B3703" s="252"/>
      <c r="C3703" s="268"/>
    </row>
    <row r="3704" spans="2:3">
      <c r="B3704" s="252"/>
      <c r="C3704" s="268"/>
    </row>
    <row r="3705" spans="2:3">
      <c r="B3705" s="252"/>
      <c r="C3705" s="268"/>
    </row>
    <row r="3706" spans="2:3">
      <c r="B3706" s="252"/>
      <c r="C3706" s="268"/>
    </row>
    <row r="3707" spans="2:3">
      <c r="B3707" s="252"/>
      <c r="C3707" s="268"/>
    </row>
    <row r="3708" spans="2:3">
      <c r="B3708" s="252"/>
      <c r="C3708" s="268"/>
    </row>
    <row r="3709" spans="2:3">
      <c r="B3709" s="252"/>
      <c r="C3709" s="268"/>
    </row>
    <row r="3710" spans="2:3">
      <c r="B3710" s="252"/>
      <c r="C3710" s="268"/>
    </row>
    <row r="3711" spans="2:3">
      <c r="B3711" s="252"/>
      <c r="C3711" s="268"/>
    </row>
    <row r="3712" spans="2:3">
      <c r="B3712" s="252"/>
      <c r="C3712" s="268"/>
    </row>
    <row r="3713" spans="2:3">
      <c r="B3713" s="252"/>
      <c r="C3713" s="268"/>
    </row>
    <row r="3714" spans="2:3">
      <c r="B3714" s="252"/>
      <c r="C3714" s="268"/>
    </row>
    <row r="3715" spans="2:3">
      <c r="B3715" s="252"/>
      <c r="C3715" s="268"/>
    </row>
    <row r="3716" spans="2:3">
      <c r="B3716" s="252"/>
      <c r="C3716" s="268"/>
    </row>
    <row r="3717" spans="2:3">
      <c r="B3717" s="252"/>
      <c r="C3717" s="268"/>
    </row>
    <row r="3718" spans="2:3">
      <c r="B3718" s="252"/>
      <c r="C3718" s="268"/>
    </row>
    <row r="3719" spans="2:3">
      <c r="B3719" s="252"/>
      <c r="C3719" s="268"/>
    </row>
    <row r="3720" spans="2:3">
      <c r="B3720" s="252"/>
      <c r="C3720" s="268"/>
    </row>
    <row r="3721" spans="2:3">
      <c r="B3721" s="252"/>
      <c r="C3721" s="268"/>
    </row>
    <row r="3722" spans="2:3">
      <c r="B3722" s="252"/>
      <c r="C3722" s="268"/>
    </row>
    <row r="3723" spans="2:3">
      <c r="B3723" s="252"/>
      <c r="C3723" s="268"/>
    </row>
    <row r="3724" spans="2:3">
      <c r="B3724" s="252"/>
      <c r="C3724" s="268"/>
    </row>
    <row r="3725" spans="2:3">
      <c r="B3725" s="252"/>
      <c r="C3725" s="268"/>
    </row>
    <row r="3726" spans="2:3">
      <c r="B3726" s="252"/>
      <c r="C3726" s="268"/>
    </row>
    <row r="3727" spans="2:3">
      <c r="B3727" s="252"/>
      <c r="C3727" s="268"/>
    </row>
    <row r="3728" spans="2:3">
      <c r="B3728" s="252"/>
      <c r="C3728" s="268"/>
    </row>
    <row r="3729" spans="2:3">
      <c r="B3729" s="252"/>
      <c r="C3729" s="268"/>
    </row>
    <row r="3730" spans="2:3">
      <c r="B3730" s="252"/>
      <c r="C3730" s="268"/>
    </row>
    <row r="3731" spans="2:3">
      <c r="B3731" s="252"/>
      <c r="C3731" s="268"/>
    </row>
    <row r="3732" spans="2:3">
      <c r="B3732" s="252"/>
      <c r="C3732" s="268"/>
    </row>
    <row r="3733" spans="2:3">
      <c r="B3733" s="252"/>
      <c r="C3733" s="268"/>
    </row>
    <row r="3734" spans="2:3">
      <c r="B3734" s="252"/>
      <c r="C3734" s="268"/>
    </row>
    <row r="3735" spans="2:3">
      <c r="B3735" s="252"/>
      <c r="C3735" s="268"/>
    </row>
    <row r="3736" spans="2:3">
      <c r="B3736" s="252"/>
      <c r="C3736" s="268"/>
    </row>
    <row r="3737" spans="2:3">
      <c r="B3737" s="252"/>
      <c r="C3737" s="268"/>
    </row>
    <row r="3738" spans="2:3">
      <c r="B3738" s="252"/>
      <c r="C3738" s="268"/>
    </row>
    <row r="3739" spans="2:3">
      <c r="B3739" s="252"/>
      <c r="C3739" s="268"/>
    </row>
    <row r="3740" spans="2:3">
      <c r="B3740" s="252"/>
      <c r="C3740" s="268"/>
    </row>
    <row r="3741" spans="2:3">
      <c r="B3741" s="252"/>
      <c r="C3741" s="268"/>
    </row>
    <row r="3742" spans="2:3">
      <c r="B3742" s="252"/>
      <c r="C3742" s="268"/>
    </row>
    <row r="3743" spans="2:3">
      <c r="B3743" s="252"/>
      <c r="C3743" s="268"/>
    </row>
    <row r="3744" spans="2:3">
      <c r="B3744" s="252"/>
      <c r="C3744" s="268"/>
    </row>
    <row r="3745" spans="2:3">
      <c r="B3745" s="252"/>
      <c r="C3745" s="268"/>
    </row>
    <row r="3746" spans="2:3">
      <c r="B3746" s="252"/>
      <c r="C3746" s="268"/>
    </row>
    <row r="3747" spans="2:3">
      <c r="B3747" s="252"/>
      <c r="C3747" s="268"/>
    </row>
    <row r="3748" spans="2:3">
      <c r="B3748" s="252"/>
      <c r="C3748" s="268"/>
    </row>
    <row r="3749" spans="2:3">
      <c r="B3749" s="252"/>
      <c r="C3749" s="268"/>
    </row>
    <row r="3750" spans="2:3">
      <c r="B3750" s="252"/>
      <c r="C3750" s="268"/>
    </row>
    <row r="3751" spans="2:3">
      <c r="B3751" s="252"/>
      <c r="C3751" s="268"/>
    </row>
    <row r="3752" spans="2:3">
      <c r="B3752" s="252"/>
      <c r="C3752" s="268"/>
    </row>
    <row r="3753" spans="2:3">
      <c r="B3753" s="252"/>
      <c r="C3753" s="268"/>
    </row>
    <row r="3754" spans="2:3">
      <c r="B3754" s="252"/>
      <c r="C3754" s="268"/>
    </row>
    <row r="3755" spans="2:3">
      <c r="B3755" s="252"/>
      <c r="C3755" s="268"/>
    </row>
    <row r="3756" spans="2:3">
      <c r="B3756" s="252"/>
      <c r="C3756" s="268"/>
    </row>
    <row r="3757" spans="2:3">
      <c r="B3757" s="252"/>
      <c r="C3757" s="268"/>
    </row>
    <row r="3758" spans="2:3">
      <c r="B3758" s="252"/>
      <c r="C3758" s="268"/>
    </row>
    <row r="3759" spans="2:3">
      <c r="B3759" s="252"/>
      <c r="C3759" s="268"/>
    </row>
    <row r="3760" spans="2:3">
      <c r="B3760" s="252"/>
      <c r="C3760" s="268"/>
    </row>
    <row r="3761" spans="2:3">
      <c r="B3761" s="252"/>
      <c r="C3761" s="268"/>
    </row>
    <row r="3762" spans="2:3">
      <c r="B3762" s="252"/>
      <c r="C3762" s="268"/>
    </row>
    <row r="3763" spans="2:3">
      <c r="B3763" s="252"/>
      <c r="C3763" s="268"/>
    </row>
    <row r="3764" spans="2:3">
      <c r="B3764" s="252"/>
      <c r="C3764" s="268"/>
    </row>
    <row r="3765" spans="2:3">
      <c r="B3765" s="252"/>
      <c r="C3765" s="268"/>
    </row>
    <row r="3766" spans="2:3">
      <c r="B3766" s="252"/>
      <c r="C3766" s="268"/>
    </row>
    <row r="3767" spans="2:3">
      <c r="B3767" s="252"/>
      <c r="C3767" s="268"/>
    </row>
    <row r="3768" spans="2:3">
      <c r="B3768" s="252"/>
      <c r="C3768" s="268"/>
    </row>
    <row r="3769" spans="2:3">
      <c r="B3769" s="252"/>
      <c r="C3769" s="268"/>
    </row>
    <row r="3770" spans="2:3">
      <c r="B3770" s="252"/>
      <c r="C3770" s="268"/>
    </row>
    <row r="3771" spans="2:3">
      <c r="B3771" s="252"/>
      <c r="C3771" s="268"/>
    </row>
    <row r="3772" spans="2:3">
      <c r="B3772" s="252"/>
      <c r="C3772" s="268"/>
    </row>
    <row r="3773" spans="2:3">
      <c r="B3773" s="252"/>
      <c r="C3773" s="268"/>
    </row>
    <row r="3774" spans="2:3">
      <c r="B3774" s="252"/>
      <c r="C3774" s="268"/>
    </row>
    <row r="3775" spans="2:3">
      <c r="B3775" s="252"/>
      <c r="C3775" s="268"/>
    </row>
    <row r="3776" spans="2:3">
      <c r="B3776" s="252"/>
      <c r="C3776" s="268"/>
    </row>
    <row r="3777" spans="2:3">
      <c r="B3777" s="252"/>
      <c r="C3777" s="268"/>
    </row>
    <row r="3778" spans="2:3">
      <c r="B3778" s="252"/>
      <c r="C3778" s="268"/>
    </row>
    <row r="3779" spans="2:3">
      <c r="B3779" s="252"/>
      <c r="C3779" s="268"/>
    </row>
    <row r="3780" spans="2:3">
      <c r="B3780" s="252"/>
      <c r="C3780" s="268"/>
    </row>
    <row r="3781" spans="2:3">
      <c r="B3781" s="252"/>
      <c r="C3781" s="268"/>
    </row>
    <row r="3782" spans="2:3">
      <c r="B3782" s="252"/>
      <c r="C3782" s="268"/>
    </row>
    <row r="3783" spans="2:3">
      <c r="B3783" s="252"/>
      <c r="C3783" s="268"/>
    </row>
    <row r="3784" spans="2:3">
      <c r="B3784" s="252"/>
      <c r="C3784" s="268"/>
    </row>
    <row r="3785" spans="2:3">
      <c r="B3785" s="252"/>
      <c r="C3785" s="268"/>
    </row>
    <row r="3786" spans="2:3">
      <c r="B3786" s="252"/>
      <c r="C3786" s="268"/>
    </row>
    <row r="3787" spans="2:3">
      <c r="B3787" s="252"/>
      <c r="C3787" s="268"/>
    </row>
    <row r="3788" spans="2:3">
      <c r="B3788" s="252"/>
      <c r="C3788" s="268"/>
    </row>
    <row r="3789" spans="2:3">
      <c r="B3789" s="252"/>
      <c r="C3789" s="268"/>
    </row>
    <row r="3790" spans="2:3">
      <c r="B3790" s="252"/>
      <c r="C3790" s="268"/>
    </row>
    <row r="3791" spans="2:3">
      <c r="B3791" s="252"/>
      <c r="C3791" s="268"/>
    </row>
    <row r="3792" spans="2:3">
      <c r="B3792" s="252"/>
      <c r="C3792" s="268"/>
    </row>
    <row r="3793" spans="2:3">
      <c r="B3793" s="252"/>
      <c r="C3793" s="268"/>
    </row>
    <row r="3794" spans="2:3">
      <c r="B3794" s="252"/>
      <c r="C3794" s="268"/>
    </row>
    <row r="3795" spans="2:3">
      <c r="B3795" s="252"/>
      <c r="C3795" s="268"/>
    </row>
    <row r="3796" spans="2:3">
      <c r="B3796" s="252"/>
      <c r="C3796" s="268"/>
    </row>
    <row r="3797" spans="2:3">
      <c r="B3797" s="252"/>
      <c r="C3797" s="268"/>
    </row>
    <row r="3798" spans="2:3">
      <c r="B3798" s="252"/>
      <c r="C3798" s="268"/>
    </row>
    <row r="3799" spans="2:3">
      <c r="B3799" s="252"/>
      <c r="C3799" s="268"/>
    </row>
    <row r="3800" spans="2:3">
      <c r="B3800" s="252"/>
      <c r="C3800" s="268"/>
    </row>
    <row r="3801" spans="2:3">
      <c r="B3801" s="252"/>
      <c r="C3801" s="268"/>
    </row>
    <row r="3802" spans="2:3">
      <c r="B3802" s="252"/>
      <c r="C3802" s="268"/>
    </row>
    <row r="3803" spans="2:3">
      <c r="B3803" s="252"/>
      <c r="C3803" s="268"/>
    </row>
    <row r="3804" spans="2:3">
      <c r="B3804" s="252"/>
      <c r="C3804" s="268"/>
    </row>
    <row r="3805" spans="2:3">
      <c r="B3805" s="252"/>
      <c r="C3805" s="268"/>
    </row>
    <row r="3806" spans="2:3">
      <c r="B3806" s="252"/>
      <c r="C3806" s="268"/>
    </row>
    <row r="3807" spans="2:3">
      <c r="B3807" s="252"/>
      <c r="C3807" s="268"/>
    </row>
    <row r="3808" spans="2:3">
      <c r="B3808" s="252"/>
      <c r="C3808" s="268"/>
    </row>
    <row r="3809" spans="2:3">
      <c r="B3809" s="252"/>
      <c r="C3809" s="268"/>
    </row>
    <row r="3810" spans="2:3">
      <c r="B3810" s="252"/>
      <c r="C3810" s="268"/>
    </row>
    <row r="3811" spans="2:3">
      <c r="B3811" s="252"/>
      <c r="C3811" s="268"/>
    </row>
    <row r="3812" spans="2:3">
      <c r="B3812" s="252"/>
      <c r="C3812" s="268"/>
    </row>
    <row r="3813" spans="2:3">
      <c r="B3813" s="252"/>
      <c r="C3813" s="268"/>
    </row>
    <row r="3814" spans="2:3">
      <c r="B3814" s="252"/>
      <c r="C3814" s="268"/>
    </row>
    <row r="3815" spans="2:3">
      <c r="B3815" s="252"/>
      <c r="C3815" s="268"/>
    </row>
    <row r="3816" spans="2:3">
      <c r="B3816" s="252"/>
      <c r="C3816" s="268"/>
    </row>
    <row r="3817" spans="2:3">
      <c r="B3817" s="252"/>
      <c r="C3817" s="268"/>
    </row>
    <row r="3818" spans="2:3">
      <c r="B3818" s="252"/>
      <c r="C3818" s="268"/>
    </row>
    <row r="3819" spans="2:3">
      <c r="B3819" s="252"/>
      <c r="C3819" s="268"/>
    </row>
    <row r="3820" spans="2:3">
      <c r="B3820" s="252"/>
      <c r="C3820" s="268"/>
    </row>
    <row r="3821" spans="2:3">
      <c r="B3821" s="252"/>
      <c r="C3821" s="268"/>
    </row>
    <row r="3822" spans="2:3">
      <c r="B3822" s="252"/>
      <c r="C3822" s="268"/>
    </row>
    <row r="3823" spans="2:3">
      <c r="B3823" s="252"/>
      <c r="C3823" s="268"/>
    </row>
    <row r="3824" spans="2:3">
      <c r="B3824" s="252"/>
      <c r="C3824" s="268"/>
    </row>
    <row r="3825" spans="2:3">
      <c r="B3825" s="252"/>
      <c r="C3825" s="268"/>
    </row>
    <row r="3826" spans="2:3">
      <c r="B3826" s="252"/>
      <c r="C3826" s="268"/>
    </row>
    <row r="3827" spans="2:3">
      <c r="B3827" s="252"/>
      <c r="C3827" s="268"/>
    </row>
    <row r="3828" spans="2:3">
      <c r="B3828" s="252"/>
      <c r="C3828" s="268"/>
    </row>
    <row r="3829" spans="2:3">
      <c r="B3829" s="252"/>
      <c r="C3829" s="268"/>
    </row>
    <row r="3830" spans="2:3">
      <c r="B3830" s="252"/>
      <c r="C3830" s="268"/>
    </row>
    <row r="3831" spans="2:3">
      <c r="B3831" s="252"/>
      <c r="C3831" s="268"/>
    </row>
    <row r="3832" spans="2:3">
      <c r="B3832" s="252"/>
      <c r="C3832" s="268"/>
    </row>
    <row r="3833" spans="2:3">
      <c r="B3833" s="252"/>
      <c r="C3833" s="268"/>
    </row>
    <row r="3834" spans="2:3">
      <c r="B3834" s="252"/>
      <c r="C3834" s="268"/>
    </row>
    <row r="3835" spans="2:3">
      <c r="B3835" s="252"/>
      <c r="C3835" s="268"/>
    </row>
    <row r="3836" spans="2:3">
      <c r="B3836" s="252"/>
      <c r="C3836" s="268"/>
    </row>
    <row r="3837" spans="2:3">
      <c r="B3837" s="252"/>
      <c r="C3837" s="268"/>
    </row>
    <row r="3838" spans="2:3">
      <c r="B3838" s="252"/>
      <c r="C3838" s="268"/>
    </row>
    <row r="3839" spans="2:3">
      <c r="B3839" s="252"/>
      <c r="C3839" s="268"/>
    </row>
    <row r="3840" spans="2:3">
      <c r="B3840" s="252"/>
      <c r="C3840" s="268"/>
    </row>
    <row r="3841" spans="2:3">
      <c r="B3841" s="252"/>
      <c r="C3841" s="268"/>
    </row>
    <row r="3842" spans="2:3">
      <c r="B3842" s="252"/>
      <c r="C3842" s="268"/>
    </row>
    <row r="3843" spans="2:3">
      <c r="B3843" s="252"/>
      <c r="C3843" s="268"/>
    </row>
    <row r="3844" spans="2:3">
      <c r="B3844" s="252"/>
      <c r="C3844" s="268"/>
    </row>
    <row r="3845" spans="2:3">
      <c r="B3845" s="252"/>
      <c r="C3845" s="268"/>
    </row>
    <row r="3846" spans="2:3">
      <c r="B3846" s="252"/>
      <c r="C3846" s="268"/>
    </row>
    <row r="3847" spans="2:3">
      <c r="B3847" s="252"/>
      <c r="C3847" s="268"/>
    </row>
    <row r="3848" spans="2:3">
      <c r="B3848" s="252"/>
      <c r="C3848" s="268"/>
    </row>
    <row r="3849" spans="2:3">
      <c r="B3849" s="252"/>
      <c r="C3849" s="268"/>
    </row>
    <row r="3850" spans="2:3">
      <c r="B3850" s="252"/>
      <c r="C3850" s="268"/>
    </row>
    <row r="3851" spans="2:3">
      <c r="B3851" s="252"/>
      <c r="C3851" s="268"/>
    </row>
    <row r="3852" spans="2:3">
      <c r="B3852" s="252"/>
      <c r="C3852" s="268"/>
    </row>
    <row r="3853" spans="2:3">
      <c r="B3853" s="252"/>
      <c r="C3853" s="268"/>
    </row>
    <row r="3854" spans="2:3">
      <c r="B3854" s="252"/>
      <c r="C3854" s="268"/>
    </row>
    <row r="3855" spans="2:3">
      <c r="B3855" s="252"/>
      <c r="C3855" s="268"/>
    </row>
    <row r="3856" spans="2:3">
      <c r="B3856" s="252"/>
      <c r="C3856" s="268"/>
    </row>
    <row r="3857" spans="2:3">
      <c r="B3857" s="252"/>
      <c r="C3857" s="268"/>
    </row>
    <row r="3858" spans="2:3">
      <c r="B3858" s="252"/>
      <c r="C3858" s="268"/>
    </row>
    <row r="3859" spans="2:3">
      <c r="B3859" s="252"/>
      <c r="C3859" s="268"/>
    </row>
    <row r="3860" spans="2:3">
      <c r="B3860" s="252"/>
      <c r="C3860" s="268"/>
    </row>
    <row r="3861" spans="2:3">
      <c r="B3861" s="252"/>
      <c r="C3861" s="268"/>
    </row>
    <row r="3862" spans="2:3">
      <c r="B3862" s="252"/>
      <c r="C3862" s="268"/>
    </row>
    <row r="3863" spans="2:3">
      <c r="B3863" s="252"/>
      <c r="C3863" s="268"/>
    </row>
    <row r="3864" spans="2:3">
      <c r="B3864" s="252"/>
      <c r="C3864" s="268"/>
    </row>
    <row r="3865" spans="2:3">
      <c r="B3865" s="252"/>
      <c r="C3865" s="268"/>
    </row>
    <row r="3866" spans="2:3">
      <c r="B3866" s="252"/>
      <c r="C3866" s="268"/>
    </row>
    <row r="3867" spans="2:3">
      <c r="B3867" s="252"/>
      <c r="C3867" s="268"/>
    </row>
    <row r="3868" spans="2:3">
      <c r="B3868" s="252"/>
      <c r="C3868" s="268"/>
    </row>
    <row r="3869" spans="2:3">
      <c r="B3869" s="252"/>
      <c r="C3869" s="268"/>
    </row>
    <row r="3870" spans="2:3">
      <c r="B3870" s="252"/>
      <c r="C3870" s="268"/>
    </row>
    <row r="3871" spans="2:3">
      <c r="B3871" s="252"/>
      <c r="C3871" s="268"/>
    </row>
    <row r="3872" spans="2:3">
      <c r="B3872" s="252"/>
      <c r="C3872" s="268"/>
    </row>
    <row r="3873" spans="2:3">
      <c r="B3873" s="252"/>
      <c r="C3873" s="268"/>
    </row>
    <row r="3874" spans="2:3">
      <c r="B3874" s="252"/>
      <c r="C3874" s="268"/>
    </row>
    <row r="3875" spans="2:3">
      <c r="B3875" s="252"/>
      <c r="C3875" s="268"/>
    </row>
    <row r="3876" spans="2:3">
      <c r="B3876" s="252"/>
      <c r="C3876" s="268"/>
    </row>
    <row r="3877" spans="2:3">
      <c r="B3877" s="252"/>
      <c r="C3877" s="268"/>
    </row>
    <row r="3878" spans="2:3">
      <c r="B3878" s="252"/>
      <c r="C3878" s="268"/>
    </row>
    <row r="3879" spans="2:3">
      <c r="B3879" s="252"/>
      <c r="C3879" s="268"/>
    </row>
    <row r="3880" spans="2:3">
      <c r="B3880" s="252"/>
      <c r="C3880" s="268"/>
    </row>
    <row r="3881" spans="2:3">
      <c r="B3881" s="252"/>
      <c r="C3881" s="268"/>
    </row>
    <row r="3882" spans="2:3">
      <c r="B3882" s="252"/>
      <c r="C3882" s="268"/>
    </row>
    <row r="3883" spans="2:3">
      <c r="B3883" s="252"/>
      <c r="C3883" s="268"/>
    </row>
    <row r="3884" spans="2:3">
      <c r="B3884" s="252"/>
      <c r="C3884" s="268"/>
    </row>
    <row r="3885" spans="2:3">
      <c r="B3885" s="252"/>
      <c r="C3885" s="268"/>
    </row>
    <row r="3886" spans="2:3">
      <c r="B3886" s="252"/>
      <c r="C3886" s="268"/>
    </row>
    <row r="3887" spans="2:3">
      <c r="B3887" s="252"/>
      <c r="C3887" s="268"/>
    </row>
    <row r="3888" spans="2:3">
      <c r="B3888" s="252"/>
      <c r="C3888" s="268"/>
    </row>
    <row r="3889" spans="2:3">
      <c r="B3889" s="252"/>
      <c r="C3889" s="268"/>
    </row>
    <row r="3890" spans="2:3">
      <c r="B3890" s="252"/>
      <c r="C3890" s="268"/>
    </row>
    <row r="3891" spans="2:3">
      <c r="B3891" s="252"/>
      <c r="C3891" s="268"/>
    </row>
    <row r="3892" spans="2:3">
      <c r="B3892" s="252"/>
      <c r="C3892" s="268"/>
    </row>
    <row r="3893" spans="2:3">
      <c r="B3893" s="252"/>
      <c r="C3893" s="268"/>
    </row>
    <row r="3894" spans="2:3">
      <c r="B3894" s="252"/>
      <c r="C3894" s="268"/>
    </row>
    <row r="3895" spans="2:3">
      <c r="B3895" s="252"/>
      <c r="C3895" s="268"/>
    </row>
    <row r="3896" spans="2:3">
      <c r="B3896" s="252"/>
      <c r="C3896" s="268"/>
    </row>
    <row r="3897" spans="2:3">
      <c r="B3897" s="252"/>
      <c r="C3897" s="268"/>
    </row>
    <row r="3898" spans="2:3">
      <c r="B3898" s="252"/>
      <c r="C3898" s="268"/>
    </row>
    <row r="3899" spans="2:3">
      <c r="B3899" s="252"/>
      <c r="C3899" s="268"/>
    </row>
    <row r="3900" spans="2:3">
      <c r="B3900" s="252"/>
      <c r="C3900" s="268"/>
    </row>
    <row r="3901" spans="2:3">
      <c r="B3901" s="252"/>
      <c r="C3901" s="268"/>
    </row>
    <row r="3902" spans="2:3">
      <c r="B3902" s="252"/>
      <c r="C3902" s="268"/>
    </row>
    <row r="3903" spans="2:3">
      <c r="B3903" s="252"/>
      <c r="C3903" s="268"/>
    </row>
    <row r="3904" spans="2:3">
      <c r="B3904" s="252"/>
      <c r="C3904" s="268"/>
    </row>
    <row r="3905" spans="2:3">
      <c r="B3905" s="252"/>
      <c r="C3905" s="268"/>
    </row>
    <row r="3906" spans="2:3">
      <c r="B3906" s="252"/>
      <c r="C3906" s="268"/>
    </row>
    <row r="3907" spans="2:3">
      <c r="B3907" s="252"/>
      <c r="C3907" s="268"/>
    </row>
    <row r="3908" spans="2:3">
      <c r="B3908" s="252"/>
      <c r="C3908" s="268"/>
    </row>
    <row r="3909" spans="2:3">
      <c r="B3909" s="252"/>
      <c r="C3909" s="268"/>
    </row>
    <row r="3910" spans="2:3">
      <c r="B3910" s="252"/>
      <c r="C3910" s="268"/>
    </row>
    <row r="3911" spans="2:3">
      <c r="B3911" s="252"/>
      <c r="C3911" s="268"/>
    </row>
    <row r="3912" spans="2:3">
      <c r="B3912" s="252"/>
      <c r="C3912" s="268"/>
    </row>
    <row r="3913" spans="2:3">
      <c r="B3913" s="252"/>
      <c r="C3913" s="268"/>
    </row>
    <row r="3914" spans="2:3">
      <c r="B3914" s="252"/>
      <c r="C3914" s="268"/>
    </row>
    <row r="3915" spans="2:3">
      <c r="B3915" s="252"/>
      <c r="C3915" s="268"/>
    </row>
    <row r="3916" spans="2:3">
      <c r="B3916" s="252"/>
      <c r="C3916" s="268"/>
    </row>
    <row r="3917" spans="2:3">
      <c r="B3917" s="252"/>
      <c r="C3917" s="268"/>
    </row>
    <row r="3918" spans="2:3">
      <c r="B3918" s="252"/>
      <c r="C3918" s="268"/>
    </row>
    <row r="3919" spans="2:3">
      <c r="B3919" s="252"/>
      <c r="C3919" s="268"/>
    </row>
    <row r="3920" spans="2:3">
      <c r="B3920" s="252"/>
      <c r="C3920" s="268"/>
    </row>
    <row r="3921" spans="2:3">
      <c r="B3921" s="252"/>
      <c r="C3921" s="268"/>
    </row>
    <row r="3922" spans="2:3">
      <c r="B3922" s="252"/>
      <c r="C3922" s="268"/>
    </row>
    <row r="3923" spans="2:3">
      <c r="B3923" s="252"/>
      <c r="C3923" s="268"/>
    </row>
    <row r="3924" spans="2:3">
      <c r="B3924" s="252"/>
      <c r="C3924" s="268"/>
    </row>
    <row r="3925" spans="2:3">
      <c r="B3925" s="252"/>
      <c r="C3925" s="268"/>
    </row>
    <row r="3926" spans="2:3">
      <c r="B3926" s="252"/>
      <c r="C3926" s="268"/>
    </row>
    <row r="3927" spans="2:3">
      <c r="B3927" s="252"/>
      <c r="C3927" s="268"/>
    </row>
    <row r="3928" spans="2:3">
      <c r="B3928" s="252"/>
      <c r="C3928" s="268"/>
    </row>
    <row r="3929" spans="2:3">
      <c r="B3929" s="252"/>
      <c r="C3929" s="268"/>
    </row>
    <row r="3930" spans="2:3">
      <c r="B3930" s="252"/>
      <c r="C3930" s="268"/>
    </row>
    <row r="3931" spans="2:3">
      <c r="B3931" s="252"/>
      <c r="C3931" s="268"/>
    </row>
    <row r="3932" spans="2:3">
      <c r="B3932" s="252"/>
      <c r="C3932" s="268"/>
    </row>
    <row r="3933" spans="2:3">
      <c r="B3933" s="252"/>
      <c r="C3933" s="268"/>
    </row>
    <row r="3934" spans="2:3">
      <c r="B3934" s="252"/>
      <c r="C3934" s="268"/>
    </row>
    <row r="3935" spans="2:3">
      <c r="B3935" s="252"/>
      <c r="C3935" s="268"/>
    </row>
    <row r="3936" spans="2:3">
      <c r="B3936" s="252"/>
      <c r="C3936" s="268"/>
    </row>
    <row r="3937" spans="2:3">
      <c r="B3937" s="252"/>
      <c r="C3937" s="268"/>
    </row>
    <row r="3938" spans="2:3">
      <c r="B3938" s="252"/>
      <c r="C3938" s="268"/>
    </row>
    <row r="3939" spans="2:3">
      <c r="B3939" s="252"/>
      <c r="C3939" s="268"/>
    </row>
    <row r="3940" spans="2:3">
      <c r="B3940" s="252"/>
      <c r="C3940" s="268"/>
    </row>
    <row r="3941" spans="2:3">
      <c r="B3941" s="252"/>
      <c r="C3941" s="268"/>
    </row>
    <row r="3942" spans="2:3">
      <c r="B3942" s="252"/>
      <c r="C3942" s="268"/>
    </row>
    <row r="3943" spans="2:3">
      <c r="B3943" s="252"/>
      <c r="C3943" s="268"/>
    </row>
    <row r="3944" spans="2:3">
      <c r="B3944" s="252"/>
      <c r="C3944" s="268"/>
    </row>
    <row r="3945" spans="2:3">
      <c r="B3945" s="252"/>
      <c r="C3945" s="268"/>
    </row>
    <row r="3946" spans="2:3">
      <c r="B3946" s="252"/>
      <c r="C3946" s="268"/>
    </row>
    <row r="3947" spans="2:3">
      <c r="B3947" s="252"/>
      <c r="C3947" s="268"/>
    </row>
    <row r="3948" spans="2:3">
      <c r="B3948" s="252"/>
      <c r="C3948" s="268"/>
    </row>
    <row r="3949" spans="2:3">
      <c r="B3949" s="252"/>
      <c r="C3949" s="268"/>
    </row>
    <row r="3950" spans="2:3">
      <c r="B3950" s="252"/>
      <c r="C3950" s="268"/>
    </row>
    <row r="3951" spans="2:3">
      <c r="B3951" s="252"/>
      <c r="C3951" s="268"/>
    </row>
    <row r="3952" spans="2:3">
      <c r="B3952" s="252"/>
      <c r="C3952" s="268"/>
    </row>
    <row r="3953" spans="2:3">
      <c r="B3953" s="252"/>
      <c r="C3953" s="268"/>
    </row>
    <row r="3954" spans="2:3">
      <c r="B3954" s="252"/>
      <c r="C3954" s="268"/>
    </row>
    <row r="3955" spans="2:3">
      <c r="B3955" s="252"/>
      <c r="C3955" s="268"/>
    </row>
    <row r="3956" spans="2:3">
      <c r="B3956" s="252"/>
      <c r="C3956" s="268"/>
    </row>
    <row r="3957" spans="2:3">
      <c r="B3957" s="252"/>
      <c r="C3957" s="268"/>
    </row>
    <row r="3958" spans="2:3">
      <c r="B3958" s="252"/>
      <c r="C3958" s="268"/>
    </row>
    <row r="3959" spans="2:3">
      <c r="B3959" s="252"/>
      <c r="C3959" s="268"/>
    </row>
    <row r="3960" spans="2:3">
      <c r="B3960" s="252"/>
      <c r="C3960" s="268"/>
    </row>
    <row r="3961" spans="2:3">
      <c r="B3961" s="252"/>
      <c r="C3961" s="268"/>
    </row>
    <row r="3962" spans="2:3">
      <c r="B3962" s="252"/>
      <c r="C3962" s="268"/>
    </row>
    <row r="3963" spans="2:3">
      <c r="B3963" s="252"/>
      <c r="C3963" s="268"/>
    </row>
    <row r="3964" spans="2:3">
      <c r="B3964" s="252"/>
      <c r="C3964" s="268"/>
    </row>
    <row r="3965" spans="2:3">
      <c r="B3965" s="252"/>
      <c r="C3965" s="268"/>
    </row>
    <row r="3966" spans="2:3">
      <c r="B3966" s="252"/>
      <c r="C3966" s="268"/>
    </row>
    <row r="3967" spans="2:3">
      <c r="B3967" s="252"/>
      <c r="C3967" s="268"/>
    </row>
    <row r="3968" spans="2:3">
      <c r="B3968" s="252"/>
      <c r="C3968" s="268"/>
    </row>
    <row r="3969" spans="2:3">
      <c r="B3969" s="252"/>
      <c r="C3969" s="268"/>
    </row>
    <row r="3970" spans="2:3">
      <c r="B3970" s="252"/>
      <c r="C3970" s="268"/>
    </row>
    <row r="3971" spans="2:3">
      <c r="B3971" s="252"/>
      <c r="C3971" s="268"/>
    </row>
    <row r="3972" spans="2:3">
      <c r="B3972" s="252"/>
      <c r="C3972" s="268"/>
    </row>
    <row r="3973" spans="2:3">
      <c r="B3973" s="252"/>
      <c r="C3973" s="268"/>
    </row>
    <row r="3974" spans="2:3">
      <c r="B3974" s="252"/>
      <c r="C3974" s="268"/>
    </row>
    <row r="3975" spans="2:3">
      <c r="B3975" s="252"/>
      <c r="C3975" s="268"/>
    </row>
    <row r="3976" spans="2:3">
      <c r="B3976" s="252"/>
      <c r="C3976" s="268"/>
    </row>
    <row r="3977" spans="2:3">
      <c r="B3977" s="252"/>
      <c r="C3977" s="268"/>
    </row>
    <row r="3978" spans="2:3">
      <c r="B3978" s="252"/>
      <c r="C3978" s="268"/>
    </row>
    <row r="3979" spans="2:3">
      <c r="B3979" s="252"/>
      <c r="C3979" s="268"/>
    </row>
    <row r="3980" spans="2:3">
      <c r="B3980" s="252"/>
      <c r="C3980" s="268"/>
    </row>
    <row r="3981" spans="2:3">
      <c r="B3981" s="252"/>
      <c r="C3981" s="268"/>
    </row>
    <row r="3982" spans="2:3">
      <c r="B3982" s="252"/>
      <c r="C3982" s="268"/>
    </row>
    <row r="3983" spans="2:3">
      <c r="B3983" s="252"/>
      <c r="C3983" s="268"/>
    </row>
    <row r="3984" spans="2:3">
      <c r="B3984" s="252"/>
      <c r="C3984" s="268"/>
    </row>
    <row r="3985" spans="2:3">
      <c r="B3985" s="252"/>
      <c r="C3985" s="268"/>
    </row>
    <row r="3986" spans="2:3">
      <c r="B3986" s="252"/>
      <c r="C3986" s="268"/>
    </row>
    <row r="3987" spans="2:3">
      <c r="B3987" s="252"/>
      <c r="C3987" s="268"/>
    </row>
    <row r="3988" spans="2:3">
      <c r="B3988" s="252"/>
      <c r="C3988" s="268"/>
    </row>
    <row r="3989" spans="2:3">
      <c r="B3989" s="252"/>
      <c r="C3989" s="268"/>
    </row>
    <row r="3990" spans="2:3">
      <c r="B3990" s="252"/>
      <c r="C3990" s="268"/>
    </row>
    <row r="3991" spans="2:3">
      <c r="B3991" s="252"/>
      <c r="C3991" s="268"/>
    </row>
    <row r="3992" spans="2:3">
      <c r="B3992" s="252"/>
      <c r="C3992" s="268"/>
    </row>
    <row r="3993" spans="2:3">
      <c r="B3993" s="252"/>
      <c r="C3993" s="268"/>
    </row>
    <row r="3994" spans="2:3">
      <c r="B3994" s="252"/>
      <c r="C3994" s="268"/>
    </row>
    <row r="3995" spans="2:3">
      <c r="B3995" s="252"/>
      <c r="C3995" s="268"/>
    </row>
    <row r="3996" spans="2:3">
      <c r="B3996" s="252"/>
      <c r="C3996" s="268"/>
    </row>
    <row r="3997" spans="2:3">
      <c r="B3997" s="252"/>
      <c r="C3997" s="268"/>
    </row>
    <row r="3998" spans="2:3">
      <c r="B3998" s="252"/>
      <c r="C3998" s="268"/>
    </row>
    <row r="3999" spans="2:3">
      <c r="B3999" s="252"/>
      <c r="C3999" s="268"/>
    </row>
    <row r="4000" spans="2:3">
      <c r="B4000" s="252"/>
      <c r="C4000" s="268"/>
    </row>
    <row r="4001" spans="2:3">
      <c r="B4001" s="252"/>
      <c r="C4001" s="268"/>
    </row>
    <row r="4002" spans="2:3">
      <c r="B4002" s="252"/>
      <c r="C4002" s="268"/>
    </row>
    <row r="4003" spans="2:3">
      <c r="B4003" s="252"/>
      <c r="C4003" s="268"/>
    </row>
    <row r="4004" spans="2:3">
      <c r="B4004" s="252"/>
      <c r="C4004" s="268"/>
    </row>
    <row r="4005" spans="2:3">
      <c r="B4005" s="252"/>
      <c r="C4005" s="268"/>
    </row>
    <row r="4006" spans="2:3">
      <c r="B4006" s="252"/>
      <c r="C4006" s="268"/>
    </row>
    <row r="4007" spans="2:3">
      <c r="B4007" s="252"/>
      <c r="C4007" s="268"/>
    </row>
    <row r="4008" spans="2:3">
      <c r="B4008" s="252"/>
      <c r="C4008" s="268"/>
    </row>
    <row r="4009" spans="2:3">
      <c r="B4009" s="252"/>
      <c r="C4009" s="268"/>
    </row>
    <row r="4010" spans="2:3">
      <c r="B4010" s="252"/>
      <c r="C4010" s="268"/>
    </row>
    <row r="4011" spans="2:3">
      <c r="B4011" s="252"/>
      <c r="C4011" s="268"/>
    </row>
    <row r="4012" spans="2:3">
      <c r="B4012" s="252"/>
      <c r="C4012" s="268"/>
    </row>
    <row r="4013" spans="2:3">
      <c r="B4013" s="252"/>
      <c r="C4013" s="268"/>
    </row>
    <row r="4014" spans="2:3">
      <c r="B4014" s="252"/>
      <c r="C4014" s="268"/>
    </row>
    <row r="4015" spans="2:3">
      <c r="B4015" s="252"/>
      <c r="C4015" s="268"/>
    </row>
    <row r="4016" spans="2:3">
      <c r="B4016" s="252"/>
      <c r="C4016" s="268"/>
    </row>
    <row r="4017" spans="2:3">
      <c r="B4017" s="252"/>
      <c r="C4017" s="268"/>
    </row>
    <row r="4018" spans="2:3">
      <c r="B4018" s="252"/>
      <c r="C4018" s="268"/>
    </row>
    <row r="4019" spans="2:3">
      <c r="B4019" s="252"/>
      <c r="C4019" s="268"/>
    </row>
    <row r="4020" spans="2:3">
      <c r="B4020" s="252"/>
      <c r="C4020" s="268"/>
    </row>
    <row r="4021" spans="2:3">
      <c r="B4021" s="252"/>
      <c r="C4021" s="268"/>
    </row>
    <row r="4022" spans="2:3">
      <c r="B4022" s="252"/>
      <c r="C4022" s="268"/>
    </row>
    <row r="4023" spans="2:3">
      <c r="B4023" s="252"/>
      <c r="C4023" s="268"/>
    </row>
    <row r="4024" spans="2:3">
      <c r="B4024" s="252"/>
      <c r="C4024" s="268"/>
    </row>
    <row r="4025" spans="2:3">
      <c r="B4025" s="252"/>
      <c r="C4025" s="268"/>
    </row>
    <row r="4026" spans="2:3">
      <c r="B4026" s="252"/>
      <c r="C4026" s="268"/>
    </row>
    <row r="4027" spans="2:3">
      <c r="B4027" s="252"/>
      <c r="C4027" s="268"/>
    </row>
    <row r="4028" spans="2:3">
      <c r="B4028" s="252"/>
      <c r="C4028" s="268"/>
    </row>
    <row r="4029" spans="2:3">
      <c r="B4029" s="252"/>
      <c r="C4029" s="268"/>
    </row>
    <row r="4030" spans="2:3">
      <c r="B4030" s="252"/>
      <c r="C4030" s="268"/>
    </row>
    <row r="4031" spans="2:3">
      <c r="B4031" s="252"/>
      <c r="C4031" s="268"/>
    </row>
    <row r="4032" spans="2:3">
      <c r="B4032" s="252"/>
      <c r="C4032" s="268"/>
    </row>
    <row r="4033" spans="2:3">
      <c r="B4033" s="252"/>
      <c r="C4033" s="268"/>
    </row>
    <row r="4034" spans="2:3">
      <c r="B4034" s="252"/>
      <c r="C4034" s="268"/>
    </row>
    <row r="4035" spans="2:3">
      <c r="B4035" s="252"/>
      <c r="C4035" s="268"/>
    </row>
    <row r="4036" spans="2:3">
      <c r="B4036" s="252"/>
      <c r="C4036" s="268"/>
    </row>
    <row r="4037" spans="2:3">
      <c r="B4037" s="252"/>
      <c r="C4037" s="268"/>
    </row>
    <row r="4038" spans="2:3">
      <c r="B4038" s="252"/>
      <c r="C4038" s="268"/>
    </row>
    <row r="4039" spans="2:3">
      <c r="B4039" s="252"/>
      <c r="C4039" s="268"/>
    </row>
    <row r="4040" spans="2:3">
      <c r="B4040" s="252"/>
      <c r="C4040" s="268"/>
    </row>
    <row r="4041" spans="2:3">
      <c r="B4041" s="252"/>
      <c r="C4041" s="268"/>
    </row>
    <row r="4042" spans="2:3">
      <c r="B4042" s="252"/>
      <c r="C4042" s="268"/>
    </row>
    <row r="4043" spans="2:3">
      <c r="B4043" s="252"/>
      <c r="C4043" s="268"/>
    </row>
    <row r="4044" spans="2:3">
      <c r="B4044" s="252"/>
      <c r="C4044" s="268"/>
    </row>
    <row r="4045" spans="2:3">
      <c r="B4045" s="252"/>
      <c r="C4045" s="268"/>
    </row>
    <row r="4046" spans="2:3">
      <c r="B4046" s="252"/>
      <c r="C4046" s="268"/>
    </row>
    <row r="4047" spans="2:3">
      <c r="B4047" s="252"/>
      <c r="C4047" s="268"/>
    </row>
    <row r="4048" spans="2:3">
      <c r="B4048" s="252"/>
      <c r="C4048" s="268"/>
    </row>
    <row r="4049" spans="2:3">
      <c r="B4049" s="252"/>
      <c r="C4049" s="268"/>
    </row>
    <row r="4050" spans="2:3">
      <c r="B4050" s="252"/>
      <c r="C4050" s="268"/>
    </row>
    <row r="4051" spans="2:3">
      <c r="B4051" s="252"/>
      <c r="C4051" s="268"/>
    </row>
    <row r="4052" spans="2:3">
      <c r="B4052" s="252"/>
      <c r="C4052" s="268"/>
    </row>
    <row r="4053" spans="2:3">
      <c r="B4053" s="252"/>
      <c r="C4053" s="268"/>
    </row>
    <row r="4054" spans="2:3">
      <c r="B4054" s="252"/>
      <c r="C4054" s="268"/>
    </row>
    <row r="4055" spans="2:3">
      <c r="B4055" s="252"/>
      <c r="C4055" s="268"/>
    </row>
    <row r="4056" spans="2:3">
      <c r="B4056" s="252"/>
      <c r="C4056" s="268"/>
    </row>
    <row r="4057" spans="2:3">
      <c r="B4057" s="252"/>
      <c r="C4057" s="268"/>
    </row>
    <row r="4058" spans="2:3">
      <c r="B4058" s="252"/>
      <c r="C4058" s="268"/>
    </row>
    <row r="4059" spans="2:3">
      <c r="B4059" s="252"/>
      <c r="C4059" s="268"/>
    </row>
    <row r="4060" spans="2:3">
      <c r="B4060" s="252"/>
      <c r="C4060" s="268"/>
    </row>
    <row r="4061" spans="2:3">
      <c r="B4061" s="252"/>
      <c r="C4061" s="268"/>
    </row>
    <row r="4062" spans="2:3">
      <c r="B4062" s="252"/>
      <c r="C4062" s="268"/>
    </row>
    <row r="4063" spans="2:3">
      <c r="B4063" s="252"/>
      <c r="C4063" s="268"/>
    </row>
    <row r="4064" spans="2:3">
      <c r="B4064" s="252"/>
      <c r="C4064" s="268"/>
    </row>
    <row r="4065" spans="2:3">
      <c r="B4065" s="252"/>
      <c r="C4065" s="268"/>
    </row>
    <row r="4066" spans="2:3">
      <c r="B4066" s="252"/>
      <c r="C4066" s="268"/>
    </row>
    <row r="4067" spans="2:3">
      <c r="B4067" s="252"/>
      <c r="C4067" s="268"/>
    </row>
    <row r="4068" spans="2:3">
      <c r="B4068" s="252"/>
      <c r="C4068" s="268"/>
    </row>
    <row r="4069" spans="2:3">
      <c r="B4069" s="252"/>
      <c r="C4069" s="268"/>
    </row>
    <row r="4070" spans="2:3">
      <c r="B4070" s="252"/>
      <c r="C4070" s="268"/>
    </row>
    <row r="4071" spans="2:3">
      <c r="B4071" s="252"/>
      <c r="C4071" s="268"/>
    </row>
    <row r="4072" spans="2:3">
      <c r="B4072" s="252"/>
      <c r="C4072" s="268"/>
    </row>
    <row r="4073" spans="2:3">
      <c r="B4073" s="252"/>
      <c r="C4073" s="268"/>
    </row>
    <row r="4074" spans="2:3">
      <c r="B4074" s="252"/>
      <c r="C4074" s="268"/>
    </row>
    <row r="4075" spans="2:3">
      <c r="B4075" s="252"/>
      <c r="C4075" s="268"/>
    </row>
    <row r="4076" spans="2:3">
      <c r="B4076" s="252"/>
      <c r="C4076" s="268"/>
    </row>
    <row r="4077" spans="2:3">
      <c r="B4077" s="252"/>
      <c r="C4077" s="268"/>
    </row>
    <row r="4078" spans="2:3">
      <c r="B4078" s="252"/>
      <c r="C4078" s="268"/>
    </row>
    <row r="4079" spans="2:3">
      <c r="B4079" s="252"/>
      <c r="C4079" s="268"/>
    </row>
    <row r="4080" spans="2:3">
      <c r="B4080" s="252"/>
      <c r="C4080" s="268"/>
    </row>
    <row r="4081" spans="2:3">
      <c r="B4081" s="252"/>
      <c r="C4081" s="268"/>
    </row>
    <row r="4082" spans="2:3">
      <c r="B4082" s="252"/>
      <c r="C4082" s="268"/>
    </row>
    <row r="4083" spans="2:3">
      <c r="B4083" s="252"/>
      <c r="C4083" s="268"/>
    </row>
    <row r="4084" spans="2:3">
      <c r="B4084" s="252"/>
      <c r="C4084" s="268"/>
    </row>
    <row r="4085" spans="2:3">
      <c r="B4085" s="252"/>
      <c r="C4085" s="268"/>
    </row>
    <row r="4086" spans="2:3">
      <c r="B4086" s="252"/>
      <c r="C4086" s="268"/>
    </row>
    <row r="4087" spans="2:3">
      <c r="B4087" s="252"/>
      <c r="C4087" s="268"/>
    </row>
    <row r="4088" spans="2:3">
      <c r="B4088" s="252"/>
      <c r="C4088" s="268"/>
    </row>
    <row r="4089" spans="2:3">
      <c r="B4089" s="252"/>
      <c r="C4089" s="268"/>
    </row>
    <row r="4090" spans="2:3">
      <c r="B4090" s="252"/>
      <c r="C4090" s="268"/>
    </row>
    <row r="4091" spans="2:3">
      <c r="B4091" s="252"/>
      <c r="C4091" s="268"/>
    </row>
    <row r="4092" spans="2:3">
      <c r="B4092" s="252"/>
      <c r="C4092" s="268"/>
    </row>
    <row r="4093" spans="2:3">
      <c r="B4093" s="252"/>
      <c r="C4093" s="268"/>
    </row>
    <row r="4094" spans="2:3">
      <c r="B4094" s="252"/>
      <c r="C4094" s="268"/>
    </row>
    <row r="4095" spans="2:3">
      <c r="B4095" s="252"/>
      <c r="C4095" s="268"/>
    </row>
    <row r="4096" spans="2:3">
      <c r="B4096" s="252"/>
      <c r="C4096" s="268"/>
    </row>
    <row r="4097" spans="2:3">
      <c r="B4097" s="252"/>
      <c r="C4097" s="268"/>
    </row>
    <row r="4098" spans="2:3">
      <c r="B4098" s="252"/>
      <c r="C4098" s="268"/>
    </row>
    <row r="4099" spans="2:3">
      <c r="B4099" s="252"/>
      <c r="C4099" s="268"/>
    </row>
    <row r="4100" spans="2:3">
      <c r="B4100" s="252"/>
      <c r="C4100" s="268"/>
    </row>
    <row r="4101" spans="2:3">
      <c r="B4101" s="252"/>
      <c r="C4101" s="268"/>
    </row>
    <row r="4102" spans="2:3">
      <c r="B4102" s="252"/>
      <c r="C4102" s="268"/>
    </row>
    <row r="4103" spans="2:3">
      <c r="B4103" s="252"/>
      <c r="C4103" s="268"/>
    </row>
    <row r="4104" spans="2:3">
      <c r="B4104" s="252"/>
      <c r="C4104" s="268"/>
    </row>
    <row r="4105" spans="2:3">
      <c r="B4105" s="252"/>
      <c r="C4105" s="268"/>
    </row>
    <row r="4106" spans="2:3">
      <c r="B4106" s="252"/>
      <c r="C4106" s="268"/>
    </row>
    <row r="4107" spans="2:3">
      <c r="B4107" s="252"/>
      <c r="C4107" s="268"/>
    </row>
    <row r="4108" spans="2:3">
      <c r="B4108" s="252"/>
      <c r="C4108" s="268"/>
    </row>
    <row r="4109" spans="2:3">
      <c r="B4109" s="252"/>
      <c r="C4109" s="268"/>
    </row>
    <row r="4110" spans="2:3">
      <c r="B4110" s="252"/>
      <c r="C4110" s="268"/>
    </row>
    <row r="4111" spans="2:3">
      <c r="B4111" s="252"/>
      <c r="C4111" s="268"/>
    </row>
    <row r="4112" spans="2:3">
      <c r="B4112" s="252"/>
      <c r="C4112" s="268"/>
    </row>
    <row r="4113" spans="2:3">
      <c r="B4113" s="252"/>
      <c r="C4113" s="268"/>
    </row>
    <row r="4114" spans="2:3">
      <c r="B4114" s="252"/>
      <c r="C4114" s="268"/>
    </row>
    <row r="4115" spans="2:3">
      <c r="B4115" s="252"/>
      <c r="C4115" s="268"/>
    </row>
    <row r="4116" spans="2:3">
      <c r="B4116" s="252"/>
      <c r="C4116" s="268"/>
    </row>
    <row r="4117" spans="2:3">
      <c r="B4117" s="252"/>
      <c r="C4117" s="268"/>
    </row>
    <row r="4118" spans="2:3">
      <c r="B4118" s="252"/>
      <c r="C4118" s="268"/>
    </row>
    <row r="4119" spans="2:3">
      <c r="B4119" s="252"/>
      <c r="C4119" s="268"/>
    </row>
    <row r="4120" spans="2:3">
      <c r="B4120" s="252"/>
      <c r="C4120" s="268"/>
    </row>
    <row r="4121" spans="2:3">
      <c r="B4121" s="252"/>
      <c r="C4121" s="268"/>
    </row>
    <row r="4122" spans="2:3">
      <c r="B4122" s="252"/>
      <c r="C4122" s="268"/>
    </row>
    <row r="4123" spans="2:3">
      <c r="B4123" s="252"/>
      <c r="C4123" s="268"/>
    </row>
    <row r="4124" spans="2:3">
      <c r="B4124" s="252"/>
      <c r="C4124" s="268"/>
    </row>
    <row r="4125" spans="2:3">
      <c r="B4125" s="252"/>
      <c r="C4125" s="268"/>
    </row>
    <row r="4126" spans="2:3">
      <c r="B4126" s="252"/>
      <c r="C4126" s="268"/>
    </row>
    <row r="4127" spans="2:3">
      <c r="B4127" s="252"/>
      <c r="C4127" s="268"/>
    </row>
    <row r="4128" spans="2:3">
      <c r="B4128" s="252"/>
      <c r="C4128" s="268"/>
    </row>
    <row r="4129" spans="2:3">
      <c r="B4129" s="252"/>
      <c r="C4129" s="268"/>
    </row>
    <row r="4130" spans="2:3">
      <c r="B4130" s="252"/>
      <c r="C4130" s="268"/>
    </row>
    <row r="4131" spans="2:3">
      <c r="B4131" s="252"/>
      <c r="C4131" s="268"/>
    </row>
    <row r="4132" spans="2:3">
      <c r="B4132" s="252"/>
      <c r="C4132" s="268"/>
    </row>
    <row r="4133" spans="2:3">
      <c r="B4133" s="252"/>
      <c r="C4133" s="268"/>
    </row>
    <row r="4134" spans="2:3">
      <c r="B4134" s="252"/>
      <c r="C4134" s="268"/>
    </row>
    <row r="4135" spans="2:3">
      <c r="B4135" s="252"/>
      <c r="C4135" s="268"/>
    </row>
    <row r="4136" spans="2:3">
      <c r="B4136" s="252"/>
      <c r="C4136" s="268"/>
    </row>
    <row r="4137" spans="2:3">
      <c r="B4137" s="252"/>
      <c r="C4137" s="268"/>
    </row>
    <row r="4138" spans="2:3">
      <c r="B4138" s="252"/>
      <c r="C4138" s="268"/>
    </row>
    <row r="4139" spans="2:3">
      <c r="B4139" s="252"/>
      <c r="C4139" s="268"/>
    </row>
    <row r="4140" spans="2:3">
      <c r="B4140" s="252"/>
      <c r="C4140" s="268"/>
    </row>
    <row r="4141" spans="2:3">
      <c r="B4141" s="252"/>
      <c r="C4141" s="268"/>
    </row>
    <row r="4142" spans="2:3">
      <c r="B4142" s="252"/>
      <c r="C4142" s="268"/>
    </row>
    <row r="4143" spans="2:3">
      <c r="B4143" s="252"/>
      <c r="C4143" s="268"/>
    </row>
    <row r="4144" spans="2:3">
      <c r="B4144" s="252"/>
      <c r="C4144" s="268"/>
    </row>
    <row r="4145" spans="2:3">
      <c r="B4145" s="252"/>
      <c r="C4145" s="268"/>
    </row>
    <row r="4146" spans="2:3">
      <c r="B4146" s="252"/>
      <c r="C4146" s="268"/>
    </row>
    <row r="4147" spans="2:3">
      <c r="B4147" s="252"/>
      <c r="C4147" s="268"/>
    </row>
    <row r="4148" spans="2:3">
      <c r="B4148" s="252"/>
      <c r="C4148" s="268"/>
    </row>
    <row r="4149" spans="2:3">
      <c r="B4149" s="252"/>
      <c r="C4149" s="268"/>
    </row>
    <row r="4150" spans="2:3">
      <c r="B4150" s="252"/>
      <c r="C4150" s="268"/>
    </row>
    <row r="4151" spans="2:3">
      <c r="B4151" s="252"/>
      <c r="C4151" s="268"/>
    </row>
    <row r="4152" spans="2:3">
      <c r="B4152" s="252"/>
      <c r="C4152" s="268"/>
    </row>
    <row r="4153" spans="2:3">
      <c r="B4153" s="252"/>
      <c r="C4153" s="268"/>
    </row>
    <row r="4154" spans="2:3">
      <c r="B4154" s="252"/>
      <c r="C4154" s="268"/>
    </row>
    <row r="4155" spans="2:3">
      <c r="B4155" s="252"/>
      <c r="C4155" s="268"/>
    </row>
    <row r="4156" spans="2:3">
      <c r="B4156" s="252"/>
      <c r="C4156" s="268"/>
    </row>
    <row r="4157" spans="2:3">
      <c r="B4157" s="252"/>
      <c r="C4157" s="268"/>
    </row>
    <row r="4158" spans="2:3">
      <c r="B4158" s="252"/>
      <c r="C4158" s="268"/>
    </row>
    <row r="4159" spans="2:3">
      <c r="B4159" s="252"/>
      <c r="C4159" s="268"/>
    </row>
    <row r="4160" spans="2:3">
      <c r="B4160" s="252"/>
      <c r="C4160" s="268"/>
    </row>
    <row r="4161" spans="2:3">
      <c r="B4161" s="252"/>
      <c r="C4161" s="268"/>
    </row>
    <row r="4162" spans="2:3">
      <c r="B4162" s="252"/>
      <c r="C4162" s="268"/>
    </row>
    <row r="4163" spans="2:3">
      <c r="B4163" s="252"/>
      <c r="C4163" s="268"/>
    </row>
    <row r="4164" spans="2:3">
      <c r="B4164" s="252"/>
      <c r="C4164" s="268"/>
    </row>
    <row r="4165" spans="2:3">
      <c r="B4165" s="252"/>
      <c r="C4165" s="268"/>
    </row>
    <row r="4166" spans="2:3">
      <c r="B4166" s="252"/>
      <c r="C4166" s="268"/>
    </row>
    <row r="4167" spans="2:3">
      <c r="B4167" s="252"/>
      <c r="C4167" s="268"/>
    </row>
    <row r="4168" spans="2:3">
      <c r="B4168" s="252"/>
      <c r="C4168" s="268"/>
    </row>
    <row r="4169" spans="2:3">
      <c r="B4169" s="252"/>
      <c r="C4169" s="268"/>
    </row>
    <row r="4170" spans="2:3">
      <c r="B4170" s="252"/>
      <c r="C4170" s="268"/>
    </row>
    <row r="4171" spans="2:3">
      <c r="B4171" s="252"/>
      <c r="C4171" s="268"/>
    </row>
    <row r="4172" spans="2:3">
      <c r="B4172" s="252"/>
      <c r="C4172" s="268"/>
    </row>
    <row r="4173" spans="2:3">
      <c r="B4173" s="252"/>
      <c r="C4173" s="268"/>
    </row>
    <row r="4174" spans="2:3">
      <c r="B4174" s="252"/>
      <c r="C4174" s="268"/>
    </row>
    <row r="4175" spans="2:3">
      <c r="B4175" s="252"/>
      <c r="C4175" s="268"/>
    </row>
    <row r="4176" spans="2:3">
      <c r="B4176" s="252"/>
      <c r="C4176" s="268"/>
    </row>
    <row r="4177" spans="2:3">
      <c r="B4177" s="252"/>
      <c r="C4177" s="268"/>
    </row>
    <row r="4178" spans="2:3">
      <c r="B4178" s="252"/>
      <c r="C4178" s="268"/>
    </row>
    <row r="4179" spans="2:3">
      <c r="B4179" s="252"/>
      <c r="C4179" s="268"/>
    </row>
    <row r="4180" spans="2:3">
      <c r="B4180" s="252"/>
      <c r="C4180" s="268"/>
    </row>
    <row r="4181" spans="2:3">
      <c r="B4181" s="252"/>
      <c r="C4181" s="268"/>
    </row>
    <row r="4182" spans="2:3">
      <c r="B4182" s="252"/>
      <c r="C4182" s="268"/>
    </row>
    <row r="4183" spans="2:3">
      <c r="B4183" s="252"/>
      <c r="C4183" s="268"/>
    </row>
    <row r="4184" spans="2:3">
      <c r="B4184" s="252"/>
      <c r="C4184" s="268"/>
    </row>
    <row r="4185" spans="2:3">
      <c r="B4185" s="252"/>
      <c r="C4185" s="268"/>
    </row>
    <row r="4186" spans="2:3">
      <c r="B4186" s="252"/>
      <c r="C4186" s="268"/>
    </row>
    <row r="4187" spans="2:3">
      <c r="B4187" s="252"/>
      <c r="C4187" s="268"/>
    </row>
    <row r="4188" spans="2:3">
      <c r="B4188" s="252"/>
      <c r="C4188" s="268"/>
    </row>
    <row r="4189" spans="2:3">
      <c r="B4189" s="252"/>
      <c r="C4189" s="268"/>
    </row>
    <row r="4190" spans="2:3">
      <c r="B4190" s="252"/>
      <c r="C4190" s="268"/>
    </row>
    <row r="4191" spans="2:3">
      <c r="B4191" s="252"/>
      <c r="C4191" s="268"/>
    </row>
    <row r="4192" spans="2:3">
      <c r="B4192" s="252"/>
      <c r="C4192" s="268"/>
    </row>
    <row r="4193" spans="2:3">
      <c r="B4193" s="252"/>
      <c r="C4193" s="268"/>
    </row>
    <row r="4194" spans="2:3">
      <c r="B4194" s="252"/>
      <c r="C4194" s="268"/>
    </row>
    <row r="4195" spans="2:3">
      <c r="B4195" s="252"/>
      <c r="C4195" s="268"/>
    </row>
    <row r="4196" spans="2:3">
      <c r="B4196" s="252"/>
      <c r="C4196" s="268"/>
    </row>
    <row r="4197" spans="2:3">
      <c r="B4197" s="252"/>
      <c r="C4197" s="268"/>
    </row>
    <row r="4198" spans="2:3">
      <c r="B4198" s="252"/>
      <c r="C4198" s="268"/>
    </row>
    <row r="4199" spans="2:3">
      <c r="B4199" s="252"/>
      <c r="C4199" s="268"/>
    </row>
    <row r="4200" spans="2:3">
      <c r="B4200" s="252"/>
      <c r="C4200" s="268"/>
    </row>
    <row r="4201" spans="2:3">
      <c r="B4201" s="252"/>
      <c r="C4201" s="268"/>
    </row>
    <row r="4202" spans="2:3">
      <c r="B4202" s="252"/>
      <c r="C4202" s="268"/>
    </row>
    <row r="4203" spans="2:3">
      <c r="B4203" s="252"/>
      <c r="C4203" s="268"/>
    </row>
    <row r="4204" spans="2:3">
      <c r="B4204" s="252"/>
      <c r="C4204" s="268"/>
    </row>
    <row r="4205" spans="2:3">
      <c r="B4205" s="252"/>
      <c r="C4205" s="268"/>
    </row>
    <row r="4206" spans="2:3">
      <c r="B4206" s="252"/>
      <c r="C4206" s="268"/>
    </row>
    <row r="4207" spans="2:3">
      <c r="B4207" s="252"/>
      <c r="C4207" s="268"/>
    </row>
    <row r="4208" spans="2:3">
      <c r="B4208" s="252"/>
      <c r="C4208" s="268"/>
    </row>
    <row r="4209" spans="2:3">
      <c r="B4209" s="252"/>
      <c r="C4209" s="268"/>
    </row>
    <row r="4210" spans="2:3">
      <c r="B4210" s="252"/>
      <c r="C4210" s="268"/>
    </row>
    <row r="4211" spans="2:3">
      <c r="B4211" s="252"/>
      <c r="C4211" s="268"/>
    </row>
    <row r="4212" spans="2:3">
      <c r="B4212" s="252"/>
      <c r="C4212" s="268"/>
    </row>
    <row r="4213" spans="2:3">
      <c r="B4213" s="252"/>
      <c r="C4213" s="268"/>
    </row>
    <row r="4214" spans="2:3">
      <c r="B4214" s="252"/>
      <c r="C4214" s="268"/>
    </row>
    <row r="4215" spans="2:3">
      <c r="B4215" s="252"/>
      <c r="C4215" s="268"/>
    </row>
    <row r="4216" spans="2:3">
      <c r="B4216" s="252"/>
      <c r="C4216" s="268"/>
    </row>
    <row r="4217" spans="2:3">
      <c r="B4217" s="252"/>
      <c r="C4217" s="268"/>
    </row>
    <row r="4218" spans="2:3">
      <c r="B4218" s="252"/>
      <c r="C4218" s="268"/>
    </row>
    <row r="4219" spans="2:3">
      <c r="B4219" s="252"/>
      <c r="C4219" s="268"/>
    </row>
    <row r="4220" spans="2:3">
      <c r="B4220" s="252"/>
      <c r="C4220" s="268"/>
    </row>
    <row r="4221" spans="2:3">
      <c r="B4221" s="252"/>
      <c r="C4221" s="268"/>
    </row>
    <row r="4222" spans="2:3">
      <c r="B4222" s="252"/>
      <c r="C4222" s="268"/>
    </row>
    <row r="4223" spans="2:3">
      <c r="B4223" s="252"/>
      <c r="C4223" s="268"/>
    </row>
    <row r="4224" spans="2:3">
      <c r="B4224" s="252"/>
      <c r="C4224" s="268"/>
    </row>
    <row r="4225" spans="2:3">
      <c r="B4225" s="252"/>
      <c r="C4225" s="268"/>
    </row>
    <row r="4226" spans="2:3">
      <c r="B4226" s="252"/>
      <c r="C4226" s="268"/>
    </row>
    <row r="4227" spans="2:3">
      <c r="B4227" s="252"/>
      <c r="C4227" s="268"/>
    </row>
    <row r="4228" spans="2:3">
      <c r="B4228" s="252"/>
      <c r="C4228" s="268"/>
    </row>
    <row r="4229" spans="2:3">
      <c r="B4229" s="252"/>
      <c r="C4229" s="268"/>
    </row>
    <row r="4230" spans="2:3">
      <c r="B4230" s="252"/>
      <c r="C4230" s="268"/>
    </row>
    <row r="4231" spans="2:3">
      <c r="B4231" s="252"/>
      <c r="C4231" s="268"/>
    </row>
    <row r="4232" spans="2:3">
      <c r="B4232" s="252"/>
      <c r="C4232" s="268"/>
    </row>
    <row r="4233" spans="2:3">
      <c r="B4233" s="252"/>
      <c r="C4233" s="268"/>
    </row>
    <row r="4234" spans="2:3">
      <c r="B4234" s="252"/>
      <c r="C4234" s="268"/>
    </row>
    <row r="4235" spans="2:3">
      <c r="B4235" s="252"/>
      <c r="C4235" s="268"/>
    </row>
    <row r="4236" spans="2:3">
      <c r="B4236" s="252"/>
      <c r="C4236" s="268"/>
    </row>
    <row r="4237" spans="2:3">
      <c r="B4237" s="252"/>
      <c r="C4237" s="268"/>
    </row>
    <row r="4238" spans="2:3">
      <c r="B4238" s="252"/>
      <c r="C4238" s="268"/>
    </row>
    <row r="4239" spans="2:3">
      <c r="B4239" s="252"/>
      <c r="C4239" s="268"/>
    </row>
    <row r="4240" spans="2:3">
      <c r="B4240" s="252"/>
      <c r="C4240" s="268"/>
    </row>
    <row r="4241" spans="2:3">
      <c r="B4241" s="252"/>
      <c r="C4241" s="268"/>
    </row>
    <row r="4242" spans="2:3">
      <c r="B4242" s="252"/>
      <c r="C4242" s="268"/>
    </row>
    <row r="4243" spans="2:3">
      <c r="B4243" s="252"/>
      <c r="C4243" s="268"/>
    </row>
    <row r="4244" spans="2:3">
      <c r="B4244" s="252"/>
      <c r="C4244" s="268"/>
    </row>
    <row r="4245" spans="2:3">
      <c r="B4245" s="252"/>
      <c r="C4245" s="268"/>
    </row>
    <row r="4246" spans="2:3">
      <c r="B4246" s="252"/>
      <c r="C4246" s="268"/>
    </row>
    <row r="4247" spans="2:3">
      <c r="B4247" s="252"/>
      <c r="C4247" s="268"/>
    </row>
    <row r="4248" spans="2:3">
      <c r="B4248" s="252"/>
      <c r="C4248" s="268"/>
    </row>
    <row r="4249" spans="2:3">
      <c r="B4249" s="252"/>
      <c r="C4249" s="268"/>
    </row>
    <row r="4250" spans="2:3">
      <c r="B4250" s="252"/>
      <c r="C4250" s="268"/>
    </row>
    <row r="4251" spans="2:3">
      <c r="B4251" s="252"/>
      <c r="C4251" s="268"/>
    </row>
    <row r="4252" spans="2:3">
      <c r="B4252" s="252"/>
      <c r="C4252" s="268"/>
    </row>
    <row r="4253" spans="2:3">
      <c r="B4253" s="252"/>
      <c r="C4253" s="268"/>
    </row>
    <row r="4254" spans="2:3">
      <c r="B4254" s="252"/>
      <c r="C4254" s="268"/>
    </row>
    <row r="4255" spans="2:3">
      <c r="B4255" s="252"/>
      <c r="C4255" s="268"/>
    </row>
    <row r="4256" spans="2:3">
      <c r="B4256" s="252"/>
      <c r="C4256" s="268"/>
    </row>
    <row r="4257" spans="2:3">
      <c r="B4257" s="252"/>
      <c r="C4257" s="268"/>
    </row>
    <row r="4258" spans="2:3">
      <c r="B4258" s="252"/>
      <c r="C4258" s="268"/>
    </row>
    <row r="4259" spans="2:3">
      <c r="B4259" s="252"/>
      <c r="C4259" s="268"/>
    </row>
    <row r="4260" spans="2:3">
      <c r="B4260" s="252"/>
      <c r="C4260" s="268"/>
    </row>
    <row r="4261" spans="2:3">
      <c r="B4261" s="252"/>
      <c r="C4261" s="268"/>
    </row>
    <row r="4262" spans="2:3">
      <c r="B4262" s="252"/>
      <c r="C4262" s="268"/>
    </row>
    <row r="4263" spans="2:3">
      <c r="B4263" s="252"/>
      <c r="C4263" s="268"/>
    </row>
    <row r="4264" spans="2:3">
      <c r="B4264" s="252"/>
      <c r="C4264" s="268"/>
    </row>
    <row r="4265" spans="2:3">
      <c r="B4265" s="252"/>
      <c r="C4265" s="268"/>
    </row>
    <row r="4266" spans="2:3">
      <c r="B4266" s="252"/>
      <c r="C4266" s="268"/>
    </row>
    <row r="4267" spans="2:3">
      <c r="B4267" s="252"/>
      <c r="C4267" s="268"/>
    </row>
    <row r="4268" spans="2:3">
      <c r="B4268" s="252"/>
      <c r="C4268" s="268"/>
    </row>
    <row r="4269" spans="2:3">
      <c r="B4269" s="252"/>
      <c r="C4269" s="268"/>
    </row>
    <row r="4270" spans="2:3">
      <c r="B4270" s="252"/>
      <c r="C4270" s="268"/>
    </row>
    <row r="4271" spans="2:3">
      <c r="B4271" s="252"/>
      <c r="C4271" s="268"/>
    </row>
    <row r="4272" spans="2:3">
      <c r="B4272" s="252"/>
      <c r="C4272" s="268"/>
    </row>
    <row r="4273" spans="2:3">
      <c r="B4273" s="252"/>
      <c r="C4273" s="268"/>
    </row>
    <row r="4274" spans="2:3">
      <c r="B4274" s="252"/>
      <c r="C4274" s="268"/>
    </row>
    <row r="4275" spans="2:3">
      <c r="B4275" s="252"/>
      <c r="C4275" s="268"/>
    </row>
    <row r="4276" spans="2:3">
      <c r="B4276" s="252"/>
      <c r="C4276" s="268"/>
    </row>
    <row r="4277" spans="2:3">
      <c r="B4277" s="252"/>
      <c r="C4277" s="268"/>
    </row>
    <row r="4278" spans="2:3">
      <c r="B4278" s="252"/>
      <c r="C4278" s="268"/>
    </row>
    <row r="4279" spans="2:3">
      <c r="B4279" s="252"/>
      <c r="C4279" s="268"/>
    </row>
    <row r="4280" spans="2:3">
      <c r="B4280" s="252"/>
      <c r="C4280" s="268"/>
    </row>
    <row r="4281" spans="2:3">
      <c r="B4281" s="252"/>
      <c r="C4281" s="268"/>
    </row>
    <row r="4282" spans="2:3">
      <c r="B4282" s="252"/>
      <c r="C4282" s="268"/>
    </row>
    <row r="4283" spans="2:3">
      <c r="B4283" s="252"/>
      <c r="C4283" s="268"/>
    </row>
    <row r="4284" spans="2:3">
      <c r="B4284" s="252"/>
      <c r="C4284" s="268"/>
    </row>
    <row r="4285" spans="2:3">
      <c r="B4285" s="252"/>
      <c r="C4285" s="268"/>
    </row>
    <row r="4286" spans="2:3">
      <c r="B4286" s="252"/>
      <c r="C4286" s="268"/>
    </row>
    <row r="4287" spans="2:3">
      <c r="B4287" s="252"/>
      <c r="C4287" s="268"/>
    </row>
    <row r="4288" spans="2:3">
      <c r="B4288" s="252"/>
      <c r="C4288" s="268"/>
    </row>
    <row r="4289" spans="2:3">
      <c r="B4289" s="252"/>
      <c r="C4289" s="268"/>
    </row>
    <row r="4290" spans="2:3">
      <c r="B4290" s="252"/>
      <c r="C4290" s="268"/>
    </row>
    <row r="4291" spans="2:3">
      <c r="B4291" s="252"/>
      <c r="C4291" s="268"/>
    </row>
    <row r="4292" spans="2:3">
      <c r="B4292" s="252"/>
      <c r="C4292" s="268"/>
    </row>
    <row r="4293" spans="2:3">
      <c r="B4293" s="252"/>
      <c r="C4293" s="268"/>
    </row>
    <row r="4294" spans="2:3">
      <c r="B4294" s="252"/>
      <c r="C4294" s="268"/>
    </row>
    <row r="4295" spans="2:3">
      <c r="B4295" s="252"/>
      <c r="C4295" s="268"/>
    </row>
    <row r="4296" spans="2:3">
      <c r="B4296" s="252"/>
      <c r="C4296" s="268"/>
    </row>
    <row r="4297" spans="2:3">
      <c r="B4297" s="252"/>
      <c r="C4297" s="268"/>
    </row>
    <row r="4298" spans="2:3">
      <c r="B4298" s="252"/>
      <c r="C4298" s="268"/>
    </row>
    <row r="4299" spans="2:3">
      <c r="B4299" s="252"/>
      <c r="C4299" s="268"/>
    </row>
    <row r="4300" spans="2:3">
      <c r="B4300" s="252"/>
      <c r="C4300" s="268"/>
    </row>
    <row r="4301" spans="2:3">
      <c r="B4301" s="252"/>
      <c r="C4301" s="268"/>
    </row>
    <row r="4302" spans="2:3">
      <c r="B4302" s="252"/>
      <c r="C4302" s="268"/>
    </row>
    <row r="4303" spans="2:3">
      <c r="B4303" s="252"/>
      <c r="C4303" s="268"/>
    </row>
    <row r="4304" spans="2:3">
      <c r="B4304" s="252"/>
      <c r="C4304" s="268"/>
    </row>
    <row r="4305" spans="2:3">
      <c r="B4305" s="252"/>
      <c r="C4305" s="268"/>
    </row>
    <row r="4306" spans="2:3">
      <c r="B4306" s="252"/>
      <c r="C4306" s="268"/>
    </row>
    <row r="4307" spans="2:3">
      <c r="B4307" s="252"/>
      <c r="C4307" s="268"/>
    </row>
    <row r="4308" spans="2:3">
      <c r="B4308" s="252"/>
      <c r="C4308" s="268"/>
    </row>
    <row r="4309" spans="2:3">
      <c r="B4309" s="252"/>
      <c r="C4309" s="268"/>
    </row>
    <row r="4310" spans="2:3">
      <c r="B4310" s="252"/>
      <c r="C4310" s="268"/>
    </row>
    <row r="4311" spans="2:3">
      <c r="B4311" s="252"/>
      <c r="C4311" s="268"/>
    </row>
    <row r="4312" spans="2:3">
      <c r="B4312" s="252"/>
      <c r="C4312" s="268"/>
    </row>
    <row r="4313" spans="2:3">
      <c r="B4313" s="252"/>
      <c r="C4313" s="268"/>
    </row>
    <row r="4314" spans="2:3">
      <c r="B4314" s="252"/>
      <c r="C4314" s="268"/>
    </row>
    <row r="4315" spans="2:3">
      <c r="B4315" s="252"/>
      <c r="C4315" s="268"/>
    </row>
    <row r="4316" spans="2:3">
      <c r="B4316" s="252"/>
      <c r="C4316" s="268"/>
    </row>
    <row r="4317" spans="2:3">
      <c r="B4317" s="252"/>
      <c r="C4317" s="268"/>
    </row>
    <row r="4318" spans="2:3">
      <c r="B4318" s="252"/>
      <c r="C4318" s="268"/>
    </row>
    <row r="4319" spans="2:3">
      <c r="B4319" s="252"/>
      <c r="C4319" s="268"/>
    </row>
    <row r="4320" spans="2:3">
      <c r="B4320" s="252"/>
      <c r="C4320" s="268"/>
    </row>
    <row r="4321" spans="2:3">
      <c r="B4321" s="252"/>
      <c r="C4321" s="268"/>
    </row>
    <row r="4322" spans="2:3">
      <c r="B4322" s="252"/>
      <c r="C4322" s="268"/>
    </row>
    <row r="4323" spans="2:3">
      <c r="B4323" s="252"/>
      <c r="C4323" s="268"/>
    </row>
    <row r="4324" spans="2:3">
      <c r="B4324" s="252"/>
      <c r="C4324" s="268"/>
    </row>
    <row r="4325" spans="2:3">
      <c r="B4325" s="252"/>
      <c r="C4325" s="268"/>
    </row>
    <row r="4326" spans="2:3">
      <c r="B4326" s="252"/>
      <c r="C4326" s="268"/>
    </row>
    <row r="4327" spans="2:3">
      <c r="B4327" s="252"/>
      <c r="C4327" s="268"/>
    </row>
    <row r="4328" spans="2:3">
      <c r="B4328" s="252"/>
      <c r="C4328" s="268"/>
    </row>
    <row r="4329" spans="2:3">
      <c r="B4329" s="252"/>
      <c r="C4329" s="268"/>
    </row>
    <row r="4330" spans="2:3">
      <c r="B4330" s="252"/>
      <c r="C4330" s="268"/>
    </row>
    <row r="4331" spans="2:3">
      <c r="B4331" s="252"/>
      <c r="C4331" s="268"/>
    </row>
    <row r="4332" spans="2:3">
      <c r="B4332" s="252"/>
      <c r="C4332" s="268"/>
    </row>
    <row r="4333" spans="2:3">
      <c r="B4333" s="252"/>
      <c r="C4333" s="268"/>
    </row>
    <row r="4334" spans="2:3">
      <c r="B4334" s="252"/>
      <c r="C4334" s="268"/>
    </row>
    <row r="4335" spans="2:3">
      <c r="B4335" s="252"/>
      <c r="C4335" s="268"/>
    </row>
    <row r="4336" spans="2:3">
      <c r="B4336" s="252"/>
      <c r="C4336" s="268"/>
    </row>
    <row r="4337" spans="2:3">
      <c r="B4337" s="252"/>
      <c r="C4337" s="268"/>
    </row>
    <row r="4338" spans="2:3">
      <c r="B4338" s="252"/>
      <c r="C4338" s="268"/>
    </row>
    <row r="4339" spans="2:3">
      <c r="B4339" s="252"/>
      <c r="C4339" s="268"/>
    </row>
    <row r="4340" spans="2:3">
      <c r="B4340" s="252"/>
      <c r="C4340" s="268"/>
    </row>
    <row r="4341" spans="2:3">
      <c r="B4341" s="252"/>
      <c r="C4341" s="268"/>
    </row>
    <row r="4342" spans="2:3">
      <c r="B4342" s="252"/>
      <c r="C4342" s="268"/>
    </row>
    <row r="4343" spans="2:3">
      <c r="B4343" s="252"/>
      <c r="C4343" s="268"/>
    </row>
    <row r="4344" spans="2:3">
      <c r="B4344" s="252"/>
      <c r="C4344" s="268"/>
    </row>
    <row r="4345" spans="2:3">
      <c r="B4345" s="252"/>
      <c r="C4345" s="268"/>
    </row>
    <row r="4346" spans="2:3">
      <c r="B4346" s="252"/>
      <c r="C4346" s="268"/>
    </row>
    <row r="4347" spans="2:3">
      <c r="B4347" s="252"/>
      <c r="C4347" s="268"/>
    </row>
    <row r="4348" spans="2:3">
      <c r="B4348" s="252"/>
      <c r="C4348" s="268"/>
    </row>
    <row r="4349" spans="2:3">
      <c r="B4349" s="252"/>
      <c r="C4349" s="268"/>
    </row>
    <row r="4350" spans="2:3">
      <c r="B4350" s="252"/>
      <c r="C4350" s="268"/>
    </row>
    <row r="4351" spans="2:3">
      <c r="B4351" s="252"/>
      <c r="C4351" s="268"/>
    </row>
    <row r="4352" spans="2:3">
      <c r="B4352" s="252"/>
      <c r="C4352" s="268"/>
    </row>
    <row r="4353" spans="2:3">
      <c r="B4353" s="252"/>
      <c r="C4353" s="268"/>
    </row>
    <row r="4354" spans="2:3">
      <c r="B4354" s="252"/>
      <c r="C4354" s="268"/>
    </row>
    <row r="4355" spans="2:3">
      <c r="B4355" s="252"/>
      <c r="C4355" s="268"/>
    </row>
    <row r="4356" spans="2:3">
      <c r="B4356" s="252"/>
      <c r="C4356" s="268"/>
    </row>
    <row r="4357" spans="2:3">
      <c r="B4357" s="252"/>
      <c r="C4357" s="268"/>
    </row>
    <row r="4358" spans="2:3">
      <c r="B4358" s="252"/>
      <c r="C4358" s="268"/>
    </row>
    <row r="4359" spans="2:3">
      <c r="B4359" s="252"/>
      <c r="C4359" s="268"/>
    </row>
    <row r="4360" spans="2:3">
      <c r="B4360" s="252"/>
      <c r="C4360" s="268"/>
    </row>
    <row r="4361" spans="2:3">
      <c r="B4361" s="252"/>
      <c r="C4361" s="268"/>
    </row>
    <row r="4362" spans="2:3">
      <c r="B4362" s="252"/>
      <c r="C4362" s="268"/>
    </row>
    <row r="4363" spans="2:3">
      <c r="B4363" s="252"/>
      <c r="C4363" s="268"/>
    </row>
    <row r="4364" spans="2:3">
      <c r="B4364" s="252"/>
      <c r="C4364" s="268"/>
    </row>
    <row r="4365" spans="2:3">
      <c r="B4365" s="252"/>
      <c r="C4365" s="268"/>
    </row>
    <row r="4366" spans="2:3">
      <c r="B4366" s="252"/>
      <c r="C4366" s="268"/>
    </row>
    <row r="4367" spans="2:3">
      <c r="B4367" s="252"/>
      <c r="C4367" s="268"/>
    </row>
    <row r="4368" spans="2:3">
      <c r="B4368" s="252"/>
      <c r="C4368" s="268"/>
    </row>
    <row r="4369" spans="2:3">
      <c r="B4369" s="252"/>
      <c r="C4369" s="268"/>
    </row>
    <row r="4370" spans="2:3">
      <c r="B4370" s="252"/>
      <c r="C4370" s="268"/>
    </row>
    <row r="4371" spans="2:3">
      <c r="B4371" s="252"/>
      <c r="C4371" s="268"/>
    </row>
    <row r="4372" spans="2:3">
      <c r="B4372" s="252"/>
      <c r="C4372" s="268"/>
    </row>
    <row r="4373" spans="2:3">
      <c r="B4373" s="252"/>
      <c r="C4373" s="268"/>
    </row>
    <row r="4374" spans="2:3">
      <c r="B4374" s="252"/>
      <c r="C4374" s="268"/>
    </row>
    <row r="4375" spans="2:3">
      <c r="B4375" s="252"/>
      <c r="C4375" s="268"/>
    </row>
    <row r="4376" spans="2:3">
      <c r="B4376" s="252"/>
      <c r="C4376" s="268"/>
    </row>
    <row r="4377" spans="2:3">
      <c r="B4377" s="252"/>
      <c r="C4377" s="268"/>
    </row>
    <row r="4378" spans="2:3">
      <c r="B4378" s="252"/>
      <c r="C4378" s="268"/>
    </row>
    <row r="4379" spans="2:3">
      <c r="B4379" s="252"/>
      <c r="C4379" s="268"/>
    </row>
    <row r="4380" spans="2:3">
      <c r="B4380" s="252"/>
      <c r="C4380" s="268"/>
    </row>
    <row r="4381" spans="2:3">
      <c r="B4381" s="252"/>
      <c r="C4381" s="268"/>
    </row>
    <row r="4382" spans="2:3">
      <c r="B4382" s="252"/>
      <c r="C4382" s="268"/>
    </row>
    <row r="4383" spans="2:3">
      <c r="B4383" s="252"/>
      <c r="C4383" s="268"/>
    </row>
    <row r="4384" spans="2:3">
      <c r="B4384" s="252"/>
      <c r="C4384" s="268"/>
    </row>
    <row r="4385" spans="2:3">
      <c r="B4385" s="252"/>
      <c r="C4385" s="268"/>
    </row>
    <row r="4386" spans="2:3">
      <c r="B4386" s="252"/>
      <c r="C4386" s="268"/>
    </row>
    <row r="4387" spans="2:3">
      <c r="B4387" s="252"/>
      <c r="C4387" s="268"/>
    </row>
    <row r="4388" spans="2:3">
      <c r="B4388" s="252"/>
      <c r="C4388" s="268"/>
    </row>
    <row r="4389" spans="2:3">
      <c r="B4389" s="252"/>
      <c r="C4389" s="268"/>
    </row>
    <row r="4390" spans="2:3">
      <c r="B4390" s="252"/>
      <c r="C4390" s="268"/>
    </row>
    <row r="4391" spans="2:3">
      <c r="B4391" s="252"/>
      <c r="C4391" s="268"/>
    </row>
    <row r="4392" spans="2:3">
      <c r="B4392" s="252"/>
      <c r="C4392" s="268"/>
    </row>
    <row r="4393" spans="2:3">
      <c r="B4393" s="252"/>
      <c r="C4393" s="268"/>
    </row>
    <row r="4394" spans="2:3">
      <c r="B4394" s="252"/>
      <c r="C4394" s="268"/>
    </row>
    <row r="4395" spans="2:3">
      <c r="B4395" s="252"/>
      <c r="C4395" s="268"/>
    </row>
    <row r="4396" spans="2:3">
      <c r="B4396" s="252"/>
      <c r="C4396" s="268"/>
    </row>
    <row r="4397" spans="2:3">
      <c r="B4397" s="252"/>
      <c r="C4397" s="268"/>
    </row>
    <row r="4398" spans="2:3">
      <c r="B4398" s="252"/>
      <c r="C4398" s="268"/>
    </row>
    <row r="4399" spans="2:3">
      <c r="B4399" s="252"/>
      <c r="C4399" s="268"/>
    </row>
    <row r="4400" spans="2:3">
      <c r="B4400" s="252"/>
      <c r="C4400" s="268"/>
    </row>
    <row r="4401" spans="2:3">
      <c r="B4401" s="252"/>
      <c r="C4401" s="268"/>
    </row>
    <row r="4402" spans="2:3">
      <c r="B4402" s="252"/>
      <c r="C4402" s="268"/>
    </row>
    <row r="4403" spans="2:3">
      <c r="B4403" s="252"/>
      <c r="C4403" s="268"/>
    </row>
    <row r="4404" spans="2:3">
      <c r="B4404" s="252"/>
      <c r="C4404" s="268"/>
    </row>
    <row r="4405" spans="2:3">
      <c r="B4405" s="252"/>
      <c r="C4405" s="268"/>
    </row>
    <row r="4406" spans="2:3">
      <c r="B4406" s="252"/>
      <c r="C4406" s="268"/>
    </row>
    <row r="4407" spans="2:3">
      <c r="B4407" s="252"/>
      <c r="C4407" s="268"/>
    </row>
    <row r="4408" spans="2:3">
      <c r="B4408" s="252"/>
      <c r="C4408" s="268"/>
    </row>
    <row r="4409" spans="2:3">
      <c r="B4409" s="252"/>
      <c r="C4409" s="268"/>
    </row>
    <row r="4410" spans="2:3">
      <c r="B4410" s="252"/>
      <c r="C4410" s="268"/>
    </row>
    <row r="4411" spans="2:3">
      <c r="B4411" s="252"/>
      <c r="C4411" s="268"/>
    </row>
    <row r="4412" spans="2:3">
      <c r="B4412" s="252"/>
      <c r="C4412" s="268"/>
    </row>
    <row r="4413" spans="2:3">
      <c r="B4413" s="252"/>
      <c r="C4413" s="268"/>
    </row>
    <row r="4414" spans="2:3">
      <c r="B4414" s="252"/>
      <c r="C4414" s="268"/>
    </row>
    <row r="4415" spans="2:3">
      <c r="B4415" s="252"/>
      <c r="C4415" s="268"/>
    </row>
    <row r="4416" spans="2:3">
      <c r="B4416" s="252"/>
      <c r="C4416" s="268"/>
    </row>
    <row r="4417" spans="2:3">
      <c r="B4417" s="252"/>
      <c r="C4417" s="268"/>
    </row>
    <row r="4418" spans="2:3">
      <c r="B4418" s="252"/>
      <c r="C4418" s="268"/>
    </row>
    <row r="4419" spans="2:3">
      <c r="B4419" s="252"/>
      <c r="C4419" s="268"/>
    </row>
    <row r="4420" spans="2:3">
      <c r="B4420" s="252"/>
      <c r="C4420" s="268"/>
    </row>
    <row r="4421" spans="2:3">
      <c r="B4421" s="252"/>
      <c r="C4421" s="268"/>
    </row>
    <row r="4422" spans="2:3">
      <c r="B4422" s="252"/>
      <c r="C4422" s="268"/>
    </row>
    <row r="4423" spans="2:3">
      <c r="B4423" s="252"/>
      <c r="C4423" s="268"/>
    </row>
    <row r="4424" spans="2:3">
      <c r="B4424" s="252"/>
      <c r="C4424" s="268"/>
    </row>
    <row r="4425" spans="2:3">
      <c r="B4425" s="252"/>
      <c r="C4425" s="268"/>
    </row>
    <row r="4426" spans="2:3">
      <c r="B4426" s="252"/>
      <c r="C4426" s="268"/>
    </row>
    <row r="4427" spans="2:3">
      <c r="B4427" s="252"/>
      <c r="C4427" s="268"/>
    </row>
    <row r="4428" spans="2:3">
      <c r="B4428" s="252"/>
      <c r="C4428" s="268"/>
    </row>
    <row r="4429" spans="2:3">
      <c r="B4429" s="252"/>
      <c r="C4429" s="268"/>
    </row>
    <row r="4430" spans="2:3">
      <c r="B4430" s="252"/>
      <c r="C4430" s="268"/>
    </row>
    <row r="4431" spans="2:3">
      <c r="B4431" s="252"/>
      <c r="C4431" s="268"/>
    </row>
    <row r="4432" spans="2:3">
      <c r="B4432" s="252"/>
      <c r="C4432" s="268"/>
    </row>
    <row r="4433" spans="2:3">
      <c r="B4433" s="252"/>
      <c r="C4433" s="268"/>
    </row>
    <row r="4434" spans="2:3">
      <c r="B4434" s="252"/>
      <c r="C4434" s="268"/>
    </row>
    <row r="4435" spans="2:3">
      <c r="B4435" s="252"/>
      <c r="C4435" s="268"/>
    </row>
    <row r="4436" spans="2:3">
      <c r="B4436" s="252"/>
      <c r="C4436" s="268"/>
    </row>
    <row r="4437" spans="2:3">
      <c r="B4437" s="252"/>
      <c r="C4437" s="268"/>
    </row>
    <row r="4438" spans="2:3">
      <c r="B4438" s="252"/>
      <c r="C4438" s="268"/>
    </row>
    <row r="4439" spans="2:3">
      <c r="B4439" s="252"/>
      <c r="C4439" s="268"/>
    </row>
    <row r="4440" spans="2:3">
      <c r="B4440" s="252"/>
      <c r="C4440" s="268"/>
    </row>
    <row r="4441" spans="2:3">
      <c r="B4441" s="252"/>
      <c r="C4441" s="268"/>
    </row>
    <row r="4442" spans="2:3">
      <c r="B4442" s="252"/>
      <c r="C4442" s="268"/>
    </row>
    <row r="4443" spans="2:3">
      <c r="B4443" s="252"/>
      <c r="C4443" s="268"/>
    </row>
    <row r="4444" spans="2:3">
      <c r="B4444" s="252"/>
      <c r="C4444" s="268"/>
    </row>
    <row r="4445" spans="2:3">
      <c r="B4445" s="252"/>
      <c r="C4445" s="268"/>
    </row>
    <row r="4446" spans="2:3">
      <c r="B4446" s="252"/>
      <c r="C4446" s="268"/>
    </row>
    <row r="4447" spans="2:3">
      <c r="B4447" s="252"/>
      <c r="C4447" s="268"/>
    </row>
    <row r="4448" spans="2:3">
      <c r="B4448" s="252"/>
      <c r="C4448" s="268"/>
    </row>
    <row r="4449" spans="2:3">
      <c r="B4449" s="252"/>
      <c r="C4449" s="268"/>
    </row>
    <row r="4450" spans="2:3">
      <c r="B4450" s="252"/>
      <c r="C4450" s="268"/>
    </row>
    <row r="4451" spans="2:3">
      <c r="B4451" s="252"/>
      <c r="C4451" s="268"/>
    </row>
    <row r="4452" spans="2:3">
      <c r="B4452" s="252"/>
      <c r="C4452" s="268"/>
    </row>
    <row r="4453" spans="2:3">
      <c r="B4453" s="252"/>
      <c r="C4453" s="268"/>
    </row>
    <row r="4454" spans="2:3">
      <c r="B4454" s="252"/>
      <c r="C4454" s="268"/>
    </row>
    <row r="4455" spans="2:3">
      <c r="B4455" s="252"/>
      <c r="C4455" s="268"/>
    </row>
    <row r="4456" spans="2:3">
      <c r="B4456" s="252"/>
      <c r="C4456" s="268"/>
    </row>
    <row r="4457" spans="2:3">
      <c r="B4457" s="252"/>
      <c r="C4457" s="268"/>
    </row>
    <row r="4458" spans="2:3">
      <c r="B4458" s="252"/>
      <c r="C4458" s="268"/>
    </row>
    <row r="4459" spans="2:3">
      <c r="B4459" s="252"/>
      <c r="C4459" s="268"/>
    </row>
    <row r="4460" spans="2:3">
      <c r="B4460" s="252"/>
      <c r="C4460" s="268"/>
    </row>
    <row r="4461" spans="2:3">
      <c r="B4461" s="252"/>
      <c r="C4461" s="268"/>
    </row>
    <row r="4462" spans="2:3">
      <c r="B4462" s="252"/>
      <c r="C4462" s="268"/>
    </row>
    <row r="4463" spans="2:3">
      <c r="B4463" s="252"/>
      <c r="C4463" s="268"/>
    </row>
    <row r="4464" spans="2:3">
      <c r="B4464" s="252"/>
      <c r="C4464" s="268"/>
    </row>
    <row r="4465" spans="2:3">
      <c r="B4465" s="252"/>
      <c r="C4465" s="268"/>
    </row>
    <row r="4466" spans="2:3">
      <c r="B4466" s="252"/>
      <c r="C4466" s="268"/>
    </row>
    <row r="4467" spans="2:3">
      <c r="B4467" s="252"/>
      <c r="C4467" s="268"/>
    </row>
    <row r="4468" spans="2:3">
      <c r="B4468" s="252"/>
      <c r="C4468" s="268"/>
    </row>
    <row r="4469" spans="2:3">
      <c r="B4469" s="252"/>
      <c r="C4469" s="268"/>
    </row>
    <row r="4470" spans="2:3">
      <c r="B4470" s="252"/>
      <c r="C4470" s="268"/>
    </row>
    <row r="4471" spans="2:3">
      <c r="B4471" s="252"/>
      <c r="C4471" s="268"/>
    </row>
    <row r="4472" spans="2:3">
      <c r="B4472" s="252"/>
      <c r="C4472" s="268"/>
    </row>
    <row r="4473" spans="2:3">
      <c r="B4473" s="252"/>
      <c r="C4473" s="268"/>
    </row>
    <row r="4474" spans="2:3">
      <c r="B4474" s="252"/>
      <c r="C4474" s="268"/>
    </row>
    <row r="4475" spans="2:3">
      <c r="B4475" s="252"/>
      <c r="C4475" s="268"/>
    </row>
    <row r="4476" spans="2:3">
      <c r="B4476" s="252"/>
      <c r="C4476" s="268"/>
    </row>
    <row r="4477" spans="2:3">
      <c r="B4477" s="252"/>
      <c r="C4477" s="268"/>
    </row>
    <row r="4478" spans="2:3">
      <c r="B4478" s="252"/>
      <c r="C4478" s="268"/>
    </row>
    <row r="4479" spans="2:3">
      <c r="B4479" s="252"/>
      <c r="C4479" s="268"/>
    </row>
    <row r="4480" spans="2:3">
      <c r="B4480" s="252"/>
      <c r="C4480" s="268"/>
    </row>
    <row r="4481" spans="2:3">
      <c r="B4481" s="252"/>
      <c r="C4481" s="268"/>
    </row>
    <row r="4482" spans="2:3">
      <c r="B4482" s="252"/>
      <c r="C4482" s="268"/>
    </row>
    <row r="4483" spans="2:3">
      <c r="B4483" s="252"/>
      <c r="C4483" s="268"/>
    </row>
    <row r="4484" spans="2:3">
      <c r="B4484" s="252"/>
      <c r="C4484" s="268"/>
    </row>
    <row r="4485" spans="2:3">
      <c r="B4485" s="252"/>
      <c r="C4485" s="268"/>
    </row>
    <row r="4486" spans="2:3">
      <c r="B4486" s="252"/>
      <c r="C4486" s="268"/>
    </row>
    <row r="4487" spans="2:3">
      <c r="B4487" s="252"/>
      <c r="C4487" s="268"/>
    </row>
    <row r="4488" spans="2:3">
      <c r="B4488" s="252"/>
      <c r="C4488" s="268"/>
    </row>
    <row r="4489" spans="2:3">
      <c r="B4489" s="252"/>
      <c r="C4489" s="268"/>
    </row>
    <row r="4490" spans="2:3">
      <c r="B4490" s="252"/>
      <c r="C4490" s="268"/>
    </row>
    <row r="4491" spans="2:3">
      <c r="B4491" s="252"/>
      <c r="C4491" s="268"/>
    </row>
    <row r="4492" spans="2:3">
      <c r="B4492" s="252"/>
      <c r="C4492" s="268"/>
    </row>
    <row r="4493" spans="2:3">
      <c r="B4493" s="252"/>
      <c r="C4493" s="268"/>
    </row>
    <row r="4494" spans="2:3">
      <c r="B4494" s="252"/>
      <c r="C4494" s="268"/>
    </row>
    <row r="4495" spans="2:3">
      <c r="B4495" s="252"/>
      <c r="C4495" s="268"/>
    </row>
    <row r="4496" spans="2:3">
      <c r="B4496" s="252"/>
      <c r="C4496" s="268"/>
    </row>
    <row r="4497" spans="2:3">
      <c r="B4497" s="252"/>
      <c r="C4497" s="268"/>
    </row>
    <row r="4498" spans="2:3">
      <c r="B4498" s="252"/>
      <c r="C4498" s="268"/>
    </row>
    <row r="4499" spans="2:3">
      <c r="B4499" s="252"/>
      <c r="C4499" s="268"/>
    </row>
    <row r="4500" spans="2:3">
      <c r="B4500" s="252"/>
      <c r="C4500" s="268"/>
    </row>
    <row r="4501" spans="2:3">
      <c r="B4501" s="252"/>
      <c r="C4501" s="268"/>
    </row>
    <row r="4502" spans="2:3">
      <c r="B4502" s="252"/>
      <c r="C4502" s="268"/>
    </row>
    <row r="4503" spans="2:3">
      <c r="B4503" s="252"/>
      <c r="C4503" s="268"/>
    </row>
    <row r="4504" spans="2:3">
      <c r="B4504" s="252"/>
      <c r="C4504" s="268"/>
    </row>
    <row r="4505" spans="2:3">
      <c r="B4505" s="252"/>
      <c r="C4505" s="268"/>
    </row>
    <row r="4506" spans="2:3">
      <c r="B4506" s="252"/>
      <c r="C4506" s="268"/>
    </row>
    <row r="4507" spans="2:3">
      <c r="B4507" s="252"/>
      <c r="C4507" s="268"/>
    </row>
    <row r="4508" spans="2:3">
      <c r="B4508" s="252"/>
      <c r="C4508" s="268"/>
    </row>
    <row r="4509" spans="2:3">
      <c r="B4509" s="252"/>
      <c r="C4509" s="268"/>
    </row>
    <row r="4510" spans="2:3">
      <c r="B4510" s="252"/>
      <c r="C4510" s="268"/>
    </row>
    <row r="4511" spans="2:3">
      <c r="B4511" s="252"/>
      <c r="C4511" s="268"/>
    </row>
    <row r="4512" spans="2:3">
      <c r="B4512" s="252"/>
      <c r="C4512" s="268"/>
    </row>
    <row r="4513" spans="2:3">
      <c r="B4513" s="252"/>
      <c r="C4513" s="268"/>
    </row>
    <row r="4514" spans="2:3">
      <c r="B4514" s="252"/>
      <c r="C4514" s="268"/>
    </row>
    <row r="4515" spans="2:3">
      <c r="B4515" s="252"/>
      <c r="C4515" s="268"/>
    </row>
    <row r="4516" spans="2:3">
      <c r="B4516" s="252"/>
      <c r="C4516" s="268"/>
    </row>
    <row r="4517" spans="2:3">
      <c r="B4517" s="252"/>
      <c r="C4517" s="268"/>
    </row>
    <row r="4518" spans="2:3">
      <c r="B4518" s="252"/>
      <c r="C4518" s="268"/>
    </row>
    <row r="4519" spans="2:3">
      <c r="B4519" s="252"/>
      <c r="C4519" s="268"/>
    </row>
    <row r="4520" spans="2:3">
      <c r="B4520" s="252"/>
      <c r="C4520" s="268"/>
    </row>
    <row r="4521" spans="2:3">
      <c r="B4521" s="252"/>
      <c r="C4521" s="268"/>
    </row>
    <row r="4522" spans="2:3">
      <c r="B4522" s="252"/>
      <c r="C4522" s="268"/>
    </row>
    <row r="4523" spans="2:3">
      <c r="B4523" s="252"/>
      <c r="C4523" s="268"/>
    </row>
    <row r="4524" spans="2:3">
      <c r="B4524" s="252"/>
      <c r="C4524" s="268"/>
    </row>
    <row r="4525" spans="2:3">
      <c r="B4525" s="252"/>
      <c r="C4525" s="268"/>
    </row>
    <row r="4526" spans="2:3">
      <c r="B4526" s="252"/>
      <c r="C4526" s="268"/>
    </row>
    <row r="4527" spans="2:3">
      <c r="B4527" s="252"/>
      <c r="C4527" s="268"/>
    </row>
    <row r="4528" spans="2:3">
      <c r="B4528" s="252"/>
      <c r="C4528" s="268"/>
    </row>
    <row r="4529" spans="2:3">
      <c r="B4529" s="252"/>
      <c r="C4529" s="268"/>
    </row>
    <row r="4530" spans="2:3">
      <c r="B4530" s="252"/>
      <c r="C4530" s="268"/>
    </row>
    <row r="4531" spans="2:3">
      <c r="B4531" s="252"/>
      <c r="C4531" s="268"/>
    </row>
    <row r="4532" spans="2:3">
      <c r="B4532" s="252"/>
      <c r="C4532" s="268"/>
    </row>
    <row r="4533" spans="2:3">
      <c r="B4533" s="252"/>
      <c r="C4533" s="268"/>
    </row>
    <row r="4534" spans="2:3">
      <c r="B4534" s="252"/>
      <c r="C4534" s="268"/>
    </row>
    <row r="4535" spans="2:3">
      <c r="B4535" s="252"/>
      <c r="C4535" s="268"/>
    </row>
    <row r="4536" spans="2:3">
      <c r="B4536" s="252"/>
      <c r="C4536" s="268"/>
    </row>
    <row r="4537" spans="2:3">
      <c r="B4537" s="252"/>
      <c r="C4537" s="268"/>
    </row>
    <row r="4538" spans="2:3">
      <c r="B4538" s="252"/>
      <c r="C4538" s="268"/>
    </row>
    <row r="4539" spans="2:3">
      <c r="B4539" s="252"/>
      <c r="C4539" s="268"/>
    </row>
    <row r="4540" spans="2:3">
      <c r="B4540" s="252"/>
      <c r="C4540" s="268"/>
    </row>
    <row r="4541" spans="2:3">
      <c r="B4541" s="252"/>
      <c r="C4541" s="268"/>
    </row>
    <row r="4542" spans="2:3">
      <c r="B4542" s="252"/>
      <c r="C4542" s="268"/>
    </row>
    <row r="4543" spans="2:3">
      <c r="B4543" s="252"/>
      <c r="C4543" s="268"/>
    </row>
    <row r="4544" spans="2:3">
      <c r="B4544" s="252"/>
      <c r="C4544" s="268"/>
    </row>
    <row r="4545" spans="2:3">
      <c r="B4545" s="252"/>
      <c r="C4545" s="268"/>
    </row>
    <row r="4546" spans="2:3">
      <c r="B4546" s="252"/>
      <c r="C4546" s="268"/>
    </row>
    <row r="4547" spans="2:3">
      <c r="B4547" s="252"/>
      <c r="C4547" s="268"/>
    </row>
    <row r="4548" spans="2:3">
      <c r="B4548" s="252"/>
      <c r="C4548" s="268"/>
    </row>
    <row r="4549" spans="2:3">
      <c r="B4549" s="252"/>
      <c r="C4549" s="268"/>
    </row>
    <row r="4550" spans="2:3">
      <c r="B4550" s="252"/>
      <c r="C4550" s="268"/>
    </row>
    <row r="4551" spans="2:3">
      <c r="B4551" s="252"/>
      <c r="C4551" s="268"/>
    </row>
    <row r="4552" spans="2:3">
      <c r="B4552" s="252"/>
      <c r="C4552" s="268"/>
    </row>
    <row r="4553" spans="2:3">
      <c r="B4553" s="252"/>
      <c r="C4553" s="268"/>
    </row>
    <row r="4554" spans="2:3">
      <c r="B4554" s="252"/>
      <c r="C4554" s="268"/>
    </row>
    <row r="4555" spans="2:3">
      <c r="B4555" s="252"/>
      <c r="C4555" s="268"/>
    </row>
    <row r="4556" spans="2:3">
      <c r="B4556" s="252"/>
      <c r="C4556" s="268"/>
    </row>
    <row r="4557" spans="2:3">
      <c r="B4557" s="252"/>
      <c r="C4557" s="268"/>
    </row>
    <row r="4558" spans="2:3">
      <c r="B4558" s="252"/>
      <c r="C4558" s="268"/>
    </row>
    <row r="4559" spans="2:3">
      <c r="B4559" s="252"/>
      <c r="C4559" s="268"/>
    </row>
    <row r="4560" spans="2:3">
      <c r="B4560" s="252"/>
      <c r="C4560" s="268"/>
    </row>
    <row r="4561" spans="2:3">
      <c r="B4561" s="252"/>
      <c r="C4561" s="268"/>
    </row>
    <row r="4562" spans="2:3">
      <c r="B4562" s="252"/>
      <c r="C4562" s="268"/>
    </row>
    <row r="4563" spans="2:3">
      <c r="B4563" s="252"/>
      <c r="C4563" s="268"/>
    </row>
    <row r="4564" spans="2:3">
      <c r="B4564" s="252"/>
      <c r="C4564" s="268"/>
    </row>
    <row r="4565" spans="2:3">
      <c r="B4565" s="252"/>
      <c r="C4565" s="268"/>
    </row>
    <row r="4566" spans="2:3">
      <c r="B4566" s="252"/>
      <c r="C4566" s="268"/>
    </row>
    <row r="4567" spans="2:3">
      <c r="B4567" s="252"/>
      <c r="C4567" s="268"/>
    </row>
    <row r="4568" spans="2:3">
      <c r="B4568" s="252"/>
      <c r="C4568" s="268"/>
    </row>
    <row r="4569" spans="2:3">
      <c r="B4569" s="252"/>
      <c r="C4569" s="268"/>
    </row>
    <row r="4570" spans="2:3">
      <c r="B4570" s="252"/>
      <c r="C4570" s="268"/>
    </row>
    <row r="4571" spans="2:3">
      <c r="B4571" s="252"/>
      <c r="C4571" s="268"/>
    </row>
    <row r="4572" spans="2:3">
      <c r="B4572" s="252"/>
      <c r="C4572" s="268"/>
    </row>
    <row r="4573" spans="2:3">
      <c r="B4573" s="252"/>
      <c r="C4573" s="268"/>
    </row>
    <row r="4574" spans="2:3">
      <c r="B4574" s="252"/>
      <c r="C4574" s="268"/>
    </row>
    <row r="4575" spans="2:3">
      <c r="B4575" s="252"/>
      <c r="C4575" s="268"/>
    </row>
    <row r="4576" spans="2:3">
      <c r="B4576" s="252"/>
      <c r="C4576" s="268"/>
    </row>
    <row r="4577" spans="2:3">
      <c r="B4577" s="252"/>
      <c r="C4577" s="268"/>
    </row>
    <row r="4578" spans="2:3">
      <c r="B4578" s="252"/>
      <c r="C4578" s="268"/>
    </row>
    <row r="4579" spans="2:3">
      <c r="B4579" s="252"/>
      <c r="C4579" s="268"/>
    </row>
    <row r="4580" spans="2:3">
      <c r="B4580" s="252"/>
      <c r="C4580" s="268"/>
    </row>
    <row r="4581" spans="2:3">
      <c r="B4581" s="252"/>
      <c r="C4581" s="268"/>
    </row>
    <row r="4582" spans="2:3">
      <c r="B4582" s="252"/>
      <c r="C4582" s="268"/>
    </row>
    <row r="4583" spans="2:3">
      <c r="B4583" s="252"/>
      <c r="C4583" s="268"/>
    </row>
    <row r="4584" spans="2:3">
      <c r="B4584" s="252"/>
      <c r="C4584" s="268"/>
    </row>
    <row r="4585" spans="2:3">
      <c r="B4585" s="252"/>
      <c r="C4585" s="268"/>
    </row>
    <row r="4586" spans="2:3">
      <c r="B4586" s="252"/>
      <c r="C4586" s="268"/>
    </row>
    <row r="4587" spans="2:3">
      <c r="B4587" s="252"/>
      <c r="C4587" s="268"/>
    </row>
    <row r="4588" spans="2:3">
      <c r="B4588" s="252"/>
      <c r="C4588" s="268"/>
    </row>
    <row r="4589" spans="2:3">
      <c r="B4589" s="252"/>
      <c r="C4589" s="268"/>
    </row>
    <row r="4590" spans="2:3">
      <c r="B4590" s="252"/>
      <c r="C4590" s="268"/>
    </row>
    <row r="4591" spans="2:3">
      <c r="B4591" s="252"/>
      <c r="C4591" s="268"/>
    </row>
    <row r="4592" spans="2:3">
      <c r="B4592" s="252"/>
      <c r="C4592" s="268"/>
    </row>
    <row r="4593" spans="2:3">
      <c r="B4593" s="252"/>
      <c r="C4593" s="268"/>
    </row>
    <row r="4594" spans="2:3">
      <c r="B4594" s="252"/>
      <c r="C4594" s="268"/>
    </row>
    <row r="4595" spans="2:3">
      <c r="B4595" s="252"/>
      <c r="C4595" s="268"/>
    </row>
    <row r="4596" spans="2:3">
      <c r="B4596" s="252"/>
      <c r="C4596" s="268"/>
    </row>
    <row r="4597" spans="2:3">
      <c r="B4597" s="252"/>
      <c r="C4597" s="268"/>
    </row>
    <row r="4598" spans="2:3">
      <c r="B4598" s="252"/>
      <c r="C4598" s="268"/>
    </row>
    <row r="4599" spans="2:3">
      <c r="B4599" s="252"/>
      <c r="C4599" s="268"/>
    </row>
    <row r="4600" spans="2:3">
      <c r="B4600" s="252"/>
      <c r="C4600" s="268"/>
    </row>
    <row r="4601" spans="2:3">
      <c r="B4601" s="252"/>
      <c r="C4601" s="268"/>
    </row>
    <row r="4602" spans="2:3">
      <c r="B4602" s="252"/>
      <c r="C4602" s="268"/>
    </row>
    <row r="4603" spans="2:3">
      <c r="B4603" s="252"/>
      <c r="C4603" s="268"/>
    </row>
    <row r="4604" spans="2:3">
      <c r="B4604" s="252"/>
      <c r="C4604" s="268"/>
    </row>
    <row r="4605" spans="2:3">
      <c r="B4605" s="252"/>
      <c r="C4605" s="268"/>
    </row>
    <row r="4606" spans="2:3">
      <c r="B4606" s="252"/>
      <c r="C4606" s="268"/>
    </row>
    <row r="4607" spans="2:3">
      <c r="B4607" s="252"/>
      <c r="C4607" s="268"/>
    </row>
    <row r="4608" spans="2:3">
      <c r="B4608" s="252"/>
      <c r="C4608" s="268"/>
    </row>
    <row r="4609" spans="2:3">
      <c r="B4609" s="252"/>
      <c r="C4609" s="268"/>
    </row>
    <row r="4610" spans="2:3">
      <c r="B4610" s="252"/>
      <c r="C4610" s="268"/>
    </row>
    <row r="4611" spans="2:3">
      <c r="B4611" s="252"/>
      <c r="C4611" s="268"/>
    </row>
    <row r="4612" spans="2:3">
      <c r="B4612" s="252"/>
      <c r="C4612" s="268"/>
    </row>
    <row r="4613" spans="2:3">
      <c r="B4613" s="252"/>
      <c r="C4613" s="268"/>
    </row>
    <row r="4614" spans="2:3">
      <c r="B4614" s="252"/>
      <c r="C4614" s="268"/>
    </row>
    <row r="4615" spans="2:3">
      <c r="B4615" s="252"/>
      <c r="C4615" s="268"/>
    </row>
    <row r="4616" spans="2:3">
      <c r="B4616" s="252"/>
      <c r="C4616" s="268"/>
    </row>
    <row r="4617" spans="2:3">
      <c r="B4617" s="252"/>
      <c r="C4617" s="268"/>
    </row>
    <row r="4618" spans="2:3">
      <c r="B4618" s="252"/>
      <c r="C4618" s="268"/>
    </row>
    <row r="4619" spans="2:3">
      <c r="B4619" s="252"/>
      <c r="C4619" s="268"/>
    </row>
    <row r="4620" spans="2:3">
      <c r="B4620" s="252"/>
      <c r="C4620" s="268"/>
    </row>
    <row r="4621" spans="2:3">
      <c r="B4621" s="252"/>
      <c r="C4621" s="268"/>
    </row>
    <row r="4622" spans="2:3">
      <c r="B4622" s="252"/>
      <c r="C4622" s="268"/>
    </row>
    <row r="4623" spans="2:3">
      <c r="B4623" s="252"/>
      <c r="C4623" s="268"/>
    </row>
    <row r="4624" spans="2:3">
      <c r="B4624" s="252"/>
      <c r="C4624" s="268"/>
    </row>
    <row r="4625" spans="2:3">
      <c r="B4625" s="252"/>
      <c r="C4625" s="268"/>
    </row>
    <row r="4626" spans="2:3">
      <c r="B4626" s="252"/>
      <c r="C4626" s="268"/>
    </row>
    <row r="4627" spans="2:3">
      <c r="B4627" s="252"/>
      <c r="C4627" s="268"/>
    </row>
    <row r="4628" spans="2:3">
      <c r="B4628" s="252"/>
      <c r="C4628" s="268"/>
    </row>
    <row r="4629" spans="2:3">
      <c r="B4629" s="252"/>
      <c r="C4629" s="268"/>
    </row>
    <row r="4630" spans="2:3">
      <c r="B4630" s="252"/>
      <c r="C4630" s="268"/>
    </row>
    <row r="4631" spans="2:3">
      <c r="B4631" s="252"/>
      <c r="C4631" s="268"/>
    </row>
    <row r="4632" spans="2:3">
      <c r="B4632" s="252"/>
      <c r="C4632" s="268"/>
    </row>
    <row r="4633" spans="2:3">
      <c r="B4633" s="252"/>
      <c r="C4633" s="268"/>
    </row>
    <row r="4634" spans="2:3">
      <c r="B4634" s="252"/>
      <c r="C4634" s="268"/>
    </row>
    <row r="4635" spans="2:3">
      <c r="B4635" s="252"/>
      <c r="C4635" s="268"/>
    </row>
    <row r="4636" spans="2:3">
      <c r="B4636" s="252"/>
      <c r="C4636" s="268"/>
    </row>
    <row r="4637" spans="2:3">
      <c r="B4637" s="252"/>
      <c r="C4637" s="268"/>
    </row>
    <row r="4638" spans="2:3">
      <c r="B4638" s="252"/>
      <c r="C4638" s="268"/>
    </row>
    <row r="4639" spans="2:3">
      <c r="B4639" s="252"/>
      <c r="C4639" s="268"/>
    </row>
    <row r="4640" spans="2:3">
      <c r="B4640" s="252"/>
      <c r="C4640" s="268"/>
    </row>
    <row r="4641" spans="2:3">
      <c r="B4641" s="252"/>
      <c r="C4641" s="268"/>
    </row>
    <row r="4642" spans="2:3">
      <c r="B4642" s="252"/>
      <c r="C4642" s="268"/>
    </row>
    <row r="4643" spans="2:3">
      <c r="B4643" s="252"/>
      <c r="C4643" s="268"/>
    </row>
    <row r="4644" spans="2:3">
      <c r="B4644" s="252"/>
      <c r="C4644" s="268"/>
    </row>
    <row r="4645" spans="2:3">
      <c r="B4645" s="252"/>
      <c r="C4645" s="268"/>
    </row>
    <row r="4646" spans="2:3">
      <c r="B4646" s="252"/>
      <c r="C4646" s="268"/>
    </row>
    <row r="4647" spans="2:3">
      <c r="B4647" s="252"/>
      <c r="C4647" s="268"/>
    </row>
    <row r="4648" spans="2:3">
      <c r="B4648" s="252"/>
      <c r="C4648" s="268"/>
    </row>
    <row r="4649" spans="2:3">
      <c r="B4649" s="252"/>
      <c r="C4649" s="268"/>
    </row>
    <row r="4650" spans="2:3">
      <c r="B4650" s="252"/>
      <c r="C4650" s="268"/>
    </row>
    <row r="4651" spans="2:3">
      <c r="B4651" s="252"/>
      <c r="C4651" s="268"/>
    </row>
    <row r="4652" spans="2:3">
      <c r="B4652" s="252"/>
      <c r="C4652" s="268"/>
    </row>
    <row r="4653" spans="2:3">
      <c r="B4653" s="252"/>
      <c r="C4653" s="268"/>
    </row>
    <row r="4654" spans="2:3">
      <c r="B4654" s="252"/>
      <c r="C4654" s="268"/>
    </row>
    <row r="4655" spans="2:3">
      <c r="B4655" s="252"/>
      <c r="C4655" s="268"/>
    </row>
    <row r="4656" spans="2:3">
      <c r="B4656" s="252"/>
      <c r="C4656" s="268"/>
    </row>
    <row r="4657" spans="2:3">
      <c r="B4657" s="252"/>
      <c r="C4657" s="268"/>
    </row>
    <row r="4658" spans="2:3">
      <c r="B4658" s="252"/>
      <c r="C4658" s="268"/>
    </row>
    <row r="4659" spans="2:3">
      <c r="B4659" s="252"/>
      <c r="C4659" s="268"/>
    </row>
    <row r="4660" spans="2:3">
      <c r="B4660" s="252"/>
      <c r="C4660" s="268"/>
    </row>
    <row r="4661" spans="2:3">
      <c r="B4661" s="252"/>
      <c r="C4661" s="268"/>
    </row>
    <row r="4662" spans="2:3">
      <c r="B4662" s="252"/>
      <c r="C4662" s="268"/>
    </row>
    <row r="4663" spans="2:3">
      <c r="B4663" s="252"/>
      <c r="C4663" s="268"/>
    </row>
    <row r="4664" spans="2:3">
      <c r="B4664" s="252"/>
      <c r="C4664" s="268"/>
    </row>
    <row r="4665" spans="2:3">
      <c r="B4665" s="252"/>
      <c r="C4665" s="268"/>
    </row>
    <row r="4666" spans="2:3">
      <c r="B4666" s="252"/>
      <c r="C4666" s="268"/>
    </row>
    <row r="4667" spans="2:3">
      <c r="B4667" s="252"/>
      <c r="C4667" s="268"/>
    </row>
    <row r="4668" spans="2:3">
      <c r="B4668" s="252"/>
      <c r="C4668" s="268"/>
    </row>
    <row r="4669" spans="2:3">
      <c r="B4669" s="252"/>
      <c r="C4669" s="268"/>
    </row>
    <row r="4670" spans="2:3">
      <c r="B4670" s="252"/>
      <c r="C4670" s="268"/>
    </row>
    <row r="4671" spans="2:3">
      <c r="B4671" s="252"/>
      <c r="C4671" s="268"/>
    </row>
    <row r="4672" spans="2:3">
      <c r="B4672" s="252"/>
      <c r="C4672" s="268"/>
    </row>
    <row r="4673" spans="2:3">
      <c r="B4673" s="252"/>
      <c r="C4673" s="268"/>
    </row>
    <row r="4674" spans="2:3">
      <c r="B4674" s="252"/>
      <c r="C4674" s="268"/>
    </row>
    <row r="4675" spans="2:3">
      <c r="B4675" s="252"/>
      <c r="C4675" s="268"/>
    </row>
    <row r="4676" spans="2:3">
      <c r="B4676" s="252"/>
      <c r="C4676" s="268"/>
    </row>
    <row r="4677" spans="2:3">
      <c r="B4677" s="252"/>
      <c r="C4677" s="268"/>
    </row>
    <row r="4678" spans="2:3">
      <c r="B4678" s="252"/>
      <c r="C4678" s="268"/>
    </row>
    <row r="4679" spans="2:3">
      <c r="B4679" s="252"/>
      <c r="C4679" s="268"/>
    </row>
    <row r="4680" spans="2:3">
      <c r="B4680" s="252"/>
      <c r="C4680" s="268"/>
    </row>
    <row r="4681" spans="2:3">
      <c r="B4681" s="252"/>
      <c r="C4681" s="268"/>
    </row>
    <row r="4682" spans="2:3">
      <c r="B4682" s="252"/>
      <c r="C4682" s="268"/>
    </row>
    <row r="4683" spans="2:3">
      <c r="B4683" s="252"/>
      <c r="C4683" s="268"/>
    </row>
    <row r="4684" spans="2:3">
      <c r="B4684" s="252"/>
      <c r="C4684" s="268"/>
    </row>
    <row r="4685" spans="2:3">
      <c r="B4685" s="252"/>
      <c r="C4685" s="268"/>
    </row>
    <row r="4686" spans="2:3">
      <c r="B4686" s="252"/>
      <c r="C4686" s="268"/>
    </row>
    <row r="4687" spans="2:3">
      <c r="B4687" s="252"/>
      <c r="C4687" s="268"/>
    </row>
    <row r="4688" spans="2:3">
      <c r="B4688" s="252"/>
      <c r="C4688" s="268"/>
    </row>
    <row r="4689" spans="2:3">
      <c r="B4689" s="252"/>
      <c r="C4689" s="268"/>
    </row>
    <row r="4690" spans="2:3">
      <c r="B4690" s="252"/>
      <c r="C4690" s="268"/>
    </row>
    <row r="4691" spans="2:3">
      <c r="B4691" s="252"/>
      <c r="C4691" s="268"/>
    </row>
    <row r="4692" spans="2:3">
      <c r="B4692" s="252"/>
      <c r="C4692" s="268"/>
    </row>
    <row r="4693" spans="2:3">
      <c r="B4693" s="252"/>
      <c r="C4693" s="268"/>
    </row>
    <row r="4694" spans="2:3">
      <c r="B4694" s="252"/>
      <c r="C4694" s="268"/>
    </row>
    <row r="4695" spans="2:3">
      <c r="B4695" s="252"/>
      <c r="C4695" s="268"/>
    </row>
    <row r="4696" spans="2:3">
      <c r="B4696" s="252"/>
      <c r="C4696" s="268"/>
    </row>
    <row r="4697" spans="2:3">
      <c r="B4697" s="252"/>
      <c r="C4697" s="268"/>
    </row>
    <row r="4698" spans="2:3">
      <c r="B4698" s="252"/>
      <c r="C4698" s="268"/>
    </row>
    <row r="4699" spans="2:3">
      <c r="B4699" s="252"/>
      <c r="C4699" s="268"/>
    </row>
    <row r="4700" spans="2:3">
      <c r="B4700" s="252"/>
      <c r="C4700" s="268"/>
    </row>
    <row r="4701" spans="2:3">
      <c r="B4701" s="252"/>
      <c r="C4701" s="268"/>
    </row>
    <row r="4702" spans="2:3">
      <c r="B4702" s="252"/>
      <c r="C4702" s="268"/>
    </row>
    <row r="4703" spans="2:3">
      <c r="B4703" s="252"/>
      <c r="C4703" s="268"/>
    </row>
    <row r="4704" spans="2:3">
      <c r="B4704" s="252"/>
      <c r="C4704" s="268"/>
    </row>
    <row r="4705" spans="2:3">
      <c r="B4705" s="252"/>
      <c r="C4705" s="268"/>
    </row>
    <row r="4706" spans="2:3">
      <c r="B4706" s="252"/>
      <c r="C4706" s="268"/>
    </row>
    <row r="4707" spans="2:3">
      <c r="B4707" s="252"/>
      <c r="C4707" s="268"/>
    </row>
    <row r="4708" spans="2:3">
      <c r="B4708" s="252"/>
      <c r="C4708" s="268"/>
    </row>
    <row r="4709" spans="2:3">
      <c r="B4709" s="252"/>
      <c r="C4709" s="268"/>
    </row>
    <row r="4710" spans="2:3">
      <c r="B4710" s="252"/>
      <c r="C4710" s="268"/>
    </row>
    <row r="4711" spans="2:3">
      <c r="B4711" s="252"/>
      <c r="C4711" s="268"/>
    </row>
    <row r="4712" spans="2:3">
      <c r="B4712" s="252"/>
      <c r="C4712" s="268"/>
    </row>
    <row r="4713" spans="2:3">
      <c r="B4713" s="252"/>
      <c r="C4713" s="268"/>
    </row>
    <row r="4714" spans="2:3">
      <c r="B4714" s="252"/>
      <c r="C4714" s="268"/>
    </row>
    <row r="4715" spans="2:3">
      <c r="B4715" s="252"/>
      <c r="C4715" s="268"/>
    </row>
    <row r="4716" spans="2:3">
      <c r="B4716" s="252"/>
      <c r="C4716" s="268"/>
    </row>
    <row r="4717" spans="2:3">
      <c r="B4717" s="252"/>
      <c r="C4717" s="268"/>
    </row>
    <row r="4718" spans="2:3">
      <c r="B4718" s="252"/>
      <c r="C4718" s="268"/>
    </row>
    <row r="4719" spans="2:3">
      <c r="B4719" s="252"/>
      <c r="C4719" s="268"/>
    </row>
    <row r="4720" spans="2:3">
      <c r="B4720" s="252"/>
      <c r="C4720" s="268"/>
    </row>
    <row r="4721" spans="2:3">
      <c r="B4721" s="252"/>
      <c r="C4721" s="268"/>
    </row>
    <row r="4722" spans="2:3">
      <c r="B4722" s="252"/>
      <c r="C4722" s="268"/>
    </row>
    <row r="4723" spans="2:3">
      <c r="B4723" s="252"/>
      <c r="C4723" s="268"/>
    </row>
    <row r="4724" spans="2:3">
      <c r="B4724" s="252"/>
      <c r="C4724" s="268"/>
    </row>
    <row r="4725" spans="2:3">
      <c r="B4725" s="252"/>
      <c r="C4725" s="268"/>
    </row>
    <row r="4726" spans="2:3">
      <c r="B4726" s="252"/>
      <c r="C4726" s="268"/>
    </row>
    <row r="4727" spans="2:3">
      <c r="B4727" s="252"/>
      <c r="C4727" s="268"/>
    </row>
    <row r="4728" spans="2:3">
      <c r="B4728" s="252"/>
      <c r="C4728" s="268"/>
    </row>
    <row r="4729" spans="2:3">
      <c r="B4729" s="252"/>
      <c r="C4729" s="268"/>
    </row>
    <row r="4730" spans="2:3">
      <c r="B4730" s="252"/>
      <c r="C4730" s="268"/>
    </row>
    <row r="4731" spans="2:3">
      <c r="B4731" s="252"/>
      <c r="C4731" s="268"/>
    </row>
    <row r="4732" spans="2:3">
      <c r="B4732" s="252"/>
      <c r="C4732" s="268"/>
    </row>
    <row r="4733" spans="2:3">
      <c r="B4733" s="252"/>
      <c r="C4733" s="268"/>
    </row>
    <row r="4734" spans="2:3">
      <c r="B4734" s="252"/>
      <c r="C4734" s="268"/>
    </row>
    <row r="4735" spans="2:3">
      <c r="B4735" s="252"/>
      <c r="C4735" s="268"/>
    </row>
    <row r="4736" spans="2:3">
      <c r="B4736" s="252"/>
      <c r="C4736" s="268"/>
    </row>
    <row r="4737" spans="2:3">
      <c r="B4737" s="252"/>
      <c r="C4737" s="268"/>
    </row>
    <row r="4738" spans="2:3">
      <c r="B4738" s="252"/>
      <c r="C4738" s="268"/>
    </row>
    <row r="4739" spans="2:3">
      <c r="B4739" s="252"/>
      <c r="C4739" s="268"/>
    </row>
    <row r="4740" spans="2:3">
      <c r="B4740" s="252"/>
      <c r="C4740" s="268"/>
    </row>
    <row r="4741" spans="2:3">
      <c r="B4741" s="252"/>
      <c r="C4741" s="268"/>
    </row>
    <row r="4742" spans="2:3">
      <c r="B4742" s="252"/>
      <c r="C4742" s="268"/>
    </row>
    <row r="4743" spans="2:3">
      <c r="B4743" s="252"/>
      <c r="C4743" s="268"/>
    </row>
    <row r="4744" spans="2:3">
      <c r="B4744" s="252"/>
      <c r="C4744" s="268"/>
    </row>
    <row r="4745" spans="2:3">
      <c r="B4745" s="252"/>
      <c r="C4745" s="268"/>
    </row>
    <row r="4746" spans="2:3">
      <c r="B4746" s="252"/>
      <c r="C4746" s="268"/>
    </row>
    <row r="4747" spans="2:3">
      <c r="B4747" s="252"/>
      <c r="C4747" s="268"/>
    </row>
    <row r="4748" spans="2:3">
      <c r="B4748" s="252"/>
      <c r="C4748" s="268"/>
    </row>
    <row r="4749" spans="2:3">
      <c r="B4749" s="252"/>
      <c r="C4749" s="268"/>
    </row>
    <row r="4750" spans="2:3">
      <c r="B4750" s="252"/>
      <c r="C4750" s="268"/>
    </row>
    <row r="4751" spans="2:3">
      <c r="B4751" s="252"/>
      <c r="C4751" s="268"/>
    </row>
    <row r="4752" spans="2:3">
      <c r="B4752" s="252"/>
      <c r="C4752" s="268"/>
    </row>
    <row r="4753" spans="2:3">
      <c r="B4753" s="252"/>
      <c r="C4753" s="268"/>
    </row>
    <row r="4754" spans="2:3">
      <c r="B4754" s="252"/>
      <c r="C4754" s="268"/>
    </row>
    <row r="4755" spans="2:3">
      <c r="B4755" s="252"/>
      <c r="C4755" s="268"/>
    </row>
    <row r="4756" spans="2:3">
      <c r="B4756" s="252"/>
      <c r="C4756" s="268"/>
    </row>
    <row r="4757" spans="2:3">
      <c r="B4757" s="252"/>
      <c r="C4757" s="268"/>
    </row>
    <row r="4758" spans="2:3">
      <c r="B4758" s="252"/>
      <c r="C4758" s="268"/>
    </row>
    <row r="4759" spans="2:3">
      <c r="B4759" s="252"/>
      <c r="C4759" s="268"/>
    </row>
    <row r="4760" spans="2:3">
      <c r="B4760" s="252"/>
      <c r="C4760" s="268"/>
    </row>
    <row r="4761" spans="2:3">
      <c r="B4761" s="252"/>
      <c r="C4761" s="268"/>
    </row>
    <row r="4762" spans="2:3">
      <c r="B4762" s="252"/>
      <c r="C4762" s="268"/>
    </row>
    <row r="4763" spans="2:3">
      <c r="B4763" s="252"/>
      <c r="C4763" s="268"/>
    </row>
    <row r="4764" spans="2:3">
      <c r="B4764" s="252"/>
      <c r="C4764" s="268"/>
    </row>
    <row r="4765" spans="2:3">
      <c r="B4765" s="252"/>
      <c r="C4765" s="268"/>
    </row>
    <row r="4766" spans="2:3">
      <c r="B4766" s="252"/>
      <c r="C4766" s="268"/>
    </row>
    <row r="4767" spans="2:3">
      <c r="B4767" s="252"/>
      <c r="C4767" s="268"/>
    </row>
    <row r="4768" spans="2:3">
      <c r="B4768" s="252"/>
      <c r="C4768" s="268"/>
    </row>
    <row r="4769" spans="2:3">
      <c r="B4769" s="252"/>
      <c r="C4769" s="268"/>
    </row>
    <row r="4770" spans="2:3">
      <c r="B4770" s="252"/>
      <c r="C4770" s="268"/>
    </row>
    <row r="4771" spans="2:3">
      <c r="B4771" s="252"/>
      <c r="C4771" s="268"/>
    </row>
    <row r="4772" spans="2:3">
      <c r="B4772" s="252"/>
      <c r="C4772" s="268"/>
    </row>
    <row r="4773" spans="2:3">
      <c r="B4773" s="252"/>
      <c r="C4773" s="268"/>
    </row>
    <row r="4774" spans="2:3">
      <c r="B4774" s="252"/>
      <c r="C4774" s="268"/>
    </row>
    <row r="4775" spans="2:3">
      <c r="B4775" s="252"/>
      <c r="C4775" s="268"/>
    </row>
    <row r="4776" spans="2:3">
      <c r="B4776" s="252"/>
      <c r="C4776" s="268"/>
    </row>
    <row r="4777" spans="2:3">
      <c r="B4777" s="252"/>
      <c r="C4777" s="268"/>
    </row>
    <row r="4778" spans="2:3">
      <c r="B4778" s="252"/>
      <c r="C4778" s="268"/>
    </row>
    <row r="4779" spans="2:3">
      <c r="B4779" s="252"/>
      <c r="C4779" s="268"/>
    </row>
    <row r="4780" spans="2:3">
      <c r="B4780" s="252"/>
      <c r="C4780" s="268"/>
    </row>
    <row r="4781" spans="2:3">
      <c r="B4781" s="252"/>
      <c r="C4781" s="268"/>
    </row>
    <row r="4782" spans="2:3">
      <c r="B4782" s="252"/>
      <c r="C4782" s="268"/>
    </row>
    <row r="4783" spans="2:3">
      <c r="B4783" s="252"/>
      <c r="C4783" s="268"/>
    </row>
    <row r="4784" spans="2:3">
      <c r="B4784" s="252"/>
      <c r="C4784" s="268"/>
    </row>
    <row r="4785" spans="2:3">
      <c r="B4785" s="252"/>
      <c r="C4785" s="268"/>
    </row>
    <row r="4786" spans="2:3">
      <c r="B4786" s="252"/>
      <c r="C4786" s="268"/>
    </row>
    <row r="4787" spans="2:3">
      <c r="B4787" s="252"/>
      <c r="C4787" s="268"/>
    </row>
    <row r="4788" spans="2:3">
      <c r="B4788" s="252"/>
      <c r="C4788" s="268"/>
    </row>
    <row r="4789" spans="2:3">
      <c r="B4789" s="252"/>
      <c r="C4789" s="268"/>
    </row>
    <row r="4790" spans="2:3">
      <c r="B4790" s="252"/>
      <c r="C4790" s="268"/>
    </row>
    <row r="4791" spans="2:3">
      <c r="B4791" s="252"/>
      <c r="C4791" s="268"/>
    </row>
    <row r="4792" spans="2:3">
      <c r="B4792" s="252"/>
      <c r="C4792" s="268"/>
    </row>
    <row r="4793" spans="2:3">
      <c r="B4793" s="252"/>
      <c r="C4793" s="268"/>
    </row>
    <row r="4794" spans="2:3">
      <c r="B4794" s="252"/>
      <c r="C4794" s="268"/>
    </row>
    <row r="4795" spans="2:3">
      <c r="B4795" s="252"/>
      <c r="C4795" s="268"/>
    </row>
    <row r="4796" spans="2:3">
      <c r="B4796" s="252"/>
      <c r="C4796" s="268"/>
    </row>
    <row r="4797" spans="2:3">
      <c r="B4797" s="252"/>
      <c r="C4797" s="268"/>
    </row>
    <row r="4798" spans="2:3">
      <c r="B4798" s="252"/>
      <c r="C4798" s="268"/>
    </row>
    <row r="4799" spans="2:3">
      <c r="B4799" s="252"/>
      <c r="C4799" s="268"/>
    </row>
    <row r="4800" spans="2:3">
      <c r="B4800" s="252"/>
      <c r="C4800" s="268"/>
    </row>
    <row r="4801" spans="2:3">
      <c r="B4801" s="252"/>
      <c r="C4801" s="268"/>
    </row>
    <row r="4802" spans="2:3">
      <c r="B4802" s="252"/>
      <c r="C4802" s="268"/>
    </row>
    <row r="4803" spans="2:3">
      <c r="B4803" s="252"/>
      <c r="C4803" s="268"/>
    </row>
    <row r="4804" spans="2:3">
      <c r="B4804" s="252"/>
      <c r="C4804" s="268"/>
    </row>
    <row r="4805" spans="2:3">
      <c r="B4805" s="252"/>
      <c r="C4805" s="268"/>
    </row>
    <row r="4806" spans="2:3">
      <c r="B4806" s="252"/>
      <c r="C4806" s="268"/>
    </row>
    <row r="4807" spans="2:3">
      <c r="B4807" s="252"/>
      <c r="C4807" s="268"/>
    </row>
    <row r="4808" spans="2:3">
      <c r="B4808" s="252"/>
      <c r="C4808" s="268"/>
    </row>
    <row r="4809" spans="2:3">
      <c r="B4809" s="252"/>
      <c r="C4809" s="268"/>
    </row>
    <row r="4810" spans="2:3">
      <c r="B4810" s="252"/>
      <c r="C4810" s="268"/>
    </row>
    <row r="4811" spans="2:3">
      <c r="B4811" s="252"/>
      <c r="C4811" s="268"/>
    </row>
    <row r="4812" spans="2:3">
      <c r="B4812" s="252"/>
      <c r="C4812" s="268"/>
    </row>
    <row r="4813" spans="2:3">
      <c r="B4813" s="252"/>
      <c r="C4813" s="268"/>
    </row>
    <row r="4814" spans="2:3">
      <c r="B4814" s="252"/>
      <c r="C4814" s="268"/>
    </row>
    <row r="4815" spans="2:3">
      <c r="B4815" s="252"/>
      <c r="C4815" s="268"/>
    </row>
    <row r="4816" spans="2:3">
      <c r="B4816" s="252"/>
      <c r="C4816" s="268"/>
    </row>
    <row r="4817" spans="2:3">
      <c r="B4817" s="252"/>
      <c r="C4817" s="268"/>
    </row>
    <row r="4818" spans="2:3">
      <c r="B4818" s="252"/>
      <c r="C4818" s="268"/>
    </row>
    <row r="4819" spans="2:3">
      <c r="B4819" s="252"/>
      <c r="C4819" s="268"/>
    </row>
    <row r="4820" spans="2:3">
      <c r="B4820" s="252"/>
      <c r="C4820" s="268"/>
    </row>
    <row r="4821" spans="2:3">
      <c r="B4821" s="252"/>
      <c r="C4821" s="268"/>
    </row>
    <row r="4822" spans="2:3">
      <c r="B4822" s="252"/>
      <c r="C4822" s="268"/>
    </row>
    <row r="4823" spans="2:3">
      <c r="B4823" s="252"/>
      <c r="C4823" s="268"/>
    </row>
    <row r="4824" spans="2:3">
      <c r="B4824" s="252"/>
      <c r="C4824" s="268"/>
    </row>
    <row r="4825" spans="2:3">
      <c r="B4825" s="252"/>
      <c r="C4825" s="268"/>
    </row>
    <row r="4826" spans="2:3">
      <c r="B4826" s="252"/>
      <c r="C4826" s="268"/>
    </row>
    <row r="4827" spans="2:3">
      <c r="B4827" s="252"/>
      <c r="C4827" s="268"/>
    </row>
    <row r="4828" spans="2:3">
      <c r="B4828" s="252"/>
      <c r="C4828" s="268"/>
    </row>
    <row r="4829" spans="2:3">
      <c r="B4829" s="252"/>
      <c r="C4829" s="268"/>
    </row>
    <row r="4830" spans="2:3">
      <c r="B4830" s="252"/>
      <c r="C4830" s="268"/>
    </row>
    <row r="4831" spans="2:3">
      <c r="B4831" s="252"/>
      <c r="C4831" s="268"/>
    </row>
    <row r="4832" spans="2:3">
      <c r="B4832" s="252"/>
      <c r="C4832" s="268"/>
    </row>
    <row r="4833" spans="2:3">
      <c r="B4833" s="252"/>
      <c r="C4833" s="268"/>
    </row>
    <row r="4834" spans="2:3">
      <c r="B4834" s="252"/>
      <c r="C4834" s="268"/>
    </row>
    <row r="4835" spans="2:3">
      <c r="B4835" s="252"/>
      <c r="C4835" s="268"/>
    </row>
    <row r="4836" spans="2:3">
      <c r="B4836" s="252"/>
      <c r="C4836" s="268"/>
    </row>
    <row r="4837" spans="2:3">
      <c r="B4837" s="252"/>
      <c r="C4837" s="268"/>
    </row>
    <row r="4838" spans="2:3">
      <c r="B4838" s="252"/>
      <c r="C4838" s="268"/>
    </row>
    <row r="4839" spans="2:3">
      <c r="B4839" s="252"/>
      <c r="C4839" s="268"/>
    </row>
    <row r="4840" spans="2:3">
      <c r="B4840" s="252"/>
      <c r="C4840" s="268"/>
    </row>
    <row r="4841" spans="2:3">
      <c r="B4841" s="252"/>
      <c r="C4841" s="268"/>
    </row>
    <row r="4842" spans="2:3">
      <c r="B4842" s="252"/>
      <c r="C4842" s="268"/>
    </row>
    <row r="4843" spans="2:3">
      <c r="B4843" s="252"/>
      <c r="C4843" s="268"/>
    </row>
    <row r="4844" spans="2:3">
      <c r="B4844" s="252"/>
      <c r="C4844" s="268"/>
    </row>
    <row r="4845" spans="2:3">
      <c r="B4845" s="252"/>
      <c r="C4845" s="268"/>
    </row>
    <row r="4846" spans="2:3">
      <c r="B4846" s="252"/>
      <c r="C4846" s="268"/>
    </row>
    <row r="4847" spans="2:3">
      <c r="B4847" s="252"/>
      <c r="C4847" s="268"/>
    </row>
    <row r="4848" spans="2:3">
      <c r="B4848" s="252"/>
      <c r="C4848" s="268"/>
    </row>
    <row r="4849" spans="2:3">
      <c r="B4849" s="252"/>
      <c r="C4849" s="268"/>
    </row>
    <row r="4850" spans="2:3">
      <c r="B4850" s="252"/>
      <c r="C4850" s="268"/>
    </row>
    <row r="4851" spans="2:3">
      <c r="B4851" s="252"/>
      <c r="C4851" s="268"/>
    </row>
    <row r="4852" spans="2:3">
      <c r="B4852" s="252"/>
      <c r="C4852" s="268"/>
    </row>
    <row r="4853" spans="2:3">
      <c r="B4853" s="252"/>
      <c r="C4853" s="268"/>
    </row>
    <row r="4854" spans="2:3">
      <c r="B4854" s="252"/>
      <c r="C4854" s="268"/>
    </row>
    <row r="4855" spans="2:3">
      <c r="B4855" s="252"/>
      <c r="C4855" s="268"/>
    </row>
    <row r="4856" spans="2:3">
      <c r="B4856" s="252"/>
      <c r="C4856" s="268"/>
    </row>
    <row r="4857" spans="2:3">
      <c r="B4857" s="252"/>
      <c r="C4857" s="268"/>
    </row>
    <row r="4858" spans="2:3">
      <c r="B4858" s="252"/>
      <c r="C4858" s="268"/>
    </row>
    <row r="4859" spans="2:3">
      <c r="B4859" s="252"/>
      <c r="C4859" s="268"/>
    </row>
    <row r="4860" spans="2:3">
      <c r="B4860" s="252"/>
      <c r="C4860" s="268"/>
    </row>
    <row r="4861" spans="2:3">
      <c r="B4861" s="252"/>
      <c r="C4861" s="268"/>
    </row>
    <row r="4862" spans="2:3">
      <c r="B4862" s="252"/>
      <c r="C4862" s="268"/>
    </row>
    <row r="4863" spans="2:3">
      <c r="B4863" s="252"/>
      <c r="C4863" s="268"/>
    </row>
    <row r="4864" spans="2:3">
      <c r="B4864" s="252"/>
      <c r="C4864" s="268"/>
    </row>
    <row r="4865" spans="2:3">
      <c r="B4865" s="252"/>
      <c r="C4865" s="268"/>
    </row>
    <row r="4866" spans="2:3">
      <c r="B4866" s="252"/>
      <c r="C4866" s="268"/>
    </row>
    <row r="4867" spans="2:3">
      <c r="B4867" s="252"/>
      <c r="C4867" s="268"/>
    </row>
    <row r="4868" spans="2:3">
      <c r="B4868" s="252"/>
      <c r="C4868" s="268"/>
    </row>
    <row r="4869" spans="2:3">
      <c r="B4869" s="252"/>
      <c r="C4869" s="268"/>
    </row>
    <row r="4870" spans="2:3">
      <c r="B4870" s="252"/>
      <c r="C4870" s="268"/>
    </row>
    <row r="4871" spans="2:3">
      <c r="B4871" s="252"/>
      <c r="C4871" s="268"/>
    </row>
    <row r="4872" spans="2:3">
      <c r="B4872" s="252"/>
      <c r="C4872" s="268"/>
    </row>
    <row r="4873" spans="2:3">
      <c r="B4873" s="252"/>
      <c r="C4873" s="268"/>
    </row>
    <row r="4874" spans="2:3">
      <c r="B4874" s="252"/>
      <c r="C4874" s="268"/>
    </row>
    <row r="4875" spans="2:3">
      <c r="B4875" s="252"/>
      <c r="C4875" s="268"/>
    </row>
    <row r="4876" spans="2:3">
      <c r="B4876" s="252"/>
      <c r="C4876" s="268"/>
    </row>
    <row r="4877" spans="2:3">
      <c r="B4877" s="252"/>
      <c r="C4877" s="268"/>
    </row>
    <row r="4878" spans="2:3">
      <c r="B4878" s="252"/>
      <c r="C4878" s="268"/>
    </row>
    <row r="4879" spans="2:3">
      <c r="B4879" s="252"/>
      <c r="C4879" s="268"/>
    </row>
    <row r="4880" spans="2:3">
      <c r="B4880" s="252"/>
      <c r="C4880" s="268"/>
    </row>
    <row r="4881" spans="2:3">
      <c r="B4881" s="252"/>
      <c r="C4881" s="268"/>
    </row>
    <row r="4882" spans="2:3">
      <c r="B4882" s="252"/>
      <c r="C4882" s="268"/>
    </row>
    <row r="4883" spans="2:3">
      <c r="B4883" s="252"/>
      <c r="C4883" s="268"/>
    </row>
    <row r="4884" spans="2:3">
      <c r="B4884" s="252"/>
      <c r="C4884" s="268"/>
    </row>
    <row r="4885" spans="2:3">
      <c r="B4885" s="252"/>
      <c r="C4885" s="268"/>
    </row>
    <row r="4886" spans="2:3">
      <c r="B4886" s="252"/>
      <c r="C4886" s="268"/>
    </row>
    <row r="4887" spans="2:3">
      <c r="B4887" s="252"/>
      <c r="C4887" s="268"/>
    </row>
    <row r="4888" spans="2:3">
      <c r="B4888" s="252"/>
      <c r="C4888" s="268"/>
    </row>
    <row r="4889" spans="2:3">
      <c r="B4889" s="252"/>
      <c r="C4889" s="268"/>
    </row>
    <row r="4890" spans="2:3">
      <c r="B4890" s="252"/>
      <c r="C4890" s="268"/>
    </row>
    <row r="4891" spans="2:3">
      <c r="B4891" s="252"/>
      <c r="C4891" s="268"/>
    </row>
    <row r="4892" spans="2:3">
      <c r="B4892" s="252"/>
      <c r="C4892" s="268"/>
    </row>
    <row r="4893" spans="2:3">
      <c r="B4893" s="252"/>
      <c r="C4893" s="268"/>
    </row>
    <row r="4894" spans="2:3">
      <c r="B4894" s="252"/>
      <c r="C4894" s="268"/>
    </row>
    <row r="4895" spans="2:3">
      <c r="B4895" s="252"/>
      <c r="C4895" s="268"/>
    </row>
    <row r="4896" spans="2:3">
      <c r="B4896" s="252"/>
      <c r="C4896" s="268"/>
    </row>
    <row r="4897" spans="2:3">
      <c r="B4897" s="252"/>
      <c r="C4897" s="268"/>
    </row>
    <row r="4898" spans="2:3">
      <c r="B4898" s="252"/>
      <c r="C4898" s="268"/>
    </row>
    <row r="4899" spans="2:3">
      <c r="B4899" s="252"/>
      <c r="C4899" s="268"/>
    </row>
    <row r="4900" spans="2:3">
      <c r="B4900" s="252"/>
      <c r="C4900" s="268"/>
    </row>
    <row r="4901" spans="2:3">
      <c r="B4901" s="252"/>
      <c r="C4901" s="268"/>
    </row>
    <row r="4902" spans="2:3">
      <c r="B4902" s="252"/>
      <c r="C4902" s="268"/>
    </row>
    <row r="4903" spans="2:3">
      <c r="B4903" s="252"/>
      <c r="C4903" s="268"/>
    </row>
    <row r="4904" spans="2:3">
      <c r="B4904" s="252"/>
      <c r="C4904" s="268"/>
    </row>
    <row r="4905" spans="2:3">
      <c r="B4905" s="252"/>
      <c r="C4905" s="268"/>
    </row>
    <row r="4906" spans="2:3">
      <c r="B4906" s="252"/>
      <c r="C4906" s="268"/>
    </row>
    <row r="4907" spans="2:3">
      <c r="B4907" s="252"/>
      <c r="C4907" s="268"/>
    </row>
    <row r="4908" spans="2:3">
      <c r="B4908" s="252"/>
      <c r="C4908" s="268"/>
    </row>
    <row r="4909" spans="2:3">
      <c r="B4909" s="252"/>
      <c r="C4909" s="268"/>
    </row>
    <row r="4910" spans="2:3">
      <c r="B4910" s="252"/>
      <c r="C4910" s="268"/>
    </row>
    <row r="4911" spans="2:3">
      <c r="B4911" s="252"/>
      <c r="C4911" s="268"/>
    </row>
    <row r="4912" spans="2:3">
      <c r="B4912" s="252"/>
      <c r="C4912" s="268"/>
    </row>
    <row r="4913" spans="2:3">
      <c r="B4913" s="252"/>
      <c r="C4913" s="268"/>
    </row>
    <row r="4914" spans="2:3">
      <c r="B4914" s="252"/>
      <c r="C4914" s="268"/>
    </row>
    <row r="4915" spans="2:3">
      <c r="B4915" s="252"/>
      <c r="C4915" s="268"/>
    </row>
    <row r="4916" spans="2:3">
      <c r="B4916" s="252"/>
      <c r="C4916" s="268"/>
    </row>
    <row r="4917" spans="2:3">
      <c r="B4917" s="252"/>
      <c r="C4917" s="268"/>
    </row>
    <row r="4918" spans="2:3">
      <c r="B4918" s="252"/>
      <c r="C4918" s="268"/>
    </row>
    <row r="4919" spans="2:3">
      <c r="B4919" s="252"/>
      <c r="C4919" s="268"/>
    </row>
    <row r="4920" spans="2:3">
      <c r="B4920" s="252"/>
      <c r="C4920" s="268"/>
    </row>
    <row r="4921" spans="2:3">
      <c r="B4921" s="252"/>
      <c r="C4921" s="268"/>
    </row>
    <row r="4922" spans="2:3">
      <c r="B4922" s="252"/>
      <c r="C4922" s="268"/>
    </row>
    <row r="4923" spans="2:3">
      <c r="B4923" s="252"/>
      <c r="C4923" s="268"/>
    </row>
    <row r="4924" spans="2:3">
      <c r="B4924" s="252"/>
      <c r="C4924" s="268"/>
    </row>
    <row r="4925" spans="2:3">
      <c r="B4925" s="252"/>
      <c r="C4925" s="268"/>
    </row>
    <row r="4926" spans="2:3">
      <c r="B4926" s="252"/>
      <c r="C4926" s="268"/>
    </row>
    <row r="4927" spans="2:3">
      <c r="B4927" s="252"/>
      <c r="C4927" s="268"/>
    </row>
    <row r="4928" spans="2:3">
      <c r="B4928" s="252"/>
      <c r="C4928" s="268"/>
    </row>
    <row r="4929" spans="2:3">
      <c r="B4929" s="252"/>
      <c r="C4929" s="268"/>
    </row>
    <row r="4930" spans="2:3">
      <c r="B4930" s="252"/>
      <c r="C4930" s="268"/>
    </row>
    <row r="4931" spans="2:3">
      <c r="B4931" s="252"/>
      <c r="C4931" s="268"/>
    </row>
    <row r="4932" spans="2:3">
      <c r="B4932" s="252"/>
      <c r="C4932" s="268"/>
    </row>
    <row r="4933" spans="2:3">
      <c r="B4933" s="252"/>
      <c r="C4933" s="268"/>
    </row>
    <row r="4934" spans="2:3">
      <c r="B4934" s="252"/>
      <c r="C4934" s="268"/>
    </row>
    <row r="4935" spans="2:3">
      <c r="B4935" s="252"/>
      <c r="C4935" s="268"/>
    </row>
    <row r="4936" spans="2:3">
      <c r="B4936" s="252"/>
      <c r="C4936" s="268"/>
    </row>
    <row r="4937" spans="2:3">
      <c r="B4937" s="252"/>
      <c r="C4937" s="268"/>
    </row>
    <row r="4938" spans="2:3">
      <c r="B4938" s="252"/>
      <c r="C4938" s="268"/>
    </row>
    <row r="4939" spans="2:3">
      <c r="B4939" s="252"/>
      <c r="C4939" s="268"/>
    </row>
    <row r="4940" spans="2:3">
      <c r="B4940" s="252"/>
      <c r="C4940" s="268"/>
    </row>
    <row r="4941" spans="2:3">
      <c r="B4941" s="252"/>
      <c r="C4941" s="268"/>
    </row>
    <row r="4942" spans="2:3">
      <c r="B4942" s="252"/>
      <c r="C4942" s="268"/>
    </row>
    <row r="4943" spans="2:3">
      <c r="B4943" s="252"/>
      <c r="C4943" s="268"/>
    </row>
    <row r="4944" spans="2:3">
      <c r="B4944" s="252"/>
      <c r="C4944" s="268"/>
    </row>
    <row r="4945" spans="2:3">
      <c r="B4945" s="252"/>
      <c r="C4945" s="268"/>
    </row>
    <row r="4946" spans="2:3">
      <c r="B4946" s="252"/>
      <c r="C4946" s="268"/>
    </row>
    <row r="4947" spans="2:3">
      <c r="B4947" s="252"/>
      <c r="C4947" s="268"/>
    </row>
    <row r="4948" spans="2:3">
      <c r="B4948" s="252"/>
      <c r="C4948" s="268"/>
    </row>
    <row r="4949" spans="2:3">
      <c r="B4949" s="252"/>
      <c r="C4949" s="268"/>
    </row>
    <row r="4950" spans="2:3">
      <c r="B4950" s="252"/>
      <c r="C4950" s="268"/>
    </row>
    <row r="4951" spans="2:3">
      <c r="B4951" s="252"/>
      <c r="C4951" s="268"/>
    </row>
    <row r="4952" spans="2:3">
      <c r="B4952" s="252"/>
      <c r="C4952" s="268"/>
    </row>
    <row r="4953" spans="2:3">
      <c r="B4953" s="252"/>
      <c r="C4953" s="268"/>
    </row>
    <row r="4954" spans="2:3">
      <c r="B4954" s="252"/>
      <c r="C4954" s="268"/>
    </row>
    <row r="4955" spans="2:3">
      <c r="B4955" s="252"/>
      <c r="C4955" s="268"/>
    </row>
    <row r="4956" spans="2:3">
      <c r="B4956" s="252"/>
      <c r="C4956" s="268"/>
    </row>
    <row r="4957" spans="2:3">
      <c r="B4957" s="252"/>
      <c r="C4957" s="268"/>
    </row>
    <row r="4958" spans="2:3">
      <c r="B4958" s="252"/>
      <c r="C4958" s="268"/>
    </row>
    <row r="4959" spans="2:3">
      <c r="B4959" s="252"/>
      <c r="C4959" s="268"/>
    </row>
    <row r="4960" spans="2:3">
      <c r="B4960" s="252"/>
      <c r="C4960" s="268"/>
    </row>
    <row r="4961" spans="2:3">
      <c r="B4961" s="252"/>
      <c r="C4961" s="268"/>
    </row>
    <row r="4962" spans="2:3">
      <c r="B4962" s="252"/>
      <c r="C4962" s="268"/>
    </row>
    <row r="4963" spans="2:3">
      <c r="B4963" s="252"/>
      <c r="C4963" s="268"/>
    </row>
    <row r="4964" spans="2:3">
      <c r="B4964" s="252"/>
      <c r="C4964" s="268"/>
    </row>
    <row r="4965" spans="2:3">
      <c r="B4965" s="252"/>
      <c r="C4965" s="268"/>
    </row>
    <row r="4966" spans="2:3">
      <c r="B4966" s="252"/>
      <c r="C4966" s="268"/>
    </row>
    <row r="4967" spans="2:3">
      <c r="B4967" s="252"/>
      <c r="C4967" s="268"/>
    </row>
    <row r="4968" spans="2:3">
      <c r="B4968" s="252"/>
      <c r="C4968" s="268"/>
    </row>
    <row r="4969" spans="2:3">
      <c r="B4969" s="252"/>
      <c r="C4969" s="268"/>
    </row>
    <row r="4970" spans="2:3">
      <c r="B4970" s="252"/>
      <c r="C4970" s="268"/>
    </row>
    <row r="4971" spans="2:3">
      <c r="B4971" s="252"/>
      <c r="C4971" s="268"/>
    </row>
    <row r="4972" spans="2:3">
      <c r="B4972" s="252"/>
      <c r="C4972" s="268"/>
    </row>
    <row r="4973" spans="2:3">
      <c r="B4973" s="252"/>
      <c r="C4973" s="268"/>
    </row>
    <row r="4974" spans="2:3">
      <c r="B4974" s="252"/>
      <c r="C4974" s="268"/>
    </row>
    <row r="4975" spans="2:3">
      <c r="B4975" s="252"/>
      <c r="C4975" s="268"/>
    </row>
    <row r="4976" spans="2:3">
      <c r="B4976" s="252"/>
      <c r="C4976" s="268"/>
    </row>
    <row r="4977" spans="2:3">
      <c r="B4977" s="252"/>
      <c r="C4977" s="268"/>
    </row>
    <row r="4978" spans="2:3">
      <c r="B4978" s="252"/>
      <c r="C4978" s="268"/>
    </row>
    <row r="4979" spans="2:3">
      <c r="B4979" s="252"/>
      <c r="C4979" s="268"/>
    </row>
    <row r="4980" spans="2:3">
      <c r="B4980" s="252"/>
      <c r="C4980" s="268"/>
    </row>
    <row r="4981" spans="2:3">
      <c r="B4981" s="252"/>
      <c r="C4981" s="268"/>
    </row>
    <row r="4982" spans="2:3">
      <c r="B4982" s="252"/>
      <c r="C4982" s="268"/>
    </row>
    <row r="4983" spans="2:3">
      <c r="B4983" s="252"/>
      <c r="C4983" s="268"/>
    </row>
    <row r="4984" spans="2:3">
      <c r="B4984" s="252"/>
      <c r="C4984" s="268"/>
    </row>
    <row r="4985" spans="2:3">
      <c r="B4985" s="252"/>
      <c r="C4985" s="268"/>
    </row>
    <row r="4986" spans="2:3">
      <c r="B4986" s="252"/>
      <c r="C4986" s="268"/>
    </row>
    <row r="4987" spans="2:3">
      <c r="B4987" s="252"/>
      <c r="C4987" s="268"/>
    </row>
    <row r="4988" spans="2:3">
      <c r="B4988" s="252"/>
      <c r="C4988" s="268"/>
    </row>
    <row r="4989" spans="2:3">
      <c r="B4989" s="252"/>
      <c r="C4989" s="268"/>
    </row>
    <row r="4990" spans="2:3">
      <c r="B4990" s="252"/>
      <c r="C4990" s="268"/>
    </row>
    <row r="4991" spans="2:3">
      <c r="B4991" s="252"/>
      <c r="C4991" s="268"/>
    </row>
    <row r="4992" spans="2:3">
      <c r="B4992" s="252"/>
      <c r="C4992" s="268"/>
    </row>
    <row r="4993" spans="2:3">
      <c r="B4993" s="252"/>
      <c r="C4993" s="268"/>
    </row>
    <row r="4994" spans="2:3">
      <c r="B4994" s="252"/>
      <c r="C4994" s="268"/>
    </row>
    <row r="4995" spans="2:3">
      <c r="B4995" s="252"/>
      <c r="C4995" s="268"/>
    </row>
    <row r="4996" spans="2:3">
      <c r="B4996" s="252"/>
      <c r="C4996" s="268"/>
    </row>
    <row r="4997" spans="2:3">
      <c r="B4997" s="252"/>
      <c r="C4997" s="268"/>
    </row>
    <row r="4998" spans="2:3">
      <c r="B4998" s="252"/>
      <c r="C4998" s="268"/>
    </row>
    <row r="4999" spans="2:3">
      <c r="B4999" s="252"/>
      <c r="C4999" s="268"/>
    </row>
    <row r="5000" spans="2:3">
      <c r="B5000" s="252"/>
      <c r="C5000" s="268"/>
    </row>
    <row r="5001" spans="2:3">
      <c r="B5001" s="252"/>
      <c r="C5001" s="268"/>
    </row>
    <row r="5002" spans="2:3">
      <c r="B5002" s="252"/>
      <c r="C5002" s="268"/>
    </row>
    <row r="5003" spans="2:3">
      <c r="B5003" s="252"/>
      <c r="C5003" s="268"/>
    </row>
    <row r="5004" spans="2:3">
      <c r="B5004" s="252"/>
      <c r="C5004" s="268"/>
    </row>
    <row r="5005" spans="2:3">
      <c r="B5005" s="252"/>
      <c r="C5005" s="268"/>
    </row>
    <row r="5006" spans="2:3">
      <c r="B5006" s="252"/>
      <c r="C5006" s="268"/>
    </row>
    <row r="5007" spans="2:3">
      <c r="B5007" s="252"/>
      <c r="C5007" s="268"/>
    </row>
    <row r="5008" spans="2:3">
      <c r="B5008" s="252"/>
      <c r="C5008" s="268"/>
    </row>
    <row r="5009" spans="2:3">
      <c r="B5009" s="252"/>
      <c r="C5009" s="268"/>
    </row>
    <row r="5010" spans="2:3">
      <c r="B5010" s="252"/>
      <c r="C5010" s="268"/>
    </row>
    <row r="5011" spans="2:3">
      <c r="B5011" s="252"/>
      <c r="C5011" s="268"/>
    </row>
    <row r="5012" spans="2:3">
      <c r="B5012" s="252"/>
      <c r="C5012" s="268"/>
    </row>
    <row r="5013" spans="2:3">
      <c r="B5013" s="252"/>
      <c r="C5013" s="268"/>
    </row>
    <row r="5014" spans="2:3">
      <c r="B5014" s="252"/>
      <c r="C5014" s="268"/>
    </row>
    <row r="5015" spans="2:3">
      <c r="B5015" s="252"/>
      <c r="C5015" s="268"/>
    </row>
    <row r="5016" spans="2:3">
      <c r="B5016" s="252"/>
      <c r="C5016" s="268"/>
    </row>
    <row r="5017" spans="2:3">
      <c r="B5017" s="252"/>
      <c r="C5017" s="268"/>
    </row>
    <row r="5018" spans="2:3">
      <c r="B5018" s="252"/>
      <c r="C5018" s="268"/>
    </row>
    <row r="5019" spans="2:3">
      <c r="B5019" s="252"/>
      <c r="C5019" s="268"/>
    </row>
    <row r="5020" spans="2:3">
      <c r="B5020" s="252"/>
      <c r="C5020" s="268"/>
    </row>
    <row r="5021" spans="2:3">
      <c r="B5021" s="252"/>
      <c r="C5021" s="268"/>
    </row>
    <row r="5022" spans="2:3">
      <c r="B5022" s="252"/>
      <c r="C5022" s="268"/>
    </row>
    <row r="5023" spans="2:3">
      <c r="B5023" s="252"/>
      <c r="C5023" s="268"/>
    </row>
    <row r="5024" spans="2:3">
      <c r="B5024" s="252"/>
      <c r="C5024" s="268"/>
    </row>
    <row r="5025" spans="2:3">
      <c r="B5025" s="252"/>
      <c r="C5025" s="268"/>
    </row>
    <row r="5026" spans="2:3">
      <c r="B5026" s="252"/>
      <c r="C5026" s="268"/>
    </row>
    <row r="5027" spans="2:3">
      <c r="B5027" s="252"/>
      <c r="C5027" s="268"/>
    </row>
    <row r="5028" spans="2:3">
      <c r="B5028" s="252"/>
      <c r="C5028" s="268"/>
    </row>
    <row r="5029" spans="2:3">
      <c r="B5029" s="252"/>
      <c r="C5029" s="268"/>
    </row>
    <row r="5030" spans="2:3">
      <c r="B5030" s="252"/>
      <c r="C5030" s="268"/>
    </row>
    <row r="5031" spans="2:3">
      <c r="B5031" s="252"/>
      <c r="C5031" s="268"/>
    </row>
    <row r="5032" spans="2:3">
      <c r="B5032" s="252"/>
      <c r="C5032" s="268"/>
    </row>
    <row r="5033" spans="2:3">
      <c r="B5033" s="252"/>
      <c r="C5033" s="268"/>
    </row>
    <row r="5034" spans="2:3">
      <c r="B5034" s="252"/>
      <c r="C5034" s="268"/>
    </row>
    <row r="5035" spans="2:3">
      <c r="B5035" s="252"/>
      <c r="C5035" s="268"/>
    </row>
    <row r="5036" spans="2:3">
      <c r="B5036" s="252"/>
      <c r="C5036" s="268"/>
    </row>
    <row r="5037" spans="2:3">
      <c r="B5037" s="252"/>
      <c r="C5037" s="268"/>
    </row>
    <row r="5038" spans="2:3">
      <c r="B5038" s="252"/>
      <c r="C5038" s="268"/>
    </row>
    <row r="5039" spans="2:3">
      <c r="B5039" s="252"/>
      <c r="C5039" s="268"/>
    </row>
    <row r="5040" spans="2:3">
      <c r="B5040" s="252"/>
      <c r="C5040" s="268"/>
    </row>
    <row r="5041" spans="2:3">
      <c r="B5041" s="252"/>
      <c r="C5041" s="268"/>
    </row>
    <row r="5042" spans="2:3">
      <c r="B5042" s="252"/>
      <c r="C5042" s="268"/>
    </row>
    <row r="5043" spans="2:3">
      <c r="B5043" s="252"/>
      <c r="C5043" s="268"/>
    </row>
    <row r="5044" spans="2:3">
      <c r="B5044" s="252"/>
      <c r="C5044" s="268"/>
    </row>
    <row r="5045" spans="2:3">
      <c r="B5045" s="252"/>
      <c r="C5045" s="268"/>
    </row>
    <row r="5046" spans="2:3">
      <c r="B5046" s="252"/>
      <c r="C5046" s="268"/>
    </row>
    <row r="5047" spans="2:3">
      <c r="B5047" s="252"/>
      <c r="C5047" s="268"/>
    </row>
    <row r="5048" spans="2:3">
      <c r="B5048" s="252"/>
      <c r="C5048" s="268"/>
    </row>
    <row r="5049" spans="2:3">
      <c r="B5049" s="252"/>
      <c r="C5049" s="268"/>
    </row>
    <row r="5050" spans="2:3">
      <c r="B5050" s="252"/>
      <c r="C5050" s="268"/>
    </row>
    <row r="5051" spans="2:3">
      <c r="B5051" s="252"/>
      <c r="C5051" s="268"/>
    </row>
    <row r="5052" spans="2:3">
      <c r="B5052" s="252"/>
      <c r="C5052" s="268"/>
    </row>
    <row r="5053" spans="2:3">
      <c r="B5053" s="252"/>
      <c r="C5053" s="268"/>
    </row>
    <row r="5054" spans="2:3">
      <c r="B5054" s="252"/>
      <c r="C5054" s="268"/>
    </row>
    <row r="5055" spans="2:3">
      <c r="B5055" s="252"/>
      <c r="C5055" s="268"/>
    </row>
    <row r="5056" spans="2:3">
      <c r="B5056" s="252"/>
      <c r="C5056" s="268"/>
    </row>
    <row r="5057" spans="2:3">
      <c r="B5057" s="252"/>
      <c r="C5057" s="268"/>
    </row>
    <row r="5058" spans="2:3">
      <c r="B5058" s="252"/>
      <c r="C5058" s="268"/>
    </row>
    <row r="5059" spans="2:3">
      <c r="B5059" s="252"/>
      <c r="C5059" s="268"/>
    </row>
    <row r="5060" spans="2:3">
      <c r="B5060" s="252"/>
      <c r="C5060" s="268"/>
    </row>
    <row r="5061" spans="2:3">
      <c r="B5061" s="252"/>
      <c r="C5061" s="268"/>
    </row>
    <row r="5062" spans="2:3">
      <c r="B5062" s="252"/>
      <c r="C5062" s="268"/>
    </row>
    <row r="5063" spans="2:3">
      <c r="B5063" s="252"/>
      <c r="C5063" s="268"/>
    </row>
    <row r="5064" spans="2:3">
      <c r="B5064" s="252"/>
      <c r="C5064" s="268"/>
    </row>
    <row r="5065" spans="2:3">
      <c r="B5065" s="252"/>
      <c r="C5065" s="268"/>
    </row>
    <row r="5066" spans="2:3">
      <c r="B5066" s="252"/>
      <c r="C5066" s="268"/>
    </row>
    <row r="5067" spans="2:3">
      <c r="B5067" s="252"/>
      <c r="C5067" s="268"/>
    </row>
    <row r="5068" spans="2:3">
      <c r="B5068" s="252"/>
      <c r="C5068" s="268"/>
    </row>
    <row r="5069" spans="2:3">
      <c r="B5069" s="252"/>
      <c r="C5069" s="268"/>
    </row>
    <row r="5070" spans="2:3">
      <c r="B5070" s="252"/>
      <c r="C5070" s="268"/>
    </row>
    <row r="5071" spans="2:3">
      <c r="B5071" s="252"/>
      <c r="C5071" s="268"/>
    </row>
    <row r="5072" spans="2:3">
      <c r="B5072" s="252"/>
      <c r="C5072" s="268"/>
    </row>
    <row r="5073" spans="2:3">
      <c r="B5073" s="252"/>
      <c r="C5073" s="268"/>
    </row>
    <row r="5074" spans="2:3">
      <c r="B5074" s="252"/>
      <c r="C5074" s="268"/>
    </row>
    <row r="5075" spans="2:3">
      <c r="B5075" s="252"/>
      <c r="C5075" s="268"/>
    </row>
    <row r="5076" spans="2:3">
      <c r="B5076" s="252"/>
      <c r="C5076" s="268"/>
    </row>
    <row r="5077" spans="2:3">
      <c r="B5077" s="252"/>
      <c r="C5077" s="268"/>
    </row>
    <row r="5078" spans="2:3">
      <c r="B5078" s="252"/>
      <c r="C5078" s="268"/>
    </row>
    <row r="5079" spans="2:3">
      <c r="B5079" s="252"/>
      <c r="C5079" s="268"/>
    </row>
    <row r="5080" spans="2:3">
      <c r="B5080" s="252"/>
      <c r="C5080" s="268"/>
    </row>
    <row r="5081" spans="2:3">
      <c r="B5081" s="252"/>
      <c r="C5081" s="268"/>
    </row>
    <row r="5082" spans="2:3">
      <c r="B5082" s="252"/>
      <c r="C5082" s="268"/>
    </row>
    <row r="5083" spans="2:3">
      <c r="B5083" s="252"/>
      <c r="C5083" s="268"/>
    </row>
    <row r="5084" spans="2:3">
      <c r="B5084" s="252"/>
      <c r="C5084" s="268"/>
    </row>
    <row r="5085" spans="2:3">
      <c r="B5085" s="252"/>
      <c r="C5085" s="268"/>
    </row>
    <row r="5086" spans="2:3">
      <c r="B5086" s="252"/>
      <c r="C5086" s="268"/>
    </row>
    <row r="5087" spans="2:3">
      <c r="B5087" s="252"/>
      <c r="C5087" s="268"/>
    </row>
    <row r="5088" spans="2:3">
      <c r="B5088" s="252"/>
      <c r="C5088" s="268"/>
    </row>
    <row r="5089" spans="2:3">
      <c r="B5089" s="252"/>
      <c r="C5089" s="268"/>
    </row>
    <row r="5090" spans="2:3">
      <c r="B5090" s="252"/>
      <c r="C5090" s="268"/>
    </row>
    <row r="5091" spans="2:3">
      <c r="B5091" s="252"/>
      <c r="C5091" s="268"/>
    </row>
    <row r="5092" spans="2:3">
      <c r="B5092" s="252"/>
      <c r="C5092" s="268"/>
    </row>
    <row r="5093" spans="2:3">
      <c r="B5093" s="252"/>
      <c r="C5093" s="268"/>
    </row>
    <row r="5094" spans="2:3">
      <c r="B5094" s="252"/>
      <c r="C5094" s="268"/>
    </row>
    <row r="5095" spans="2:3">
      <c r="B5095" s="252"/>
      <c r="C5095" s="268"/>
    </row>
    <row r="5096" spans="2:3">
      <c r="B5096" s="252"/>
      <c r="C5096" s="268"/>
    </row>
    <row r="5097" spans="2:3">
      <c r="B5097" s="252"/>
      <c r="C5097" s="268"/>
    </row>
    <row r="5098" spans="2:3">
      <c r="B5098" s="252"/>
      <c r="C5098" s="268"/>
    </row>
    <row r="5099" spans="2:3">
      <c r="B5099" s="252"/>
      <c r="C5099" s="268"/>
    </row>
    <row r="5100" spans="2:3">
      <c r="B5100" s="252"/>
      <c r="C5100" s="268"/>
    </row>
    <row r="5101" spans="2:3">
      <c r="B5101" s="252"/>
      <c r="C5101" s="268"/>
    </row>
    <row r="5102" spans="2:3">
      <c r="B5102" s="252"/>
      <c r="C5102" s="268"/>
    </row>
    <row r="5103" spans="2:3">
      <c r="B5103" s="252"/>
      <c r="C5103" s="268"/>
    </row>
    <row r="5104" spans="2:3">
      <c r="B5104" s="252"/>
      <c r="C5104" s="268"/>
    </row>
    <row r="5105" spans="2:3">
      <c r="B5105" s="252"/>
      <c r="C5105" s="268"/>
    </row>
    <row r="5106" spans="2:3">
      <c r="B5106" s="252"/>
      <c r="C5106" s="268"/>
    </row>
    <row r="5107" spans="2:3">
      <c r="B5107" s="252"/>
      <c r="C5107" s="268"/>
    </row>
    <row r="5108" spans="2:3">
      <c r="B5108" s="252"/>
      <c r="C5108" s="268"/>
    </row>
    <row r="5109" spans="2:3">
      <c r="B5109" s="252"/>
      <c r="C5109" s="268"/>
    </row>
    <row r="5110" spans="2:3">
      <c r="B5110" s="252"/>
      <c r="C5110" s="268"/>
    </row>
    <row r="5111" spans="2:3">
      <c r="B5111" s="252"/>
      <c r="C5111" s="268"/>
    </row>
    <row r="5112" spans="2:3">
      <c r="B5112" s="252"/>
      <c r="C5112" s="268"/>
    </row>
    <row r="5113" spans="2:3">
      <c r="B5113" s="252"/>
      <c r="C5113" s="268"/>
    </row>
    <row r="5114" spans="2:3">
      <c r="B5114" s="252"/>
      <c r="C5114" s="268"/>
    </row>
    <row r="5115" spans="2:3">
      <c r="B5115" s="252"/>
      <c r="C5115" s="268"/>
    </row>
    <row r="5116" spans="2:3">
      <c r="B5116" s="252"/>
      <c r="C5116" s="268"/>
    </row>
    <row r="5117" spans="2:3">
      <c r="B5117" s="252"/>
      <c r="C5117" s="268"/>
    </row>
    <row r="5118" spans="2:3">
      <c r="B5118" s="252"/>
      <c r="C5118" s="268"/>
    </row>
    <row r="5119" spans="2:3">
      <c r="B5119" s="252"/>
      <c r="C5119" s="268"/>
    </row>
    <row r="5120" spans="2:3">
      <c r="B5120" s="252"/>
      <c r="C5120" s="268"/>
    </row>
    <row r="5121" spans="2:3">
      <c r="B5121" s="252"/>
      <c r="C5121" s="268"/>
    </row>
    <row r="5122" spans="2:3">
      <c r="B5122" s="252"/>
      <c r="C5122" s="268"/>
    </row>
    <row r="5123" spans="2:3">
      <c r="B5123" s="252"/>
      <c r="C5123" s="268"/>
    </row>
    <row r="5124" spans="2:3">
      <c r="B5124" s="252"/>
      <c r="C5124" s="268"/>
    </row>
    <row r="5125" spans="2:3">
      <c r="B5125" s="252"/>
      <c r="C5125" s="268"/>
    </row>
    <row r="5126" spans="2:3">
      <c r="B5126" s="252"/>
      <c r="C5126" s="268"/>
    </row>
    <row r="5127" spans="2:3">
      <c r="B5127" s="252"/>
      <c r="C5127" s="268"/>
    </row>
    <row r="5128" spans="2:3">
      <c r="B5128" s="252"/>
      <c r="C5128" s="268"/>
    </row>
    <row r="5129" spans="2:3">
      <c r="B5129" s="252"/>
      <c r="C5129" s="268"/>
    </row>
    <row r="5130" spans="2:3">
      <c r="B5130" s="252"/>
      <c r="C5130" s="268"/>
    </row>
    <row r="5131" spans="2:3">
      <c r="B5131" s="252"/>
      <c r="C5131" s="268"/>
    </row>
    <row r="5132" spans="2:3">
      <c r="B5132" s="252"/>
      <c r="C5132" s="268"/>
    </row>
    <row r="5133" spans="2:3">
      <c r="B5133" s="252"/>
      <c r="C5133" s="268"/>
    </row>
    <row r="5134" spans="2:3">
      <c r="B5134" s="252"/>
      <c r="C5134" s="268"/>
    </row>
    <row r="5135" spans="2:3">
      <c r="B5135" s="252"/>
      <c r="C5135" s="268"/>
    </row>
    <row r="5136" spans="2:3">
      <c r="B5136" s="252"/>
      <c r="C5136" s="268"/>
    </row>
    <row r="5137" spans="2:3">
      <c r="B5137" s="252"/>
      <c r="C5137" s="268"/>
    </row>
    <row r="5138" spans="2:3">
      <c r="B5138" s="252"/>
      <c r="C5138" s="268"/>
    </row>
    <row r="5139" spans="2:3">
      <c r="B5139" s="252"/>
      <c r="C5139" s="268"/>
    </row>
    <row r="5140" spans="2:3">
      <c r="B5140" s="252"/>
      <c r="C5140" s="268"/>
    </row>
    <row r="5141" spans="2:3">
      <c r="B5141" s="252"/>
      <c r="C5141" s="268"/>
    </row>
    <row r="5142" spans="2:3">
      <c r="B5142" s="252"/>
      <c r="C5142" s="268"/>
    </row>
    <row r="5143" spans="2:3">
      <c r="B5143" s="252"/>
      <c r="C5143" s="268"/>
    </row>
    <row r="5144" spans="2:3">
      <c r="B5144" s="252"/>
      <c r="C5144" s="268"/>
    </row>
    <row r="5145" spans="2:3">
      <c r="B5145" s="252"/>
      <c r="C5145" s="268"/>
    </row>
    <row r="5146" spans="2:3">
      <c r="B5146" s="252"/>
      <c r="C5146" s="268"/>
    </row>
    <row r="5147" spans="2:3">
      <c r="B5147" s="252"/>
      <c r="C5147" s="268"/>
    </row>
    <row r="5148" spans="2:3">
      <c r="B5148" s="252"/>
      <c r="C5148" s="268"/>
    </row>
    <row r="5149" spans="2:3">
      <c r="B5149" s="252"/>
      <c r="C5149" s="268"/>
    </row>
    <row r="5150" spans="2:3">
      <c r="B5150" s="252"/>
      <c r="C5150" s="268"/>
    </row>
    <row r="5151" spans="2:3">
      <c r="B5151" s="252"/>
      <c r="C5151" s="268"/>
    </row>
    <row r="5152" spans="2:3">
      <c r="B5152" s="252"/>
      <c r="C5152" s="268"/>
    </row>
    <row r="5153" spans="2:3">
      <c r="B5153" s="252"/>
      <c r="C5153" s="268"/>
    </row>
    <row r="5154" spans="2:3">
      <c r="B5154" s="252"/>
      <c r="C5154" s="268"/>
    </row>
    <row r="5155" spans="2:3">
      <c r="B5155" s="252"/>
      <c r="C5155" s="268"/>
    </row>
    <row r="5156" spans="2:3">
      <c r="B5156" s="252"/>
      <c r="C5156" s="268"/>
    </row>
    <row r="5157" spans="2:3">
      <c r="B5157" s="252"/>
      <c r="C5157" s="268"/>
    </row>
    <row r="5158" spans="2:3">
      <c r="B5158" s="252"/>
      <c r="C5158" s="268"/>
    </row>
    <row r="5159" spans="2:3">
      <c r="B5159" s="252"/>
      <c r="C5159" s="268"/>
    </row>
    <row r="5160" spans="2:3">
      <c r="B5160" s="252"/>
      <c r="C5160" s="268"/>
    </row>
    <row r="5161" spans="2:3">
      <c r="B5161" s="252"/>
      <c r="C5161" s="268"/>
    </row>
    <row r="5162" spans="2:3">
      <c r="B5162" s="252"/>
      <c r="C5162" s="268"/>
    </row>
    <row r="5163" spans="2:3">
      <c r="B5163" s="252"/>
      <c r="C5163" s="268"/>
    </row>
    <row r="5164" spans="2:3">
      <c r="B5164" s="252"/>
      <c r="C5164" s="268"/>
    </row>
    <row r="5165" spans="2:3">
      <c r="B5165" s="252"/>
      <c r="C5165" s="268"/>
    </row>
    <row r="5166" spans="2:3">
      <c r="B5166" s="252"/>
      <c r="C5166" s="268"/>
    </row>
    <row r="5167" spans="2:3">
      <c r="B5167" s="252"/>
      <c r="C5167" s="268"/>
    </row>
    <row r="5168" spans="2:3">
      <c r="B5168" s="252"/>
      <c r="C5168" s="268"/>
    </row>
    <row r="5169" spans="2:3">
      <c r="B5169" s="252"/>
      <c r="C5169" s="268"/>
    </row>
    <row r="5170" spans="2:3">
      <c r="B5170" s="252"/>
      <c r="C5170" s="268"/>
    </row>
    <row r="5171" spans="2:3">
      <c r="B5171" s="252"/>
      <c r="C5171" s="268"/>
    </row>
    <row r="5172" spans="2:3">
      <c r="B5172" s="252"/>
      <c r="C5172" s="268"/>
    </row>
    <row r="5173" spans="2:3">
      <c r="B5173" s="252"/>
      <c r="C5173" s="268"/>
    </row>
    <row r="5174" spans="2:3">
      <c r="B5174" s="252"/>
      <c r="C5174" s="268"/>
    </row>
    <row r="5175" spans="2:3">
      <c r="B5175" s="252"/>
      <c r="C5175" s="268"/>
    </row>
    <row r="5176" spans="2:3">
      <c r="B5176" s="252"/>
      <c r="C5176" s="268"/>
    </row>
    <row r="5177" spans="2:3">
      <c r="B5177" s="252"/>
      <c r="C5177" s="268"/>
    </row>
    <row r="5178" spans="2:3">
      <c r="B5178" s="252"/>
      <c r="C5178" s="268"/>
    </row>
    <row r="5179" spans="2:3">
      <c r="B5179" s="252"/>
      <c r="C5179" s="268"/>
    </row>
    <row r="5180" spans="2:3">
      <c r="B5180" s="252"/>
      <c r="C5180" s="268"/>
    </row>
    <row r="5181" spans="2:3">
      <c r="B5181" s="252"/>
      <c r="C5181" s="268"/>
    </row>
    <row r="5182" spans="2:3">
      <c r="B5182" s="252"/>
      <c r="C5182" s="268"/>
    </row>
    <row r="5183" spans="2:3">
      <c r="B5183" s="252"/>
      <c r="C5183" s="268"/>
    </row>
    <row r="5184" spans="2:3">
      <c r="B5184" s="252"/>
      <c r="C5184" s="268"/>
    </row>
    <row r="5185" spans="2:3">
      <c r="B5185" s="252"/>
      <c r="C5185" s="268"/>
    </row>
    <row r="5186" spans="2:3">
      <c r="B5186" s="252"/>
      <c r="C5186" s="268"/>
    </row>
    <row r="5187" spans="2:3">
      <c r="B5187" s="252"/>
      <c r="C5187" s="268"/>
    </row>
    <row r="5188" spans="2:3">
      <c r="B5188" s="252"/>
      <c r="C5188" s="268"/>
    </row>
    <row r="5189" spans="2:3">
      <c r="B5189" s="252"/>
      <c r="C5189" s="268"/>
    </row>
    <row r="5190" spans="2:3">
      <c r="B5190" s="252"/>
      <c r="C5190" s="268"/>
    </row>
  </sheetData>
  <autoFilter ref="B9:E9" xr:uid="{6800B57F-7C57-4BD3-912A-F9AC2F31E97C}">
    <sortState xmlns:xlrd2="http://schemas.microsoft.com/office/spreadsheetml/2017/richdata2" ref="B10:E2483">
      <sortCondition descending="1" ref="E9"/>
    </sortState>
  </autoFilter>
  <pageMargins left="0.7" right="0.7" top="0.75" bottom="0.75" header="0.3" footer="0.3"/>
  <pageSetup scale="54" fitToHeight="0"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2ACF9-8716-4431-B845-57AE357786D1}">
  <sheetPr codeName="Sheet31">
    <pageSetUpPr fitToPage="1"/>
  </sheetPr>
  <dimension ref="A1:Q5191"/>
  <sheetViews>
    <sheetView showGridLines="0" zoomScaleNormal="98" workbookViewId="0">
      <pane ySplit="1" topLeftCell="A2" activePane="bottomLeft" state="frozen"/>
      <selection pane="bottomLeft" activeCell="B6" sqref="B6"/>
    </sheetView>
  </sheetViews>
  <sheetFormatPr defaultRowHeight="14.5"/>
  <cols>
    <col min="1" max="1" width="1.81640625" style="247" customWidth="1"/>
    <col min="2" max="2" width="10.453125" style="251" bestFit="1" customWidth="1"/>
    <col min="3" max="3" width="11.54296875" style="251" bestFit="1" customWidth="1"/>
    <col min="4" max="4" width="12.7265625" style="251" bestFit="1" customWidth="1"/>
    <col min="5" max="5" width="16.54296875" style="251" bestFit="1" customWidth="1"/>
    <col min="6" max="6" width="1.1796875" style="251" customWidth="1"/>
    <col min="7" max="7" width="11" style="251" bestFit="1" customWidth="1"/>
    <col min="8" max="8" width="16.54296875" style="251" customWidth="1"/>
    <col min="9" max="9" width="1.1796875" style="251" customWidth="1"/>
    <col min="10" max="10" width="12" style="251" bestFit="1" customWidth="1"/>
    <col min="11" max="11" width="11.1796875" style="251" bestFit="1" customWidth="1"/>
    <col min="12" max="13" width="10.54296875" style="251" bestFit="1" customWidth="1"/>
    <col min="14" max="14" width="11.1796875" style="251" bestFit="1" customWidth="1"/>
    <col min="15" max="15" width="1.90625" style="251" customWidth="1"/>
    <col min="16" max="16384" width="8.7265625" style="251"/>
  </cols>
  <sheetData>
    <row r="1" spans="1:17">
      <c r="A1" s="273"/>
      <c r="B1" s="361"/>
      <c r="C1" s="361"/>
      <c r="D1" s="361"/>
      <c r="E1" s="361"/>
      <c r="F1" s="361"/>
      <c r="G1" s="361"/>
      <c r="H1" s="361"/>
      <c r="I1" s="361"/>
      <c r="J1" s="93"/>
      <c r="K1" s="93"/>
      <c r="L1" s="93"/>
      <c r="M1" s="93"/>
      <c r="N1" s="93"/>
      <c r="O1" s="48"/>
      <c r="P1" s="48"/>
      <c r="Q1" s="48"/>
    </row>
    <row r="2" spans="1:17" customFormat="1" ht="3" customHeight="1"/>
    <row r="3" spans="1:17" ht="23" customHeight="1">
      <c r="A3" s="273"/>
      <c r="B3" s="398" t="str">
        <f>'Data Sheet'!B1</f>
        <v>TATA MOTORS LTD</v>
      </c>
      <c r="C3" s="273"/>
      <c r="D3" s="273"/>
      <c r="E3" s="273"/>
      <c r="F3" s="273"/>
      <c r="G3" s="273"/>
      <c r="H3" s="273"/>
      <c r="I3" s="273"/>
      <c r="J3"/>
      <c r="K3"/>
      <c r="L3"/>
      <c r="M3"/>
      <c r="N3"/>
      <c r="O3"/>
      <c r="P3"/>
      <c r="Q3"/>
    </row>
    <row r="4" spans="1:17" ht="11" customHeight="1">
      <c r="A4" s="273"/>
      <c r="B4" s="409" t="s">
        <v>460</v>
      </c>
      <c r="C4" s="273"/>
      <c r="D4" s="273"/>
      <c r="E4" s="273"/>
      <c r="F4" s="273"/>
      <c r="G4" s="273"/>
      <c r="H4" s="273"/>
      <c r="I4" s="273"/>
      <c r="J4"/>
      <c r="K4"/>
      <c r="L4"/>
      <c r="M4"/>
      <c r="N4"/>
      <c r="O4"/>
      <c r="P4"/>
      <c r="Q4"/>
    </row>
    <row r="5" spans="1:17" ht="18.5">
      <c r="A5" s="273"/>
      <c r="B5" s="363" t="s">
        <v>461</v>
      </c>
      <c r="C5" s="273"/>
      <c r="D5" s="273"/>
      <c r="E5" s="273"/>
      <c r="F5" s="273"/>
      <c r="G5" s="273"/>
      <c r="H5" s="273"/>
      <c r="I5" s="273"/>
      <c r="J5"/>
      <c r="K5"/>
      <c r="L5"/>
      <c r="M5"/>
      <c r="N5"/>
      <c r="O5"/>
      <c r="P5"/>
      <c r="Q5"/>
    </row>
    <row r="6" spans="1:17">
      <c r="A6" s="273"/>
      <c r="B6" s="409" t="s">
        <v>463</v>
      </c>
      <c r="C6" s="273"/>
      <c r="D6" s="273"/>
      <c r="E6" s="273"/>
      <c r="F6" s="273"/>
      <c r="G6" s="273"/>
      <c r="H6" s="273"/>
      <c r="I6" s="273"/>
      <c r="J6"/>
      <c r="K6"/>
      <c r="L6"/>
      <c r="M6"/>
      <c r="N6"/>
      <c r="O6"/>
      <c r="P6"/>
      <c r="Q6"/>
    </row>
    <row r="7" spans="1:17" ht="4" customHeight="1" thickBot="1">
      <c r="A7" s="399"/>
      <c r="B7" s="400"/>
      <c r="C7" s="400"/>
      <c r="D7" s="400"/>
      <c r="E7" s="400"/>
      <c r="F7" s="400"/>
      <c r="G7" s="400"/>
      <c r="H7" s="400"/>
      <c r="I7" s="400"/>
      <c r="J7" s="400"/>
      <c r="K7" s="400"/>
      <c r="L7" s="400"/>
      <c r="M7" s="400"/>
      <c r="N7" s="400"/>
      <c r="O7" s="190"/>
      <c r="P7" s="190"/>
      <c r="Q7" s="190"/>
    </row>
    <row r="8" spans="1:17" ht="8.5" customHeight="1"/>
    <row r="9" spans="1:17">
      <c r="A9" s="247" t="s">
        <v>94</v>
      </c>
      <c r="B9" s="248" t="s">
        <v>362</v>
      </c>
      <c r="C9" s="249" t="s">
        <v>430</v>
      </c>
      <c r="D9" s="249" t="s">
        <v>364</v>
      </c>
      <c r="E9" s="249" t="s">
        <v>431</v>
      </c>
      <c r="F9" s="248"/>
      <c r="G9" s="249" t="s">
        <v>441</v>
      </c>
      <c r="H9" s="248" t="s">
        <v>442</v>
      </c>
      <c r="I9" s="250"/>
      <c r="J9" s="248" t="s">
        <v>445</v>
      </c>
      <c r="K9" s="248"/>
      <c r="L9" s="248"/>
      <c r="M9" s="248"/>
      <c r="N9" s="248"/>
    </row>
    <row r="10" spans="1:17">
      <c r="B10" s="252">
        <v>44482</v>
      </c>
      <c r="C10" s="251">
        <v>506.9</v>
      </c>
      <c r="D10" s="251">
        <f t="shared" ref="D10:D73" si="0">(C10-C11)/C11</f>
        <v>4.4359249329758708</v>
      </c>
      <c r="E10" s="251">
        <v>0.20446714981584876</v>
      </c>
      <c r="G10" s="251">
        <v>1</v>
      </c>
      <c r="H10" s="251">
        <f ca="1">_xlfn.NORM.INV(RAND(),N$12,N$13)</f>
        <v>1.4617545594507115E-2</v>
      </c>
      <c r="J10" s="269"/>
      <c r="K10" s="269"/>
      <c r="L10" s="269"/>
      <c r="M10" s="269"/>
      <c r="N10" s="269"/>
    </row>
    <row r="11" spans="1:17">
      <c r="B11" s="252">
        <v>43951</v>
      </c>
      <c r="C11" s="251">
        <v>93.25</v>
      </c>
      <c r="D11" s="251">
        <f t="shared" si="0"/>
        <v>-0.4592635546535227</v>
      </c>
      <c r="E11" s="251">
        <v>0.19321817018554055</v>
      </c>
      <c r="G11" s="251">
        <v>2</v>
      </c>
      <c r="H11" s="251">
        <f t="shared" ref="H11:H74" ca="1" si="1">_xlfn.NORM.INV(RAND(),N$12,N$13)</f>
        <v>4.3289126634984403E-2</v>
      </c>
      <c r="J11" s="257" t="s">
        <v>443</v>
      </c>
      <c r="K11" s="270"/>
      <c r="L11" s="270"/>
      <c r="M11" s="270"/>
      <c r="N11" s="270"/>
    </row>
    <row r="12" spans="1:17">
      <c r="B12" s="252">
        <v>43767</v>
      </c>
      <c r="C12" s="251">
        <v>172.45</v>
      </c>
      <c r="D12" s="251">
        <f t="shared" si="0"/>
        <v>0.16756939742721735</v>
      </c>
      <c r="E12" s="251">
        <v>0.16756939742721735</v>
      </c>
      <c r="G12" s="251">
        <v>3</v>
      </c>
      <c r="H12" s="251">
        <f t="shared" ca="1" si="1"/>
        <v>-2.8037769613677918E-2</v>
      </c>
      <c r="J12" s="271" t="s">
        <v>190</v>
      </c>
      <c r="K12" s="271"/>
      <c r="L12" s="271"/>
      <c r="M12" s="271"/>
      <c r="N12" s="261">
        <f>AVERAGE(E10:E5191)</f>
        <v>6.4317360421237081E-4</v>
      </c>
    </row>
    <row r="13" spans="1:17">
      <c r="B13" s="252">
        <v>43765</v>
      </c>
      <c r="C13" s="251">
        <v>147.69999999999999</v>
      </c>
      <c r="D13" s="251">
        <f t="shared" si="0"/>
        <v>-0.54130434782608694</v>
      </c>
      <c r="E13" s="251">
        <v>0.16436736302719743</v>
      </c>
      <c r="G13" s="251">
        <v>4</v>
      </c>
      <c r="H13" s="251">
        <f t="shared" ca="1" si="1"/>
        <v>-4.7490794874087911E-3</v>
      </c>
      <c r="J13" s="253" t="s">
        <v>432</v>
      </c>
      <c r="K13" s="253"/>
      <c r="L13" s="253"/>
      <c r="M13" s="253"/>
      <c r="N13" s="254">
        <f>_xlfn.STDEV.S(E10:E5191)</f>
        <v>2.6231988585151265E-2</v>
      </c>
    </row>
    <row r="14" spans="1:17">
      <c r="B14" s="252">
        <v>44229</v>
      </c>
      <c r="C14" s="251">
        <v>322</v>
      </c>
      <c r="D14" s="251">
        <f t="shared" si="0"/>
        <v>1.90744920993228</v>
      </c>
      <c r="E14" s="251">
        <v>0.15164520743919876</v>
      </c>
      <c r="G14" s="251">
        <v>5</v>
      </c>
      <c r="H14" s="251">
        <f t="shared" ca="1" si="1"/>
        <v>-3.7791048073080508E-2</v>
      </c>
      <c r="J14" s="253" t="s">
        <v>433</v>
      </c>
      <c r="K14" s="253"/>
      <c r="L14" s="253"/>
      <c r="M14" s="253"/>
      <c r="N14" s="254">
        <f>MIN(E10:E5191)</f>
        <v>-0.17582718074924805</v>
      </c>
    </row>
    <row r="15" spans="1:17">
      <c r="B15" s="252">
        <v>43987</v>
      </c>
      <c r="C15" s="251">
        <v>110.75</v>
      </c>
      <c r="D15" s="251">
        <f t="shared" si="0"/>
        <v>-0.70584329349269592</v>
      </c>
      <c r="E15" s="251">
        <v>0.12436548223350254</v>
      </c>
      <c r="G15" s="251">
        <v>6</v>
      </c>
      <c r="H15" s="251">
        <f t="shared" ca="1" si="1"/>
        <v>3.6405846600105984E-2</v>
      </c>
      <c r="J15" s="253" t="s">
        <v>434</v>
      </c>
      <c r="K15" s="253"/>
      <c r="L15" s="253"/>
      <c r="M15" s="253"/>
      <c r="N15" s="254">
        <f>MAX(E10:E5191)</f>
        <v>0.20446714981584876</v>
      </c>
    </row>
    <row r="16" spans="1:17">
      <c r="B16" s="252">
        <v>44476</v>
      </c>
      <c r="C16" s="251">
        <v>376.5</v>
      </c>
      <c r="D16" s="251">
        <f t="shared" si="0"/>
        <v>0.70632222977566272</v>
      </c>
      <c r="E16" s="251">
        <v>0.1203689927094182</v>
      </c>
      <c r="G16" s="251">
        <v>7</v>
      </c>
      <c r="H16" s="251">
        <f t="shared" ca="1" si="1"/>
        <v>3.5395548971743365E-2</v>
      </c>
      <c r="J16" s="253" t="s">
        <v>435</v>
      </c>
      <c r="K16" s="253"/>
      <c r="L16" s="253"/>
      <c r="M16" s="253"/>
      <c r="N16" s="255">
        <v>700.25</v>
      </c>
    </row>
    <row r="17" spans="2:14">
      <c r="B17" s="252">
        <v>44207</v>
      </c>
      <c r="C17" s="251">
        <v>220.65</v>
      </c>
      <c r="D17" s="251">
        <f t="shared" si="0"/>
        <v>0.20081632653061227</v>
      </c>
      <c r="E17" s="251">
        <v>0.11355034065102194</v>
      </c>
      <c r="G17" s="251">
        <v>8</v>
      </c>
      <c r="H17" s="251">
        <f t="shared" ca="1" si="1"/>
        <v>1.5481286792906225E-2</v>
      </c>
      <c r="N17" s="272"/>
    </row>
    <row r="18" spans="2:14">
      <c r="B18" s="252">
        <v>43866</v>
      </c>
      <c r="C18" s="251">
        <v>183.75</v>
      </c>
      <c r="D18" s="251">
        <f t="shared" si="0"/>
        <v>0.31720430107526881</v>
      </c>
      <c r="E18" s="251">
        <v>0.10893180446590231</v>
      </c>
      <c r="G18" s="251">
        <v>9</v>
      </c>
      <c r="H18" s="251">
        <f t="shared" ca="1" si="1"/>
        <v>-9.2725865658362609E-3</v>
      </c>
      <c r="J18" s="257" t="s">
        <v>444</v>
      </c>
      <c r="K18" s="270"/>
      <c r="L18" s="270"/>
      <c r="M18" s="270"/>
      <c r="N18" s="270"/>
    </row>
    <row r="19" spans="2:14">
      <c r="B19" s="252">
        <v>43755</v>
      </c>
      <c r="C19" s="251">
        <v>139.5</v>
      </c>
      <c r="D19" s="251">
        <f t="shared" si="0"/>
        <v>0.8699731903485256</v>
      </c>
      <c r="E19" s="251">
        <v>0.10846245530393331</v>
      </c>
      <c r="G19" s="251">
        <v>10</v>
      </c>
      <c r="H19" s="251">
        <f t="shared" ca="1" si="1"/>
        <v>2.9024783639129602E-2</v>
      </c>
      <c r="J19" s="271" t="s">
        <v>190</v>
      </c>
      <c r="K19" s="271"/>
      <c r="L19" s="271"/>
      <c r="M19" s="271"/>
      <c r="N19" s="261">
        <f ca="1">-AVERAGE(H10:H2482)</f>
        <v>-9.5749220445601527E-4</v>
      </c>
    </row>
    <row r="20" spans="2:14">
      <c r="B20" s="252">
        <v>43930</v>
      </c>
      <c r="C20" s="251">
        <v>74.599999999999994</v>
      </c>
      <c r="D20" s="251">
        <f t="shared" si="0"/>
        <v>-0.44473390398213625</v>
      </c>
      <c r="E20" s="251">
        <v>0.10355029585798818</v>
      </c>
      <c r="G20" s="251">
        <v>11</v>
      </c>
      <c r="H20" s="251">
        <f t="shared" ca="1" si="1"/>
        <v>4.2924879104288161E-2</v>
      </c>
      <c r="J20" s="253" t="s">
        <v>432</v>
      </c>
      <c r="K20" s="253"/>
      <c r="L20" s="253"/>
      <c r="M20" s="253"/>
      <c r="N20" s="254">
        <f ca="1">_xlfn.STDEV.S(H10:H2482)</f>
        <v>2.6591639352527147E-2</v>
      </c>
    </row>
    <row r="21" spans="2:14">
      <c r="B21" s="252">
        <v>43719</v>
      </c>
      <c r="C21" s="251">
        <v>134.35</v>
      </c>
      <c r="D21" s="251">
        <f t="shared" si="0"/>
        <v>-0.22564841498559082</v>
      </c>
      <c r="E21" s="251">
        <v>0.10213289581624273</v>
      </c>
      <c r="G21" s="251">
        <v>12</v>
      </c>
      <c r="H21" s="251">
        <f t="shared" ca="1" si="1"/>
        <v>5.9347496589831497E-3</v>
      </c>
      <c r="J21" s="253" t="s">
        <v>433</v>
      </c>
      <c r="K21" s="253"/>
      <c r="L21" s="253"/>
      <c r="M21" s="253"/>
      <c r="N21" s="254">
        <f ca="1">MIN(H10:H2482)</f>
        <v>-0.11640587720286484</v>
      </c>
    </row>
    <row r="22" spans="2:14">
      <c r="B22" s="252">
        <v>44153</v>
      </c>
      <c r="C22" s="251">
        <v>173.5</v>
      </c>
      <c r="D22" s="251">
        <f t="shared" si="0"/>
        <v>-0.62253888828456427</v>
      </c>
      <c r="E22" s="251">
        <v>9.8101265822784806E-2</v>
      </c>
      <c r="G22" s="251">
        <v>13</v>
      </c>
      <c r="H22" s="251">
        <f t="shared" ca="1" si="1"/>
        <v>-1.6658391021369304E-2</v>
      </c>
      <c r="J22" s="253" t="s">
        <v>434</v>
      </c>
      <c r="K22" s="253"/>
      <c r="L22" s="253"/>
      <c r="M22" s="253"/>
      <c r="N22" s="254">
        <f ca="1">MAX(H10:H2482)</f>
        <v>9.8701045171452895E-2</v>
      </c>
    </row>
    <row r="23" spans="2:14">
      <c r="B23" s="252">
        <v>42521</v>
      </c>
      <c r="C23" s="251">
        <v>459.65</v>
      </c>
      <c r="D23" s="251">
        <f t="shared" si="0"/>
        <v>2.8192771084337349</v>
      </c>
      <c r="E23" s="251">
        <v>9.115727002967354E-2</v>
      </c>
      <c r="G23" s="251">
        <v>14</v>
      </c>
      <c r="H23" s="251">
        <f t="shared" ca="1" si="1"/>
        <v>1.278474391720728E-2</v>
      </c>
      <c r="J23" s="253" t="s">
        <v>435</v>
      </c>
      <c r="K23" s="253"/>
      <c r="L23" s="253"/>
      <c r="M23" s="253"/>
      <c r="N23" s="255">
        <v>700.25</v>
      </c>
    </row>
    <row r="24" spans="2:14">
      <c r="B24" s="252">
        <v>43704</v>
      </c>
      <c r="C24" s="251">
        <v>120.35</v>
      </c>
      <c r="D24" s="251">
        <f t="shared" si="0"/>
        <v>-0.70232500618352722</v>
      </c>
      <c r="E24" s="251">
        <v>8.8647670737222947E-2</v>
      </c>
      <c r="G24" s="251">
        <v>15</v>
      </c>
      <c r="H24" s="251">
        <f t="shared" ca="1" si="1"/>
        <v>-4.3544047899989793E-2</v>
      </c>
      <c r="N24" s="272"/>
    </row>
    <row r="25" spans="2:14">
      <c r="B25" s="252">
        <v>44694</v>
      </c>
      <c r="C25" s="251">
        <v>404.3</v>
      </c>
      <c r="D25" s="251">
        <f t="shared" si="0"/>
        <v>-2.7540589296452169E-2</v>
      </c>
      <c r="E25" s="251">
        <v>8.5952189094816001E-2</v>
      </c>
      <c r="G25" s="251">
        <v>16</v>
      </c>
      <c r="H25" s="251">
        <f t="shared" ca="1" si="1"/>
        <v>2.8863008554999132E-2</v>
      </c>
      <c r="J25" s="256" t="s">
        <v>436</v>
      </c>
      <c r="K25" s="257" t="s">
        <v>437</v>
      </c>
      <c r="L25" s="258" t="s">
        <v>438</v>
      </c>
      <c r="M25" s="258" t="s">
        <v>439</v>
      </c>
      <c r="N25" s="258" t="s">
        <v>440</v>
      </c>
    </row>
    <row r="26" spans="2:14">
      <c r="B26" s="252">
        <v>44480</v>
      </c>
      <c r="C26" s="251">
        <v>415.75</v>
      </c>
      <c r="D26" s="251">
        <f t="shared" si="0"/>
        <v>2.0148658448150836</v>
      </c>
      <c r="E26" s="251">
        <v>8.5650868259563945E-2</v>
      </c>
      <c r="G26" s="251">
        <v>17</v>
      </c>
      <c r="H26" s="251">
        <f t="shared" ca="1" si="1"/>
        <v>2.3608019844475876E-2</v>
      </c>
      <c r="J26" s="259">
        <v>0.05</v>
      </c>
      <c r="K26" s="260">
        <f>100%-J26</f>
        <v>0.95</v>
      </c>
      <c r="L26" s="261">
        <f ca="1">_xlfn.PERCENTILE.INC($H$10:$H$2482,J26)</f>
        <v>-4.2063255087774996E-2</v>
      </c>
      <c r="M26" s="262">
        <f ca="1">$N$16*(1-L26)</f>
        <v>729.70479437521453</v>
      </c>
      <c r="N26" s="262">
        <f ca="1">$N$16-M26</f>
        <v>-29.454794375214533</v>
      </c>
    </row>
    <row r="27" spans="2:14">
      <c r="B27" s="252">
        <v>44069</v>
      </c>
      <c r="C27" s="251">
        <v>137.9</v>
      </c>
      <c r="D27" s="251">
        <f t="shared" si="0"/>
        <v>-0.32052229613205219</v>
      </c>
      <c r="E27" s="251">
        <v>8.4972462627852172E-2</v>
      </c>
      <c r="G27" s="251">
        <v>18</v>
      </c>
      <c r="H27" s="251">
        <f t="shared" ca="1" si="1"/>
        <v>7.1003949073111085E-3</v>
      </c>
      <c r="J27" s="263">
        <v>0.01</v>
      </c>
      <c r="K27" s="264">
        <f t="shared" ref="K27:K29" si="2">100%-J27</f>
        <v>0.99</v>
      </c>
      <c r="L27" s="261">
        <f t="shared" ref="L27:L29" ca="1" si="3">_xlfn.PERCENTILE.INC($H$10:$H$2482,J27)</f>
        <v>-6.2308026249423117E-2</v>
      </c>
      <c r="M27" s="265">
        <f ca="1">$N$16*(1-L27)</f>
        <v>743.88119538115848</v>
      </c>
      <c r="N27" s="265">
        <f t="shared" ref="N27:N29" ca="1" si="4">$N$16-M27</f>
        <v>-43.631195381158477</v>
      </c>
    </row>
    <row r="28" spans="2:14">
      <c r="B28" s="252">
        <v>43557</v>
      </c>
      <c r="C28" s="251">
        <v>202.95</v>
      </c>
      <c r="D28" s="251">
        <f t="shared" si="0"/>
        <v>-0.467741935483871</v>
      </c>
      <c r="E28" s="251">
        <v>8.326661329063248E-2</v>
      </c>
      <c r="G28" s="251">
        <v>19</v>
      </c>
      <c r="H28" s="251">
        <f t="shared" ca="1" si="1"/>
        <v>-2.1782154699077735E-2</v>
      </c>
      <c r="J28" s="263">
        <v>5.0000000000000001E-3</v>
      </c>
      <c r="K28" s="264">
        <f t="shared" si="2"/>
        <v>0.995</v>
      </c>
      <c r="L28" s="261">
        <f t="shared" ca="1" si="3"/>
        <v>-7.4118396840508458E-2</v>
      </c>
      <c r="M28" s="265">
        <f ca="1">$N$16*(1-L28)</f>
        <v>752.151407387566</v>
      </c>
      <c r="N28" s="265">
        <f t="shared" ca="1" si="4"/>
        <v>-51.901407387565996</v>
      </c>
    </row>
    <row r="29" spans="2:14">
      <c r="B29" s="252">
        <v>42292</v>
      </c>
      <c r="C29" s="251">
        <v>381.3</v>
      </c>
      <c r="D29" s="251">
        <f t="shared" si="0"/>
        <v>1.63419689119171</v>
      </c>
      <c r="E29" s="251">
        <v>8.2316207777462388E-2</v>
      </c>
      <c r="G29" s="251">
        <v>20</v>
      </c>
      <c r="H29" s="251">
        <f t="shared" ca="1" si="1"/>
        <v>1.5646163151300109E-2</v>
      </c>
      <c r="J29" s="266">
        <v>0.1</v>
      </c>
      <c r="K29" s="264">
        <f t="shared" si="2"/>
        <v>0.9</v>
      </c>
      <c r="L29" s="261">
        <f t="shared" ca="1" si="3"/>
        <v>-3.3151514598641192E-2</v>
      </c>
      <c r="M29" s="265">
        <f ca="1">$N$16*(1-L29)</f>
        <v>723.46434809769846</v>
      </c>
      <c r="N29" s="265">
        <f t="shared" ca="1" si="4"/>
        <v>-23.214348097698462</v>
      </c>
    </row>
    <row r="30" spans="2:14">
      <c r="B30" s="252">
        <v>44110</v>
      </c>
      <c r="C30" s="251">
        <v>144.75</v>
      </c>
      <c r="D30" s="251">
        <f t="shared" si="0"/>
        <v>0.28040689960194609</v>
      </c>
      <c r="E30" s="251">
        <v>8.1030619865571279E-2</v>
      </c>
      <c r="G30" s="251">
        <v>21</v>
      </c>
      <c r="H30" s="251">
        <f t="shared" ca="1" si="1"/>
        <v>-1.6385786869370804E-2</v>
      </c>
    </row>
    <row r="31" spans="2:14">
      <c r="B31" s="252">
        <v>44046</v>
      </c>
      <c r="C31" s="251">
        <v>113.05</v>
      </c>
      <c r="D31" s="251">
        <f t="shared" si="0"/>
        <v>-0.62108262108262102</v>
      </c>
      <c r="E31" s="251">
        <v>8.0267558528428012E-2</v>
      </c>
      <c r="G31" s="251">
        <v>22</v>
      </c>
      <c r="H31" s="251">
        <f t="shared" ca="1" si="1"/>
        <v>-2.2590015274131354E-4</v>
      </c>
    </row>
    <row r="32" spans="2:14">
      <c r="B32" s="252">
        <v>42412</v>
      </c>
      <c r="C32" s="251">
        <v>298.35000000000002</v>
      </c>
      <c r="D32" s="251">
        <f t="shared" si="0"/>
        <v>0.88829113924050651</v>
      </c>
      <c r="E32" s="251">
        <v>7.9609191242988958E-2</v>
      </c>
      <c r="G32" s="251">
        <v>23</v>
      </c>
      <c r="H32" s="251">
        <f t="shared" ca="1" si="1"/>
        <v>2.1877358876495525E-2</v>
      </c>
    </row>
    <row r="33" spans="2:8">
      <c r="B33" s="252">
        <v>44152</v>
      </c>
      <c r="C33" s="251">
        <v>158</v>
      </c>
      <c r="D33" s="251">
        <f t="shared" si="0"/>
        <v>0.33841592545531557</v>
      </c>
      <c r="E33" s="251">
        <v>7.9603689784762593E-2</v>
      </c>
      <c r="G33" s="251">
        <v>24</v>
      </c>
      <c r="H33" s="251">
        <f t="shared" ca="1" si="1"/>
        <v>-1.1735922610270006E-2</v>
      </c>
    </row>
    <row r="34" spans="2:8">
      <c r="B34" s="252">
        <v>43713</v>
      </c>
      <c r="C34" s="251">
        <v>118.05</v>
      </c>
      <c r="D34" s="251">
        <f t="shared" si="0"/>
        <v>-0.50357443229604715</v>
      </c>
      <c r="E34" s="251">
        <v>7.8082191780821888E-2</v>
      </c>
      <c r="G34" s="251">
        <v>25</v>
      </c>
      <c r="H34" s="251">
        <f t="shared" ca="1" si="1"/>
        <v>-1.9038471859774097E-2</v>
      </c>
    </row>
    <row r="35" spans="2:8">
      <c r="B35" s="252">
        <v>44208</v>
      </c>
      <c r="C35" s="251">
        <v>237.8</v>
      </c>
      <c r="D35" s="251">
        <f t="shared" si="0"/>
        <v>1.4642487046632127</v>
      </c>
      <c r="E35" s="251">
        <v>7.7724903693632469E-2</v>
      </c>
      <c r="G35" s="251">
        <v>26</v>
      </c>
      <c r="H35" s="251">
        <f t="shared" ca="1" si="1"/>
        <v>-2.2679055660686238E-2</v>
      </c>
    </row>
    <row r="36" spans="2:8">
      <c r="B36" s="252">
        <v>43984</v>
      </c>
      <c r="C36" s="251">
        <v>96.5</v>
      </c>
      <c r="D36" s="251">
        <f t="shared" si="0"/>
        <v>-0.50270548827621753</v>
      </c>
      <c r="E36" s="251">
        <v>7.7610273590173126E-2</v>
      </c>
      <c r="G36" s="251">
        <v>27</v>
      </c>
      <c r="H36" s="251">
        <f t="shared" ca="1" si="1"/>
        <v>-2.2067074752878356E-3</v>
      </c>
    </row>
    <row r="37" spans="2:8">
      <c r="B37" s="252">
        <v>43529</v>
      </c>
      <c r="C37" s="251">
        <v>194.05</v>
      </c>
      <c r="D37" s="251">
        <f t="shared" si="0"/>
        <v>2.0510123586642153E-2</v>
      </c>
      <c r="E37" s="251">
        <v>7.6261785912368277E-2</v>
      </c>
      <c r="G37" s="251">
        <v>28</v>
      </c>
      <c r="H37" s="251">
        <f t="shared" ca="1" si="1"/>
        <v>3.7119688000923357E-2</v>
      </c>
    </row>
    <row r="38" spans="2:8">
      <c r="B38" s="252">
        <v>43605</v>
      </c>
      <c r="C38" s="251">
        <v>190.15</v>
      </c>
      <c r="D38" s="251">
        <f t="shared" si="0"/>
        <v>1.4945289564985382E-2</v>
      </c>
      <c r="E38" s="251">
        <v>7.5204975968334808E-2</v>
      </c>
      <c r="G38" s="251">
        <v>29</v>
      </c>
      <c r="H38" s="251">
        <f t="shared" ca="1" si="1"/>
        <v>2.6121143171754187E-2</v>
      </c>
    </row>
    <row r="39" spans="2:8">
      <c r="B39" s="252">
        <v>43556</v>
      </c>
      <c r="C39" s="251">
        <v>187.35</v>
      </c>
      <c r="D39" s="251">
        <f t="shared" si="0"/>
        <v>-0.59249592169657417</v>
      </c>
      <c r="E39" s="251">
        <v>7.5179340028694377E-2</v>
      </c>
      <c r="G39" s="251">
        <v>30</v>
      </c>
      <c r="H39" s="251">
        <f t="shared" ca="1" si="1"/>
        <v>1.2539746934846356E-2</v>
      </c>
    </row>
    <row r="40" spans="2:8">
      <c r="B40" s="252">
        <v>44617</v>
      </c>
      <c r="C40" s="251">
        <v>459.75</v>
      </c>
      <c r="D40" s="251">
        <f t="shared" si="0"/>
        <v>0.98381877022653719</v>
      </c>
      <c r="E40" s="251">
        <v>7.4307746232036481E-2</v>
      </c>
      <c r="G40" s="251">
        <v>31</v>
      </c>
      <c r="H40" s="251">
        <f t="shared" ca="1" si="1"/>
        <v>2.8470052804547303E-2</v>
      </c>
    </row>
    <row r="41" spans="2:8">
      <c r="B41" s="252">
        <v>43570</v>
      </c>
      <c r="C41" s="251">
        <v>231.75</v>
      </c>
      <c r="D41" s="251">
        <f t="shared" si="0"/>
        <v>0.7392120075046904</v>
      </c>
      <c r="E41" s="251">
        <v>7.3165084510303374E-2</v>
      </c>
      <c r="G41" s="251">
        <v>32</v>
      </c>
      <c r="H41" s="251">
        <f t="shared" ca="1" si="1"/>
        <v>4.4314594242863603E-2</v>
      </c>
    </row>
    <row r="42" spans="2:8">
      <c r="B42" s="252">
        <v>43728</v>
      </c>
      <c r="C42" s="251">
        <v>133.25</v>
      </c>
      <c r="D42" s="251">
        <f t="shared" si="0"/>
        <v>-0.23132391116238821</v>
      </c>
      <c r="E42" s="251">
        <v>7.2866344605475017E-2</v>
      </c>
      <c r="G42" s="251">
        <v>33</v>
      </c>
      <c r="H42" s="251">
        <f t="shared" ca="1" si="1"/>
        <v>1.4078409160591538E-2</v>
      </c>
    </row>
    <row r="43" spans="2:8">
      <c r="B43" s="252">
        <v>43811</v>
      </c>
      <c r="C43" s="251">
        <v>173.35</v>
      </c>
      <c r="D43" s="251">
        <f t="shared" si="0"/>
        <v>2.3317591499409613E-2</v>
      </c>
      <c r="E43" s="251">
        <v>7.1384425216316327E-2</v>
      </c>
      <c r="G43" s="251">
        <v>34</v>
      </c>
      <c r="H43" s="251">
        <f t="shared" ca="1" si="1"/>
        <v>-0.11640587720286484</v>
      </c>
    </row>
    <row r="44" spans="2:8">
      <c r="B44" s="252">
        <v>43803</v>
      </c>
      <c r="C44" s="251">
        <v>169.4</v>
      </c>
      <c r="D44" s="251">
        <f t="shared" si="0"/>
        <v>-0.71224732461355533</v>
      </c>
      <c r="E44" s="251">
        <v>7.079646017699126E-2</v>
      </c>
      <c r="G44" s="251">
        <v>35</v>
      </c>
      <c r="H44" s="251">
        <f t="shared" ca="1" si="1"/>
        <v>-1.8578256716973954E-2</v>
      </c>
    </row>
    <row r="45" spans="2:8">
      <c r="B45" s="252">
        <v>42619</v>
      </c>
      <c r="C45" s="251">
        <v>588.70000000000005</v>
      </c>
      <c r="D45" s="251">
        <f t="shared" si="0"/>
        <v>0.16805555555555565</v>
      </c>
      <c r="E45" s="251">
        <v>7.0655633354551287E-2</v>
      </c>
      <c r="G45" s="251">
        <v>36</v>
      </c>
      <c r="H45" s="251">
        <f t="shared" ca="1" si="1"/>
        <v>-3.3693140363573064E-2</v>
      </c>
    </row>
    <row r="46" spans="2:8">
      <c r="B46" s="252">
        <v>44607</v>
      </c>
      <c r="C46" s="251">
        <v>504</v>
      </c>
      <c r="D46" s="251">
        <f t="shared" si="0"/>
        <v>1.6801382611007709</v>
      </c>
      <c r="E46" s="251">
        <v>6.9042316258351916E-2</v>
      </c>
      <c r="G46" s="251">
        <v>37</v>
      </c>
      <c r="H46" s="251">
        <f t="shared" ca="1" si="1"/>
        <v>1.5347899424109555E-2</v>
      </c>
    </row>
    <row r="47" spans="2:8">
      <c r="B47" s="252">
        <v>43859</v>
      </c>
      <c r="C47" s="251">
        <v>188.05</v>
      </c>
      <c r="D47" s="251">
        <f t="shared" si="0"/>
        <v>-0.6518881895594224</v>
      </c>
      <c r="E47" s="251">
        <v>6.7859170925610543E-2</v>
      </c>
      <c r="G47" s="251">
        <v>38</v>
      </c>
      <c r="H47" s="251">
        <f t="shared" ca="1" si="1"/>
        <v>-1.7033909827750909E-2</v>
      </c>
    </row>
    <row r="48" spans="2:8">
      <c r="B48" s="252">
        <v>42682</v>
      </c>
      <c r="C48" s="251">
        <v>540.20000000000005</v>
      </c>
      <c r="D48" s="251">
        <f t="shared" si="0"/>
        <v>0.64269423749429833</v>
      </c>
      <c r="E48" s="251">
        <v>6.6850992396563683E-2</v>
      </c>
      <c r="G48" s="251">
        <v>39</v>
      </c>
      <c r="H48" s="251">
        <f t="shared" ca="1" si="1"/>
        <v>-1.8516780218279627E-2</v>
      </c>
    </row>
    <row r="49" spans="2:8">
      <c r="B49" s="252">
        <v>42241</v>
      </c>
      <c r="C49" s="251">
        <v>328.85</v>
      </c>
      <c r="D49" s="251">
        <f t="shared" si="0"/>
        <v>-0.31164046637221859</v>
      </c>
      <c r="E49" s="251">
        <v>6.6828872668288797E-2</v>
      </c>
      <c r="G49" s="251">
        <v>40</v>
      </c>
      <c r="H49" s="251">
        <f t="shared" ca="1" si="1"/>
        <v>-3.2821634981600518E-2</v>
      </c>
    </row>
    <row r="50" spans="2:8">
      <c r="B50" s="252">
        <v>44774</v>
      </c>
      <c r="C50" s="251">
        <v>477.73</v>
      </c>
      <c r="D50" s="251">
        <f t="shared" si="0"/>
        <v>0.70861945636623735</v>
      </c>
      <c r="E50" s="251">
        <v>6.583820445317029E-2</v>
      </c>
      <c r="G50" s="251">
        <v>41</v>
      </c>
      <c r="H50" s="251">
        <f t="shared" ca="1" si="1"/>
        <v>1.8274472331774511E-2</v>
      </c>
    </row>
    <row r="51" spans="2:8">
      <c r="B51" s="252">
        <v>44228</v>
      </c>
      <c r="C51" s="251">
        <v>279.60000000000002</v>
      </c>
      <c r="D51" s="251">
        <f t="shared" si="0"/>
        <v>-0.13703703703703696</v>
      </c>
      <c r="E51" s="251">
        <v>6.4331937571374329E-2</v>
      </c>
      <c r="G51" s="251">
        <v>42</v>
      </c>
      <c r="H51" s="251">
        <f t="shared" ca="1" si="1"/>
        <v>-4.2030366992516999E-2</v>
      </c>
    </row>
    <row r="52" spans="2:8">
      <c r="B52" s="252">
        <v>44250</v>
      </c>
      <c r="C52" s="251">
        <v>324</v>
      </c>
      <c r="D52" s="251">
        <f t="shared" si="0"/>
        <v>2.1609756097560977</v>
      </c>
      <c r="E52" s="251">
        <v>6.4039408866995079E-2</v>
      </c>
      <c r="G52" s="251">
        <v>43</v>
      </c>
      <c r="H52" s="251">
        <f t="shared" ca="1" si="1"/>
        <v>1.9043921568122926E-2</v>
      </c>
    </row>
    <row r="53" spans="2:8">
      <c r="B53" s="252">
        <v>44001</v>
      </c>
      <c r="C53" s="251">
        <v>102.5</v>
      </c>
      <c r="D53" s="251">
        <f t="shared" si="0"/>
        <v>-0.69489507367167735</v>
      </c>
      <c r="E53" s="251">
        <v>6.3829787234042618E-2</v>
      </c>
      <c r="G53" s="251">
        <v>44</v>
      </c>
      <c r="H53" s="251">
        <f t="shared" ca="1" si="1"/>
        <v>4.8053042474851787E-2</v>
      </c>
    </row>
    <row r="54" spans="2:8">
      <c r="B54" s="252">
        <v>44235</v>
      </c>
      <c r="C54" s="251">
        <v>335.95</v>
      </c>
      <c r="D54" s="251">
        <f t="shared" si="0"/>
        <v>-0.24374760822096667</v>
      </c>
      <c r="E54" s="251">
        <v>6.3469452358341283E-2</v>
      </c>
      <c r="G54" s="251">
        <v>45</v>
      </c>
      <c r="H54" s="251">
        <f t="shared" ca="1" si="1"/>
        <v>2.4299808892501967E-2</v>
      </c>
    </row>
    <row r="55" spans="2:8">
      <c r="B55" s="252">
        <v>44953</v>
      </c>
      <c r="C55" s="251">
        <v>444.23</v>
      </c>
      <c r="D55" s="251">
        <f t="shared" si="0"/>
        <v>0.40025216706067773</v>
      </c>
      <c r="E55" s="251">
        <v>6.3361738797395706E-2</v>
      </c>
      <c r="G55" s="251">
        <v>46</v>
      </c>
      <c r="H55" s="251">
        <f t="shared" ca="1" si="1"/>
        <v>1.9483761040916016E-2</v>
      </c>
    </row>
    <row r="56" spans="2:8">
      <c r="B56" s="252">
        <v>42415</v>
      </c>
      <c r="C56" s="251">
        <v>317.25</v>
      </c>
      <c r="D56" s="251">
        <f t="shared" si="0"/>
        <v>0.1540560203710441</v>
      </c>
      <c r="E56" s="251">
        <v>6.3348416289592674E-2</v>
      </c>
      <c r="G56" s="251">
        <v>47</v>
      </c>
      <c r="H56" s="251">
        <f t="shared" ca="1" si="1"/>
        <v>-3.6257943244956313E-2</v>
      </c>
    </row>
    <row r="57" spans="2:8">
      <c r="B57" s="252">
        <v>44216</v>
      </c>
      <c r="C57" s="251">
        <v>274.89999999999998</v>
      </c>
      <c r="D57" s="251">
        <f t="shared" si="0"/>
        <v>2.1927990708478511</v>
      </c>
      <c r="E57" s="251">
        <v>6.2826213029190031E-2</v>
      </c>
      <c r="G57" s="251">
        <v>48</v>
      </c>
      <c r="H57" s="251">
        <f t="shared" ca="1" si="1"/>
        <v>-2.9223341963147485E-2</v>
      </c>
    </row>
    <row r="58" spans="2:8">
      <c r="B58" s="252">
        <v>43962</v>
      </c>
      <c r="C58" s="251">
        <v>86.1</v>
      </c>
      <c r="D58" s="251">
        <f t="shared" si="0"/>
        <v>-0.6692278140606992</v>
      </c>
      <c r="E58" s="251">
        <v>6.2307217766810578E-2</v>
      </c>
      <c r="G58" s="251">
        <v>49</v>
      </c>
      <c r="H58" s="251">
        <f t="shared" ca="1" si="1"/>
        <v>3.9658972625770741E-2</v>
      </c>
    </row>
    <row r="59" spans="2:8">
      <c r="B59" s="252">
        <v>44211</v>
      </c>
      <c r="C59" s="251">
        <v>260.3</v>
      </c>
      <c r="D59" s="251">
        <f t="shared" si="0"/>
        <v>-0.22690822690822685</v>
      </c>
      <c r="E59" s="251">
        <v>6.2015503875969061E-2</v>
      </c>
      <c r="G59" s="251">
        <v>50</v>
      </c>
      <c r="H59" s="251">
        <f t="shared" ca="1" si="1"/>
        <v>-8.9289317980312255E-3</v>
      </c>
    </row>
    <row r="60" spans="2:8">
      <c r="B60" s="252">
        <v>42432</v>
      </c>
      <c r="C60" s="251">
        <v>336.7</v>
      </c>
      <c r="D60" s="251">
        <f t="shared" si="0"/>
        <v>1.7508169934640521</v>
      </c>
      <c r="E60" s="251">
        <v>6.1810154525386199E-2</v>
      </c>
      <c r="G60" s="251">
        <v>51</v>
      </c>
      <c r="H60" s="251">
        <f t="shared" ca="1" si="1"/>
        <v>-4.2432875200234331E-2</v>
      </c>
    </row>
    <row r="61" spans="2:8">
      <c r="B61" s="252">
        <v>43741</v>
      </c>
      <c r="C61" s="251">
        <v>122.4</v>
      </c>
      <c r="D61" s="251">
        <f t="shared" si="0"/>
        <v>-0.88780420734222465</v>
      </c>
      <c r="E61" s="251">
        <v>6.1578490893321847E-2</v>
      </c>
      <c r="G61" s="251">
        <v>52</v>
      </c>
      <c r="H61" s="251">
        <f t="shared" ca="1" si="1"/>
        <v>4.2515101414256149E-4</v>
      </c>
    </row>
    <row r="62" spans="2:8">
      <c r="B62" s="252">
        <v>45498</v>
      </c>
      <c r="C62" s="267">
        <v>1090.95</v>
      </c>
      <c r="D62" s="251">
        <f t="shared" si="0"/>
        <v>4.7327903310562274</v>
      </c>
      <c r="E62" s="251">
        <v>6.1545198014984918E-2</v>
      </c>
      <c r="G62" s="251">
        <v>53</v>
      </c>
      <c r="H62" s="251">
        <f t="shared" ca="1" si="1"/>
        <v>1.891062083598841E-2</v>
      </c>
    </row>
    <row r="63" spans="2:8">
      <c r="B63" s="252">
        <v>43406</v>
      </c>
      <c r="C63" s="251">
        <v>190.3</v>
      </c>
      <c r="D63" s="251">
        <f t="shared" si="0"/>
        <v>-0.53769161625731843</v>
      </c>
      <c r="E63" s="251">
        <v>6.0462524380050287E-2</v>
      </c>
      <c r="G63" s="251">
        <v>54</v>
      </c>
      <c r="H63" s="251">
        <f t="shared" ca="1" si="1"/>
        <v>5.155521512027289E-2</v>
      </c>
    </row>
    <row r="64" spans="2:8">
      <c r="B64" s="252">
        <v>44936</v>
      </c>
      <c r="C64" s="251">
        <v>411.63</v>
      </c>
      <c r="D64" s="251">
        <f t="shared" si="0"/>
        <v>-0.19074019463285163</v>
      </c>
      <c r="E64" s="251">
        <v>6.0218931101094643E-2</v>
      </c>
      <c r="G64" s="251">
        <v>55</v>
      </c>
      <c r="H64" s="251">
        <f t="shared" ca="1" si="1"/>
        <v>-2.0196283781714813E-2</v>
      </c>
    </row>
    <row r="65" spans="2:8">
      <c r="B65" s="252">
        <v>44495</v>
      </c>
      <c r="C65" s="251">
        <v>508.65</v>
      </c>
      <c r="D65" s="251">
        <f t="shared" si="0"/>
        <v>0.2563912560207483</v>
      </c>
      <c r="E65" s="251">
        <v>5.99083142321317E-2</v>
      </c>
      <c r="G65" s="251">
        <v>56</v>
      </c>
      <c r="H65" s="251">
        <f t="shared" ca="1" si="1"/>
        <v>-1.181112030398338E-2</v>
      </c>
    </row>
    <row r="66" spans="2:8">
      <c r="B66" s="252">
        <v>42312</v>
      </c>
      <c r="C66" s="251">
        <v>404.85</v>
      </c>
      <c r="D66" s="251">
        <f t="shared" si="0"/>
        <v>4.2373868046571799</v>
      </c>
      <c r="E66" s="251">
        <v>5.9678052610914828E-2</v>
      </c>
      <c r="G66" s="251">
        <v>57</v>
      </c>
      <c r="H66" s="251">
        <f t="shared" ca="1" si="1"/>
        <v>-2.7518896021217636E-2</v>
      </c>
    </row>
    <row r="67" spans="2:8">
      <c r="B67" s="252">
        <v>43910</v>
      </c>
      <c r="C67" s="251">
        <v>77.3</v>
      </c>
      <c r="D67" s="251">
        <f t="shared" si="0"/>
        <v>-0.58518916018245237</v>
      </c>
      <c r="E67" s="251">
        <v>5.9629883481836794E-2</v>
      </c>
      <c r="G67" s="251">
        <v>58</v>
      </c>
      <c r="H67" s="251">
        <f t="shared" ca="1" si="1"/>
        <v>1.5053947512461504E-2</v>
      </c>
    </row>
    <row r="68" spans="2:8">
      <c r="B68" s="252">
        <v>44193</v>
      </c>
      <c r="C68" s="251">
        <v>186.35</v>
      </c>
      <c r="D68" s="251">
        <f t="shared" si="0"/>
        <v>-0.44156427929277792</v>
      </c>
      <c r="E68" s="251">
        <v>5.9107701051435105E-2</v>
      </c>
      <c r="G68" s="251">
        <v>59</v>
      </c>
      <c r="H68" s="251">
        <f t="shared" ca="1" si="1"/>
        <v>2.4558140685270909E-2</v>
      </c>
    </row>
    <row r="69" spans="2:8">
      <c r="B69" s="252">
        <v>42283</v>
      </c>
      <c r="C69" s="251">
        <v>333.7</v>
      </c>
      <c r="D69" s="251">
        <f t="shared" si="0"/>
        <v>-0.21371347785108386</v>
      </c>
      <c r="E69" s="251">
        <v>5.8860859907980366E-2</v>
      </c>
      <c r="G69" s="251">
        <v>60</v>
      </c>
      <c r="H69" s="251">
        <f t="shared" ca="1" si="1"/>
        <v>-7.8631154765542929E-3</v>
      </c>
    </row>
    <row r="70" spans="2:8">
      <c r="B70" s="252">
        <v>42334</v>
      </c>
      <c r="C70" s="251">
        <v>424.4</v>
      </c>
      <c r="D70" s="251">
        <f t="shared" si="0"/>
        <v>0.34666032048231005</v>
      </c>
      <c r="E70" s="251">
        <v>5.8486095523132532E-2</v>
      </c>
      <c r="G70" s="251">
        <v>61</v>
      </c>
      <c r="H70" s="251">
        <f t="shared" ca="1" si="1"/>
        <v>-1.856738012676724E-2</v>
      </c>
    </row>
    <row r="71" spans="2:8">
      <c r="B71" s="252">
        <v>42282</v>
      </c>
      <c r="C71" s="251">
        <v>315.14999999999998</v>
      </c>
      <c r="D71" s="251">
        <f t="shared" si="0"/>
        <v>8.4480385409497427E-2</v>
      </c>
      <c r="E71" s="251">
        <v>5.8438287153652319E-2</v>
      </c>
      <c r="G71" s="251">
        <v>62</v>
      </c>
      <c r="H71" s="251">
        <f t="shared" ca="1" si="1"/>
        <v>1.705115986397172E-2</v>
      </c>
    </row>
    <row r="72" spans="2:8">
      <c r="B72" s="252">
        <v>44217</v>
      </c>
      <c r="C72" s="251">
        <v>290.60000000000002</v>
      </c>
      <c r="D72" s="251">
        <f t="shared" si="0"/>
        <v>-4.0449067194981009E-2</v>
      </c>
      <c r="E72" s="251">
        <v>5.7111676973445061E-2</v>
      </c>
      <c r="G72" s="251">
        <v>63</v>
      </c>
      <c r="H72" s="251">
        <f t="shared" ca="1" si="1"/>
        <v>4.257791381536874E-2</v>
      </c>
    </row>
    <row r="73" spans="2:8">
      <c r="B73" s="252">
        <v>44299</v>
      </c>
      <c r="C73" s="251">
        <v>302.85000000000002</v>
      </c>
      <c r="D73" s="251">
        <f t="shared" si="0"/>
        <v>1.441354292623942</v>
      </c>
      <c r="E73" s="251">
        <v>5.688361542488226E-2</v>
      </c>
      <c r="G73" s="251">
        <v>64</v>
      </c>
      <c r="H73" s="251">
        <f t="shared" ca="1" si="1"/>
        <v>-2.9468617960160762E-2</v>
      </c>
    </row>
    <row r="74" spans="2:8">
      <c r="B74" s="252">
        <v>43685</v>
      </c>
      <c r="C74" s="251">
        <v>124.05</v>
      </c>
      <c r="D74" s="251">
        <f t="shared" ref="D74:D137" si="5">(C74-C75)/C75</f>
        <v>-0.27029411764705885</v>
      </c>
      <c r="E74" s="251">
        <v>5.6643952299829568E-2</v>
      </c>
      <c r="G74" s="251">
        <v>65</v>
      </c>
      <c r="H74" s="251">
        <f t="shared" ca="1" si="1"/>
        <v>-4.391999487100646E-3</v>
      </c>
    </row>
    <row r="75" spans="2:8">
      <c r="B75" s="252">
        <v>43662</v>
      </c>
      <c r="C75" s="251">
        <v>170</v>
      </c>
      <c r="D75" s="251">
        <f t="shared" si="5"/>
        <v>-0.81600735970561178</v>
      </c>
      <c r="E75" s="251">
        <v>5.6228642435539058E-2</v>
      </c>
      <c r="G75" s="251">
        <v>66</v>
      </c>
      <c r="H75" s="251">
        <f t="shared" ref="H75:H138" ca="1" si="6">_xlfn.NORM.INV(RAND(),N$12,N$13)</f>
        <v>-1.5196379120554063E-2</v>
      </c>
    </row>
    <row r="76" spans="2:8">
      <c r="B76" s="252">
        <v>45327</v>
      </c>
      <c r="C76" s="251">
        <v>923.95</v>
      </c>
      <c r="D76" s="251">
        <f t="shared" si="5"/>
        <v>1.0091110724536836</v>
      </c>
      <c r="E76" s="251">
        <v>5.4677244449517826E-2</v>
      </c>
      <c r="G76" s="251">
        <v>67</v>
      </c>
      <c r="H76" s="251">
        <f t="shared" ca="1" si="6"/>
        <v>4.7271967926629235E-3</v>
      </c>
    </row>
    <row r="77" spans="2:8">
      <c r="B77" s="252">
        <v>45026</v>
      </c>
      <c r="C77" s="251">
        <v>459.88</v>
      </c>
      <c r="D77" s="251">
        <f t="shared" si="5"/>
        <v>2.5970277669143527</v>
      </c>
      <c r="E77" s="251">
        <v>5.4045381618152609E-2</v>
      </c>
      <c r="G77" s="251">
        <v>68</v>
      </c>
      <c r="H77" s="251">
        <f t="shared" ca="1" si="6"/>
        <v>3.3454153485743689E-2</v>
      </c>
    </row>
    <row r="78" spans="2:8">
      <c r="B78" s="252">
        <v>43752</v>
      </c>
      <c r="C78" s="251">
        <v>127.85</v>
      </c>
      <c r="D78" s="251">
        <f t="shared" si="5"/>
        <v>0.1729357798165137</v>
      </c>
      <c r="E78" s="251">
        <v>5.3998351195383328E-2</v>
      </c>
      <c r="G78" s="251">
        <v>69</v>
      </c>
      <c r="H78" s="251">
        <f t="shared" ca="1" si="6"/>
        <v>-3.9993608728847829E-2</v>
      </c>
    </row>
    <row r="79" spans="2:8">
      <c r="B79" s="252">
        <v>44018</v>
      </c>
      <c r="C79" s="251">
        <v>109</v>
      </c>
      <c r="D79" s="251">
        <f t="shared" si="5"/>
        <v>-0.68474331164135938</v>
      </c>
      <c r="E79" s="251">
        <v>5.3649105848235831E-2</v>
      </c>
      <c r="G79" s="251">
        <v>70</v>
      </c>
      <c r="H79" s="251">
        <f t="shared" ca="1" si="6"/>
        <v>2.3931591590717956E-2</v>
      </c>
    </row>
    <row r="80" spans="2:8">
      <c r="B80" s="252">
        <v>44257</v>
      </c>
      <c r="C80" s="251">
        <v>345.75</v>
      </c>
      <c r="D80" s="251">
        <f t="shared" si="5"/>
        <v>9.6400824480735614E-2</v>
      </c>
      <c r="E80" s="251">
        <v>5.3152604325312179E-2</v>
      </c>
      <c r="G80" s="251">
        <v>71</v>
      </c>
      <c r="H80" s="251">
        <f t="shared" ca="1" si="6"/>
        <v>-2.0330527278799373E-2</v>
      </c>
    </row>
    <row r="81" spans="2:8">
      <c r="B81" s="252">
        <v>42430</v>
      </c>
      <c r="C81" s="251">
        <v>315.35000000000002</v>
      </c>
      <c r="D81" s="251">
        <f t="shared" si="5"/>
        <v>0.64244791666666679</v>
      </c>
      <c r="E81" s="251">
        <v>5.2218885552218999E-2</v>
      </c>
      <c r="G81" s="251">
        <v>72</v>
      </c>
      <c r="H81" s="251">
        <f t="shared" ca="1" si="6"/>
        <v>1.4225783308351712E-3</v>
      </c>
    </row>
    <row r="82" spans="2:8">
      <c r="B82" s="252">
        <v>43839</v>
      </c>
      <c r="C82" s="251">
        <v>192</v>
      </c>
      <c r="D82" s="251">
        <f t="shared" si="5"/>
        <v>-0.25768412913203165</v>
      </c>
      <c r="E82" s="251">
        <v>5.1766639276910373E-2</v>
      </c>
      <c r="G82" s="251">
        <v>73</v>
      </c>
      <c r="H82" s="251">
        <f t="shared" ca="1" si="6"/>
        <v>1.3599896100707914E-2</v>
      </c>
    </row>
    <row r="83" spans="2:8">
      <c r="B83" s="252">
        <v>44215</v>
      </c>
      <c r="C83" s="251">
        <v>258.64999999999998</v>
      </c>
      <c r="D83" s="251">
        <f t="shared" si="5"/>
        <v>0.33496774193548373</v>
      </c>
      <c r="E83" s="251">
        <v>5.1636511486074364E-2</v>
      </c>
      <c r="G83" s="251">
        <v>74</v>
      </c>
      <c r="H83" s="251">
        <f t="shared" ca="1" si="6"/>
        <v>-1.5977523710826492E-3</v>
      </c>
    </row>
    <row r="84" spans="2:8">
      <c r="B84" s="252">
        <v>43832</v>
      </c>
      <c r="C84" s="251">
        <v>193.75</v>
      </c>
      <c r="D84" s="251">
        <f t="shared" si="5"/>
        <v>-0.71519917683374978</v>
      </c>
      <c r="E84" s="251">
        <v>5.0420168067226954E-2</v>
      </c>
      <c r="G84" s="251">
        <v>75</v>
      </c>
      <c r="H84" s="251">
        <f t="shared" ca="1" si="6"/>
        <v>-1.6653868295293622E-2</v>
      </c>
    </row>
    <row r="85" spans="2:8">
      <c r="B85" s="252">
        <v>45784</v>
      </c>
      <c r="C85" s="251">
        <v>680.3</v>
      </c>
      <c r="D85" s="251">
        <f t="shared" si="5"/>
        <v>2.1488081462624389</v>
      </c>
      <c r="E85" s="251">
        <v>4.95217525455105E-2</v>
      </c>
      <c r="G85" s="251">
        <v>76</v>
      </c>
      <c r="H85" s="251">
        <f t="shared" ca="1" si="6"/>
        <v>5.1655840330591674E-3</v>
      </c>
    </row>
    <row r="86" spans="2:8">
      <c r="B86" s="252">
        <v>43565</v>
      </c>
      <c r="C86" s="251">
        <v>216.05</v>
      </c>
      <c r="D86" s="251">
        <f t="shared" si="5"/>
        <v>-0.56699935866602524</v>
      </c>
      <c r="E86" s="251">
        <v>4.9295774647887348E-2</v>
      </c>
      <c r="G86" s="251">
        <v>77</v>
      </c>
      <c r="H86" s="251">
        <f t="shared" ca="1" si="6"/>
        <v>1.9077385181490738E-2</v>
      </c>
    </row>
    <row r="87" spans="2:8">
      <c r="B87" s="252">
        <v>45054</v>
      </c>
      <c r="C87" s="251">
        <v>498.96</v>
      </c>
      <c r="D87" s="251">
        <f t="shared" si="5"/>
        <v>2.9257277734067664</v>
      </c>
      <c r="E87" s="251">
        <v>4.9050732712402463E-2</v>
      </c>
      <c r="G87" s="251">
        <v>78</v>
      </c>
      <c r="H87" s="251">
        <f t="shared" ca="1" si="6"/>
        <v>-1.3705729575424187E-2</v>
      </c>
    </row>
    <row r="88" spans="2:8">
      <c r="B88" s="252">
        <v>44068</v>
      </c>
      <c r="C88" s="251">
        <v>127.1</v>
      </c>
      <c r="D88" s="251">
        <f t="shared" si="5"/>
        <v>-0.69593301435406696</v>
      </c>
      <c r="E88" s="251">
        <v>4.867986798679861E-2</v>
      </c>
      <c r="G88" s="251">
        <v>79</v>
      </c>
      <c r="H88" s="251">
        <f t="shared" ca="1" si="6"/>
        <v>7.2358849399521462E-3</v>
      </c>
    </row>
    <row r="89" spans="2:8">
      <c r="B89" s="252">
        <v>44701</v>
      </c>
      <c r="C89" s="251">
        <v>418</v>
      </c>
      <c r="D89" s="251">
        <f t="shared" si="5"/>
        <v>-0.37147582888504621</v>
      </c>
      <c r="E89" s="251">
        <v>4.8538818512479681E-2</v>
      </c>
      <c r="G89" s="251">
        <v>80</v>
      </c>
      <c r="H89" s="251">
        <f t="shared" ca="1" si="6"/>
        <v>5.8740427943928128E-2</v>
      </c>
    </row>
    <row r="90" spans="2:8">
      <c r="B90" s="252">
        <v>45212</v>
      </c>
      <c r="C90" s="251">
        <v>665.05</v>
      </c>
      <c r="D90" s="251">
        <f t="shared" si="5"/>
        <v>7.2666252330640138</v>
      </c>
      <c r="E90" s="251">
        <v>4.7339328178396423E-2</v>
      </c>
      <c r="G90" s="251">
        <v>81</v>
      </c>
      <c r="H90" s="251">
        <f t="shared" ca="1" si="6"/>
        <v>-2.7727945044219004E-2</v>
      </c>
    </row>
    <row r="91" spans="2:8">
      <c r="B91" s="252">
        <v>43941</v>
      </c>
      <c r="C91" s="251">
        <v>80.45</v>
      </c>
      <c r="D91" s="251">
        <f t="shared" si="5"/>
        <v>-0.24424612494128697</v>
      </c>
      <c r="E91" s="251">
        <v>4.684450227716342E-2</v>
      </c>
      <c r="G91" s="251">
        <v>82</v>
      </c>
      <c r="H91" s="251">
        <f t="shared" ca="1" si="6"/>
        <v>2.7645930350674468E-2</v>
      </c>
    </row>
    <row r="92" spans="2:8">
      <c r="B92" s="252">
        <v>44040</v>
      </c>
      <c r="C92" s="251">
        <v>106.45</v>
      </c>
      <c r="D92" s="251">
        <f t="shared" si="5"/>
        <v>-0.74902746669810205</v>
      </c>
      <c r="E92" s="251">
        <v>4.6705998033431659E-2</v>
      </c>
      <c r="G92" s="251">
        <v>83</v>
      </c>
      <c r="H92" s="251">
        <f t="shared" ca="1" si="6"/>
        <v>-1.7740713077889043E-3</v>
      </c>
    </row>
    <row r="93" spans="2:8">
      <c r="B93" s="252">
        <v>44698</v>
      </c>
      <c r="C93" s="251">
        <v>424.15</v>
      </c>
      <c r="D93" s="251">
        <f t="shared" si="5"/>
        <v>2.2340831109416697</v>
      </c>
      <c r="E93" s="251">
        <v>4.6379671888491313E-2</v>
      </c>
      <c r="G93" s="251">
        <v>84</v>
      </c>
      <c r="H93" s="251">
        <f t="shared" ca="1" si="6"/>
        <v>4.9691726911240365E-3</v>
      </c>
    </row>
    <row r="94" spans="2:8">
      <c r="B94" s="252">
        <v>44056</v>
      </c>
      <c r="C94" s="251">
        <v>131.15</v>
      </c>
      <c r="D94" s="251">
        <f t="shared" si="5"/>
        <v>-0.69042841968606161</v>
      </c>
      <c r="E94" s="251">
        <v>4.6270442760271334E-2</v>
      </c>
      <c r="G94" s="251">
        <v>85</v>
      </c>
      <c r="H94" s="251">
        <f t="shared" ca="1" si="6"/>
        <v>-3.2821144030224089E-3</v>
      </c>
    </row>
    <row r="95" spans="2:8">
      <c r="B95" s="252">
        <v>42997</v>
      </c>
      <c r="C95" s="251">
        <v>423.65</v>
      </c>
      <c r="D95" s="251">
        <f t="shared" si="5"/>
        <v>-0.35800878921048646</v>
      </c>
      <c r="E95" s="251">
        <v>4.6178540560563003E-2</v>
      </c>
      <c r="G95" s="251">
        <v>86</v>
      </c>
      <c r="H95" s="251">
        <f t="shared" ca="1" si="6"/>
        <v>1.4336013676339925E-2</v>
      </c>
    </row>
    <row r="96" spans="2:8">
      <c r="B96" s="252">
        <v>45770</v>
      </c>
      <c r="C96" s="251">
        <v>659.9</v>
      </c>
      <c r="D96" s="251">
        <f t="shared" si="5"/>
        <v>3.5746967071057192</v>
      </c>
      <c r="E96" s="251">
        <v>4.6048981532852425E-2</v>
      </c>
      <c r="G96" s="251">
        <v>87</v>
      </c>
      <c r="H96" s="251">
        <f t="shared" ca="1" si="6"/>
        <v>-2.2016012197469244E-2</v>
      </c>
    </row>
    <row r="97" spans="2:8">
      <c r="B97" s="252">
        <v>44070</v>
      </c>
      <c r="C97" s="251">
        <v>144.25</v>
      </c>
      <c r="D97" s="251">
        <f t="shared" si="5"/>
        <v>-0.46593854128100709</v>
      </c>
      <c r="E97" s="251">
        <v>4.6047860768672906E-2</v>
      </c>
      <c r="G97" s="251">
        <v>88</v>
      </c>
      <c r="H97" s="251">
        <f t="shared" ca="1" si="6"/>
        <v>-4.8700683448164639E-2</v>
      </c>
    </row>
    <row r="98" spans="2:8">
      <c r="B98" s="252">
        <v>43332</v>
      </c>
      <c r="C98" s="251">
        <v>270.10000000000002</v>
      </c>
      <c r="D98" s="251">
        <f t="shared" si="5"/>
        <v>-0.56589521054323366</v>
      </c>
      <c r="E98" s="251">
        <v>4.5885769603097863E-2</v>
      </c>
      <c r="G98" s="251">
        <v>89</v>
      </c>
      <c r="H98" s="251">
        <f t="shared" ca="1" si="6"/>
        <v>2.8847149822402954E-2</v>
      </c>
    </row>
    <row r="99" spans="2:8">
      <c r="B99" s="252">
        <v>45762</v>
      </c>
      <c r="C99" s="251">
        <v>622.20000000000005</v>
      </c>
      <c r="D99" s="251">
        <f t="shared" si="5"/>
        <v>3.1397205588822357</v>
      </c>
      <c r="E99" s="251">
        <v>4.5626417948071749E-2</v>
      </c>
      <c r="G99" s="251">
        <v>90</v>
      </c>
      <c r="H99" s="251">
        <f t="shared" ca="1" si="6"/>
        <v>-2.419099145277377E-3</v>
      </c>
    </row>
    <row r="100" spans="2:8">
      <c r="B100" s="252">
        <v>44076</v>
      </c>
      <c r="C100" s="251">
        <v>150.30000000000001</v>
      </c>
      <c r="D100" s="251">
        <f t="shared" si="5"/>
        <v>-0.69940000000000002</v>
      </c>
      <c r="E100" s="251">
        <v>4.5201668984700967E-2</v>
      </c>
      <c r="G100" s="251">
        <v>91</v>
      </c>
      <c r="H100" s="251">
        <f t="shared" ca="1" si="6"/>
        <v>-1.5251535840402536E-2</v>
      </c>
    </row>
    <row r="101" spans="2:8">
      <c r="B101" s="252">
        <v>42586</v>
      </c>
      <c r="C101" s="251">
        <v>500</v>
      </c>
      <c r="D101" s="251">
        <f t="shared" si="5"/>
        <v>2.7636432066240122</v>
      </c>
      <c r="E101" s="251">
        <v>4.5150501672240849E-2</v>
      </c>
      <c r="G101" s="251">
        <v>92</v>
      </c>
      <c r="H101" s="251">
        <f t="shared" ca="1" si="6"/>
        <v>-3.6391958382637327E-2</v>
      </c>
    </row>
    <row r="102" spans="2:8">
      <c r="B102" s="252">
        <v>44102</v>
      </c>
      <c r="C102" s="251">
        <v>132.85</v>
      </c>
      <c r="D102" s="251">
        <f t="shared" si="5"/>
        <v>-0.8815584184014621</v>
      </c>
      <c r="E102" s="251">
        <v>4.4007858546168913E-2</v>
      </c>
      <c r="G102" s="251">
        <v>93</v>
      </c>
      <c r="H102" s="251">
        <f t="shared" ca="1" si="6"/>
        <v>-1.8217104013917463E-3</v>
      </c>
    </row>
    <row r="103" spans="2:8">
      <c r="B103" s="252">
        <v>45533</v>
      </c>
      <c r="C103" s="267">
        <v>1121.6500000000001</v>
      </c>
      <c r="D103" s="251">
        <f t="shared" si="5"/>
        <v>1.8863870303654144</v>
      </c>
      <c r="E103" s="251">
        <v>4.3832301893816143E-2</v>
      </c>
      <c r="G103" s="251">
        <v>94</v>
      </c>
      <c r="H103" s="251">
        <f t="shared" ca="1" si="6"/>
        <v>4.9616547929011705E-2</v>
      </c>
    </row>
    <row r="104" spans="2:8">
      <c r="B104" s="252">
        <v>42459</v>
      </c>
      <c r="C104" s="251">
        <v>388.6</v>
      </c>
      <c r="D104" s="251">
        <f t="shared" si="5"/>
        <v>-0.23503937007874012</v>
      </c>
      <c r="E104" s="251">
        <v>4.33615250369178E-2</v>
      </c>
      <c r="G104" s="251">
        <v>95</v>
      </c>
      <c r="H104" s="251">
        <f t="shared" ca="1" si="6"/>
        <v>-3.411095672575791E-2</v>
      </c>
    </row>
    <row r="105" spans="2:8">
      <c r="B105" s="252">
        <v>44490</v>
      </c>
      <c r="C105" s="251">
        <v>508</v>
      </c>
      <c r="D105" s="251">
        <f t="shared" si="5"/>
        <v>0.53173526307854679</v>
      </c>
      <c r="E105" s="251">
        <v>4.3335387143150592E-2</v>
      </c>
      <c r="G105" s="251">
        <v>96</v>
      </c>
      <c r="H105" s="251">
        <f t="shared" ca="1" si="6"/>
        <v>-1.2653650938521187E-2</v>
      </c>
    </row>
    <row r="106" spans="2:8">
      <c r="B106" s="252">
        <v>44466</v>
      </c>
      <c r="C106" s="251">
        <v>331.65</v>
      </c>
      <c r="D106" s="251">
        <f t="shared" si="5"/>
        <v>-0.2127002967359051</v>
      </c>
      <c r="E106" s="251">
        <v>4.3088535933322812E-2</v>
      </c>
      <c r="G106" s="251">
        <v>97</v>
      </c>
      <c r="H106" s="251">
        <f t="shared" ca="1" si="6"/>
        <v>-1.3259070391126469E-2</v>
      </c>
    </row>
    <row r="107" spans="2:8">
      <c r="B107" s="252">
        <v>42520</v>
      </c>
      <c r="C107" s="251">
        <v>421.25</v>
      </c>
      <c r="D107" s="251">
        <f t="shared" si="5"/>
        <v>1.2931409907457814</v>
      </c>
      <c r="E107" s="251">
        <v>4.295617727160194E-2</v>
      </c>
      <c r="G107" s="251">
        <v>98</v>
      </c>
      <c r="H107" s="251">
        <f t="shared" ca="1" si="6"/>
        <v>1.3970185032666829E-2</v>
      </c>
    </row>
    <row r="108" spans="2:8">
      <c r="B108" s="252">
        <v>43829</v>
      </c>
      <c r="C108" s="251">
        <v>183.7</v>
      </c>
      <c r="D108" s="251">
        <f t="shared" si="5"/>
        <v>-0.65029506948410432</v>
      </c>
      <c r="E108" s="251">
        <v>4.2861197842747563E-2</v>
      </c>
      <c r="G108" s="251">
        <v>99</v>
      </c>
      <c r="H108" s="251">
        <f t="shared" ca="1" si="6"/>
        <v>-3.7284631394214609E-3</v>
      </c>
    </row>
    <row r="109" spans="2:8">
      <c r="B109" s="252">
        <v>42611</v>
      </c>
      <c r="C109" s="251">
        <v>525.29999999999995</v>
      </c>
      <c r="D109" s="251">
        <f t="shared" si="5"/>
        <v>6.393384940182969</v>
      </c>
      <c r="E109" s="251">
        <v>4.2779156327543331E-2</v>
      </c>
      <c r="G109" s="251">
        <v>100</v>
      </c>
      <c r="H109" s="251">
        <f t="shared" ca="1" si="6"/>
        <v>-1.7631424791087213E-2</v>
      </c>
    </row>
    <row r="110" spans="2:8">
      <c r="B110" s="252">
        <v>43921</v>
      </c>
      <c r="C110" s="251">
        <v>71.05</v>
      </c>
      <c r="D110" s="251">
        <f t="shared" si="5"/>
        <v>-0.3845820701602426</v>
      </c>
      <c r="E110" s="251">
        <v>4.2553191489361576E-2</v>
      </c>
      <c r="G110" s="251">
        <v>101</v>
      </c>
      <c r="H110" s="251">
        <f t="shared" ca="1" si="6"/>
        <v>1.6181367213304106E-2</v>
      </c>
    </row>
    <row r="111" spans="2:8">
      <c r="B111" s="252">
        <v>43990</v>
      </c>
      <c r="C111" s="251">
        <v>115.45</v>
      </c>
      <c r="D111" s="251">
        <f t="shared" si="5"/>
        <v>-0.66526529428819947</v>
      </c>
      <c r="E111" s="251">
        <v>4.2437923250564356E-2</v>
      </c>
      <c r="G111" s="251">
        <v>102</v>
      </c>
      <c r="H111" s="251">
        <f t="shared" ca="1" si="6"/>
        <v>-4.5315818601413468E-3</v>
      </c>
    </row>
    <row r="112" spans="2:8">
      <c r="B112" s="252">
        <v>42256</v>
      </c>
      <c r="C112" s="251">
        <v>344.9</v>
      </c>
      <c r="D112" s="251">
        <f t="shared" si="5"/>
        <v>-0.26546693642849545</v>
      </c>
      <c r="E112" s="251">
        <v>4.2308854638863705E-2</v>
      </c>
      <c r="G112" s="251">
        <v>103</v>
      </c>
      <c r="H112" s="251">
        <f t="shared" ca="1" si="6"/>
        <v>8.3378723344527794E-3</v>
      </c>
    </row>
    <row r="113" spans="2:8">
      <c r="B113" s="252">
        <v>42879</v>
      </c>
      <c r="C113" s="251">
        <v>469.55</v>
      </c>
      <c r="D113" s="251">
        <f t="shared" si="5"/>
        <v>1.699338890485772</v>
      </c>
      <c r="E113" s="251">
        <v>4.2286348501664843E-2</v>
      </c>
      <c r="G113" s="251">
        <v>104</v>
      </c>
      <c r="H113" s="251">
        <f t="shared" ca="1" si="6"/>
        <v>2.8456400101882266E-2</v>
      </c>
    </row>
    <row r="114" spans="2:8">
      <c r="B114" s="252">
        <v>43451</v>
      </c>
      <c r="C114" s="251">
        <v>173.95</v>
      </c>
      <c r="D114" s="251">
        <f t="shared" si="5"/>
        <v>-0.76109050954539226</v>
      </c>
      <c r="E114" s="251">
        <v>4.1928721174004195E-2</v>
      </c>
      <c r="G114" s="251">
        <v>105</v>
      </c>
      <c r="H114" s="251">
        <f t="shared" ca="1" si="6"/>
        <v>2.7047288772385119E-3</v>
      </c>
    </row>
    <row r="115" spans="2:8">
      <c r="B115" s="252">
        <v>45792</v>
      </c>
      <c r="C115" s="251">
        <v>728.1</v>
      </c>
      <c r="D115" s="251">
        <f t="shared" si="5"/>
        <v>0.40627716079188803</v>
      </c>
      <c r="E115" s="251">
        <v>4.1705415265755739E-2</v>
      </c>
      <c r="G115" s="251">
        <v>106</v>
      </c>
      <c r="H115" s="251">
        <f t="shared" ca="1" si="6"/>
        <v>5.8020580771678182E-2</v>
      </c>
    </row>
    <row r="116" spans="2:8">
      <c r="B116" s="252">
        <v>44592</v>
      </c>
      <c r="C116" s="251">
        <v>517.75</v>
      </c>
      <c r="D116" s="251">
        <f t="shared" si="5"/>
        <v>0.46195115064238329</v>
      </c>
      <c r="E116" s="251">
        <v>4.1122059119243895E-2</v>
      </c>
      <c r="G116" s="251">
        <v>107</v>
      </c>
      <c r="H116" s="251">
        <f t="shared" ca="1" si="6"/>
        <v>-1.5324244726795163E-2</v>
      </c>
    </row>
    <row r="117" spans="2:8">
      <c r="B117" s="252">
        <v>42388</v>
      </c>
      <c r="C117" s="251">
        <v>354.15</v>
      </c>
      <c r="D117" s="251">
        <f t="shared" si="5"/>
        <v>-8.4055347213241954E-2</v>
      </c>
      <c r="E117" s="251">
        <v>4.1005291005290975E-2</v>
      </c>
      <c r="G117" s="251">
        <v>108</v>
      </c>
      <c r="H117" s="251">
        <f t="shared" ca="1" si="6"/>
        <v>-3.382045249725487E-3</v>
      </c>
    </row>
    <row r="118" spans="2:8">
      <c r="B118" s="252">
        <v>42471</v>
      </c>
      <c r="C118" s="251">
        <v>386.65</v>
      </c>
      <c r="D118" s="251">
        <f t="shared" si="5"/>
        <v>1.1209544706527699</v>
      </c>
      <c r="E118" s="251">
        <v>4.0920716112531938E-2</v>
      </c>
      <c r="G118" s="251">
        <v>109</v>
      </c>
      <c r="H118" s="251">
        <f t="shared" ca="1" si="6"/>
        <v>3.0729693898773593E-2</v>
      </c>
    </row>
    <row r="119" spans="2:8">
      <c r="B119" s="252">
        <v>43609</v>
      </c>
      <c r="C119" s="251">
        <v>182.3</v>
      </c>
      <c r="D119" s="251">
        <f t="shared" si="5"/>
        <v>3.9635015682919973E-2</v>
      </c>
      <c r="E119" s="251">
        <v>4.0822152440765092E-2</v>
      </c>
      <c r="G119" s="251">
        <v>110</v>
      </c>
      <c r="H119" s="251">
        <f t="shared" ca="1" si="6"/>
        <v>5.4068994716749925E-2</v>
      </c>
    </row>
    <row r="120" spans="2:8">
      <c r="B120" s="252">
        <v>43402</v>
      </c>
      <c r="C120" s="251">
        <v>175.35</v>
      </c>
      <c r="D120" s="251">
        <f t="shared" si="5"/>
        <v>-0.4430681276798476</v>
      </c>
      <c r="E120" s="251">
        <v>4.0652818991097892E-2</v>
      </c>
      <c r="G120" s="251">
        <v>111</v>
      </c>
      <c r="H120" s="251">
        <f t="shared" ca="1" si="6"/>
        <v>7.4700499592341013E-2</v>
      </c>
    </row>
    <row r="121" spans="2:8">
      <c r="B121" s="252">
        <v>44326</v>
      </c>
      <c r="C121" s="251">
        <v>314.85000000000002</v>
      </c>
      <c r="D121" s="251">
        <f t="shared" si="5"/>
        <v>0.78942881500426287</v>
      </c>
      <c r="E121" s="251">
        <v>3.9966969446738311E-2</v>
      </c>
      <c r="G121" s="251">
        <v>112</v>
      </c>
      <c r="H121" s="251">
        <f t="shared" ca="1" si="6"/>
        <v>-2.9429465202780933E-2</v>
      </c>
    </row>
    <row r="122" spans="2:8">
      <c r="B122" s="252">
        <v>44189</v>
      </c>
      <c r="C122" s="251">
        <v>175.95</v>
      </c>
      <c r="D122" s="251">
        <f t="shared" si="5"/>
        <v>0.42067016552280984</v>
      </c>
      <c r="E122" s="251">
        <v>3.9893617021276598E-2</v>
      </c>
      <c r="G122" s="251">
        <v>113</v>
      </c>
      <c r="H122" s="251">
        <f t="shared" ca="1" si="6"/>
        <v>4.4438215241958236E-3</v>
      </c>
    </row>
    <row r="123" spans="2:8">
      <c r="B123" s="252">
        <v>44053</v>
      </c>
      <c r="C123" s="251">
        <v>123.85</v>
      </c>
      <c r="D123" s="251">
        <f t="shared" si="5"/>
        <v>-0.597497562560936</v>
      </c>
      <c r="E123" s="251">
        <v>3.9882451721242655E-2</v>
      </c>
      <c r="G123" s="251">
        <v>114</v>
      </c>
      <c r="H123" s="251">
        <f t="shared" ca="1" si="6"/>
        <v>3.8999360047984752E-2</v>
      </c>
    </row>
    <row r="124" spans="2:8">
      <c r="B124" s="252">
        <v>43242</v>
      </c>
      <c r="C124" s="251">
        <v>307.7</v>
      </c>
      <c r="D124" s="251">
        <f t="shared" si="5"/>
        <v>1.3605677023398544</v>
      </c>
      <c r="E124" s="251">
        <v>3.9878337276106832E-2</v>
      </c>
      <c r="G124" s="251">
        <v>115</v>
      </c>
      <c r="H124" s="251">
        <f t="shared" ca="1" si="6"/>
        <v>9.7299185707521874E-3</v>
      </c>
    </row>
    <row r="125" spans="2:8">
      <c r="B125" s="252">
        <v>43893</v>
      </c>
      <c r="C125" s="251">
        <v>130.35</v>
      </c>
      <c r="D125" s="251">
        <f t="shared" si="5"/>
        <v>-0.68342440801457194</v>
      </c>
      <c r="E125" s="251">
        <v>3.9473684210526223E-2</v>
      </c>
      <c r="G125" s="251">
        <v>116</v>
      </c>
      <c r="H125" s="251">
        <f t="shared" ca="1" si="6"/>
        <v>3.1662437094097176E-2</v>
      </c>
    </row>
    <row r="126" spans="2:8">
      <c r="B126" s="252">
        <v>42317</v>
      </c>
      <c r="C126" s="251">
        <v>411.75</v>
      </c>
      <c r="D126" s="251">
        <f t="shared" si="5"/>
        <v>1.2543115247741581</v>
      </c>
      <c r="E126" s="251">
        <v>3.9379023097311686E-2</v>
      </c>
      <c r="G126" s="251">
        <v>117</v>
      </c>
      <c r="H126" s="251">
        <f t="shared" ca="1" si="6"/>
        <v>7.6817727034710643E-3</v>
      </c>
    </row>
    <row r="127" spans="2:8">
      <c r="B127" s="252">
        <v>43522</v>
      </c>
      <c r="C127" s="251">
        <v>182.65</v>
      </c>
      <c r="D127" s="251">
        <f t="shared" si="5"/>
        <v>-0.62309120924473804</v>
      </c>
      <c r="E127" s="251">
        <v>3.9260312944523507E-2</v>
      </c>
      <c r="G127" s="251">
        <v>118</v>
      </c>
      <c r="H127" s="251">
        <f t="shared" ca="1" si="6"/>
        <v>9.988213877908594E-3</v>
      </c>
    </row>
    <row r="128" spans="2:8">
      <c r="B128" s="252">
        <v>42562</v>
      </c>
      <c r="C128" s="251">
        <v>484.6</v>
      </c>
      <c r="D128" s="251">
        <f t="shared" si="5"/>
        <v>3.1832215479612576E-2</v>
      </c>
      <c r="E128" s="251">
        <v>3.9245121166630946E-2</v>
      </c>
      <c r="G128" s="251">
        <v>119</v>
      </c>
      <c r="H128" s="251">
        <f t="shared" ca="1" si="6"/>
        <v>3.3352986063969435E-2</v>
      </c>
    </row>
    <row r="129" spans="2:8">
      <c r="B129" s="252">
        <v>44803</v>
      </c>
      <c r="C129" s="251">
        <v>469.65</v>
      </c>
      <c r="D129" s="251">
        <f t="shared" si="5"/>
        <v>0.18121227364185097</v>
      </c>
      <c r="E129" s="251">
        <v>3.9163624294722844E-2</v>
      </c>
      <c r="G129" s="251">
        <v>120</v>
      </c>
      <c r="H129" s="251">
        <f t="shared" ca="1" si="6"/>
        <v>3.4402173790389857E-3</v>
      </c>
    </row>
    <row r="130" spans="2:8">
      <c r="B130" s="252">
        <v>44733</v>
      </c>
      <c r="C130" s="251">
        <v>397.6</v>
      </c>
      <c r="D130" s="251">
        <f t="shared" si="5"/>
        <v>2.2778235779060183</v>
      </c>
      <c r="E130" s="251">
        <v>3.8933890776064892E-2</v>
      </c>
      <c r="G130" s="251">
        <v>121</v>
      </c>
      <c r="H130" s="251">
        <f t="shared" ca="1" si="6"/>
        <v>4.2955433332925869E-2</v>
      </c>
    </row>
    <row r="131" spans="2:8">
      <c r="B131" s="252">
        <v>43749</v>
      </c>
      <c r="C131" s="251">
        <v>121.3</v>
      </c>
      <c r="D131" s="251">
        <f t="shared" si="5"/>
        <v>-0.65969981764623364</v>
      </c>
      <c r="E131" s="251">
        <v>3.8527397260273974E-2</v>
      </c>
      <c r="G131" s="251">
        <v>122</v>
      </c>
      <c r="H131" s="251">
        <f t="shared" ca="1" si="6"/>
        <v>-4.9786790530083336E-3</v>
      </c>
    </row>
    <row r="132" spans="2:8">
      <c r="B132" s="252">
        <v>42286</v>
      </c>
      <c r="C132" s="251">
        <v>356.45</v>
      </c>
      <c r="D132" s="251">
        <f t="shared" si="5"/>
        <v>0.32929330598545598</v>
      </c>
      <c r="E132" s="251">
        <v>3.8455935906773459E-2</v>
      </c>
      <c r="G132" s="251">
        <v>123</v>
      </c>
      <c r="H132" s="251">
        <f t="shared" ca="1" si="6"/>
        <v>-9.0876564087512685E-3</v>
      </c>
    </row>
    <row r="133" spans="2:8">
      <c r="B133" s="252">
        <v>43308</v>
      </c>
      <c r="C133" s="251">
        <v>268.14999999999998</v>
      </c>
      <c r="D133" s="251">
        <f t="shared" si="5"/>
        <v>-0.44372990353697755</v>
      </c>
      <c r="E133" s="251">
        <v>3.8334946757018304E-2</v>
      </c>
      <c r="G133" s="251">
        <v>124</v>
      </c>
      <c r="H133" s="251">
        <f t="shared" ca="1" si="6"/>
        <v>2.1697826647583306E-2</v>
      </c>
    </row>
    <row r="134" spans="2:8">
      <c r="B134" s="252">
        <v>42541</v>
      </c>
      <c r="C134" s="251">
        <v>482.05</v>
      </c>
      <c r="D134" s="251">
        <f t="shared" si="5"/>
        <v>0.62634952766531726</v>
      </c>
      <c r="E134" s="251">
        <v>3.8006029285099129E-2</v>
      </c>
      <c r="G134" s="251">
        <v>125</v>
      </c>
      <c r="H134" s="251">
        <f t="shared" ca="1" si="6"/>
        <v>-4.1784472114654886E-2</v>
      </c>
    </row>
    <row r="135" spans="2:8">
      <c r="B135" s="252">
        <v>44281</v>
      </c>
      <c r="C135" s="251">
        <v>296.39999999999998</v>
      </c>
      <c r="D135" s="251">
        <f t="shared" si="5"/>
        <v>0.64347102855558624</v>
      </c>
      <c r="E135" s="251">
        <v>3.7996848187707814E-2</v>
      </c>
      <c r="G135" s="251">
        <v>126</v>
      </c>
      <c r="H135" s="251">
        <f t="shared" ca="1" si="6"/>
        <v>-1.7316160876562681E-2</v>
      </c>
    </row>
    <row r="136" spans="2:8">
      <c r="B136" s="252">
        <v>44162</v>
      </c>
      <c r="C136" s="251">
        <v>180.35</v>
      </c>
      <c r="D136" s="251">
        <f t="shared" si="5"/>
        <v>-0.53856978380452858</v>
      </c>
      <c r="E136" s="251">
        <v>3.7985611510791335E-2</v>
      </c>
      <c r="G136" s="251">
        <v>127</v>
      </c>
      <c r="H136" s="251">
        <f t="shared" ca="1" si="6"/>
        <v>5.9627158896853076E-3</v>
      </c>
    </row>
    <row r="137" spans="2:8">
      <c r="B137" s="252">
        <v>42979</v>
      </c>
      <c r="C137" s="251">
        <v>390.85</v>
      </c>
      <c r="D137" s="251">
        <f t="shared" si="5"/>
        <v>1.3817794028031689</v>
      </c>
      <c r="E137" s="251">
        <v>3.7976364360642709E-2</v>
      </c>
      <c r="G137" s="251">
        <v>128</v>
      </c>
      <c r="H137" s="251">
        <f t="shared" ca="1" si="6"/>
        <v>-4.3762482310820375E-2</v>
      </c>
    </row>
    <row r="138" spans="2:8">
      <c r="B138" s="252">
        <v>43446</v>
      </c>
      <c r="C138" s="251">
        <v>164.1</v>
      </c>
      <c r="D138" s="251">
        <f t="shared" ref="D138:D201" si="7">(C138-C139)/C139</f>
        <v>-0.59421364985163205</v>
      </c>
      <c r="E138" s="251">
        <v>3.7950664136622389E-2</v>
      </c>
      <c r="G138" s="251">
        <v>129</v>
      </c>
      <c r="H138" s="251">
        <f t="shared" ca="1" si="6"/>
        <v>-3.4579866171562779E-2</v>
      </c>
    </row>
    <row r="139" spans="2:8">
      <c r="B139" s="252">
        <v>42992</v>
      </c>
      <c r="C139" s="251">
        <v>404.4</v>
      </c>
      <c r="D139" s="251">
        <f t="shared" si="7"/>
        <v>1.2317880794701987</v>
      </c>
      <c r="E139" s="251">
        <v>3.7854484794045941E-2</v>
      </c>
      <c r="G139" s="251">
        <v>130</v>
      </c>
      <c r="H139" s="251">
        <f t="shared" ref="H139:H202" ca="1" si="8">_xlfn.NORM.INV(RAND(),N$12,N$13)</f>
        <v>3.128759551946405E-2</v>
      </c>
    </row>
    <row r="140" spans="2:8">
      <c r="B140" s="252">
        <v>43496</v>
      </c>
      <c r="C140" s="251">
        <v>181.2</v>
      </c>
      <c r="D140" s="251">
        <f t="shared" si="7"/>
        <v>-0.4657231313578063</v>
      </c>
      <c r="E140" s="251">
        <v>3.7800687285223337E-2</v>
      </c>
      <c r="G140" s="251">
        <v>131</v>
      </c>
      <c r="H140" s="251">
        <f t="shared" ca="1" si="8"/>
        <v>2.497002190344055E-2</v>
      </c>
    </row>
    <row r="141" spans="2:8">
      <c r="B141" s="252">
        <v>43192</v>
      </c>
      <c r="C141" s="251">
        <v>339.15</v>
      </c>
      <c r="D141" s="251">
        <f t="shared" si="7"/>
        <v>-0.52131263232180669</v>
      </c>
      <c r="E141" s="251">
        <v>3.7631941257457405E-2</v>
      </c>
      <c r="G141" s="251">
        <v>132</v>
      </c>
      <c r="H141" s="251">
        <f t="shared" ca="1" si="8"/>
        <v>-7.6764754281545755E-3</v>
      </c>
    </row>
    <row r="142" spans="2:8">
      <c r="B142" s="252">
        <v>45786</v>
      </c>
      <c r="C142" s="251">
        <v>708.5</v>
      </c>
      <c r="D142" s="251">
        <f t="shared" si="7"/>
        <v>1.3964146795197026</v>
      </c>
      <c r="E142" s="251">
        <v>3.7563154426301495E-2</v>
      </c>
      <c r="G142" s="251">
        <v>133</v>
      </c>
      <c r="H142" s="251">
        <f t="shared" ca="1" si="8"/>
        <v>2.5029644473132287E-2</v>
      </c>
    </row>
    <row r="143" spans="2:8">
      <c r="B143" s="252">
        <v>43257</v>
      </c>
      <c r="C143" s="251">
        <v>295.64999999999998</v>
      </c>
      <c r="D143" s="251">
        <f t="shared" si="7"/>
        <v>-0.37162592986184917</v>
      </c>
      <c r="E143" s="251">
        <v>3.7550447446920474E-2</v>
      </c>
      <c r="G143" s="251">
        <v>134</v>
      </c>
      <c r="H143" s="251">
        <f t="shared" ca="1" si="8"/>
        <v>1.0570256597682485E-2</v>
      </c>
    </row>
    <row r="144" spans="2:8">
      <c r="B144" s="252">
        <v>44552</v>
      </c>
      <c r="C144" s="251">
        <v>470.5</v>
      </c>
      <c r="D144" s="251">
        <f t="shared" si="7"/>
        <v>0.20873474630700065</v>
      </c>
      <c r="E144" s="251">
        <v>3.7257495590828874E-2</v>
      </c>
      <c r="G144" s="251">
        <v>135</v>
      </c>
      <c r="H144" s="251">
        <f t="shared" ca="1" si="8"/>
        <v>-3.4716173975295056E-3</v>
      </c>
    </row>
    <row r="145" spans="2:8">
      <c r="B145" s="252">
        <v>42963</v>
      </c>
      <c r="C145" s="251">
        <v>389.25</v>
      </c>
      <c r="D145" s="251">
        <f t="shared" si="7"/>
        <v>0.21073094867807154</v>
      </c>
      <c r="E145" s="251">
        <v>3.6893979754928141E-2</v>
      </c>
      <c r="G145" s="251">
        <v>136</v>
      </c>
      <c r="H145" s="251">
        <f t="shared" ca="1" si="8"/>
        <v>3.9761852071937154E-3</v>
      </c>
    </row>
    <row r="146" spans="2:8">
      <c r="B146" s="252">
        <v>44462</v>
      </c>
      <c r="C146" s="251">
        <v>321.5</v>
      </c>
      <c r="D146" s="251">
        <f t="shared" si="7"/>
        <v>-0.27023039382589947</v>
      </c>
      <c r="E146" s="251">
        <v>3.6762334730731948E-2</v>
      </c>
      <c r="G146" s="251">
        <v>137</v>
      </c>
      <c r="H146" s="251">
        <f t="shared" ca="1" si="8"/>
        <v>-3.465796681786021E-3</v>
      </c>
    </row>
    <row r="147" spans="2:8">
      <c r="B147" s="252">
        <v>44671</v>
      </c>
      <c r="C147" s="251">
        <v>440.55</v>
      </c>
      <c r="D147" s="251">
        <f t="shared" si="7"/>
        <v>0.23889201349831266</v>
      </c>
      <c r="E147" s="251">
        <v>3.6710201200141249E-2</v>
      </c>
      <c r="G147" s="251">
        <v>138</v>
      </c>
      <c r="H147" s="251">
        <f t="shared" ca="1" si="8"/>
        <v>2.6777838997718417E-2</v>
      </c>
    </row>
    <row r="148" spans="2:8">
      <c r="B148" s="252">
        <v>43194</v>
      </c>
      <c r="C148" s="251">
        <v>355.6</v>
      </c>
      <c r="D148" s="251">
        <f t="shared" si="7"/>
        <v>-0.22955259451847035</v>
      </c>
      <c r="E148" s="251">
        <v>3.6432526960069947E-2</v>
      </c>
      <c r="G148" s="251">
        <v>139</v>
      </c>
      <c r="H148" s="251">
        <f t="shared" ca="1" si="8"/>
        <v>8.6201891084477719E-3</v>
      </c>
    </row>
    <row r="149" spans="2:8">
      <c r="B149" s="252">
        <v>42712</v>
      </c>
      <c r="C149" s="251">
        <v>461.55</v>
      </c>
      <c r="D149" s="251">
        <f t="shared" si="7"/>
        <v>-2.8826933193056261E-2</v>
      </c>
      <c r="E149" s="251">
        <v>3.6375884136072727E-2</v>
      </c>
      <c r="G149" s="251">
        <v>140</v>
      </c>
      <c r="H149" s="251">
        <f t="shared" ca="1" si="8"/>
        <v>-9.8123640468987996E-3</v>
      </c>
    </row>
    <row r="150" spans="2:8">
      <c r="B150" s="252">
        <v>44531</v>
      </c>
      <c r="C150" s="251">
        <v>475.25</v>
      </c>
      <c r="D150" s="251">
        <f t="shared" si="7"/>
        <v>2.7347740667976423</v>
      </c>
      <c r="E150" s="251">
        <v>3.6306149149585645E-2</v>
      </c>
      <c r="G150" s="251">
        <v>141</v>
      </c>
      <c r="H150" s="251">
        <f t="shared" ca="1" si="8"/>
        <v>-5.0496082385460897E-3</v>
      </c>
    </row>
    <row r="151" spans="2:8">
      <c r="B151" s="252">
        <v>44099</v>
      </c>
      <c r="C151" s="251">
        <v>127.25</v>
      </c>
      <c r="D151" s="251">
        <f t="shared" si="7"/>
        <v>-0.6864991377186499</v>
      </c>
      <c r="E151" s="251">
        <v>3.6237785016286668E-2</v>
      </c>
      <c r="G151" s="251">
        <v>142</v>
      </c>
      <c r="H151" s="251">
        <f t="shared" ca="1" si="8"/>
        <v>-3.6431278289087266E-2</v>
      </c>
    </row>
    <row r="152" spans="2:8">
      <c r="B152" s="252">
        <v>44629</v>
      </c>
      <c r="C152" s="251">
        <v>405.9</v>
      </c>
      <c r="D152" s="251">
        <f t="shared" si="7"/>
        <v>-2.427884615384621E-2</v>
      </c>
      <c r="E152" s="251">
        <v>3.6119974473516218E-2</v>
      </c>
      <c r="G152" s="251">
        <v>143</v>
      </c>
      <c r="H152" s="251">
        <f t="shared" ca="1" si="8"/>
        <v>1.0020378994641805E-2</v>
      </c>
    </row>
    <row r="153" spans="2:8">
      <c r="B153" s="252">
        <v>43011</v>
      </c>
      <c r="C153" s="251">
        <v>416</v>
      </c>
      <c r="D153" s="251">
        <f t="shared" si="7"/>
        <v>-0.5038227120382629</v>
      </c>
      <c r="E153" s="251">
        <v>3.6114570361145702E-2</v>
      </c>
      <c r="G153" s="251">
        <v>144</v>
      </c>
      <c r="H153" s="251">
        <f t="shared" ca="1" si="8"/>
        <v>-4.3485694532609449E-4</v>
      </c>
    </row>
    <row r="154" spans="2:8">
      <c r="B154" s="252">
        <v>45320</v>
      </c>
      <c r="C154" s="251">
        <v>838.41</v>
      </c>
      <c r="D154" s="251">
        <f t="shared" si="7"/>
        <v>0.19730096394144944</v>
      </c>
      <c r="E154" s="251">
        <v>3.5905356149996841E-2</v>
      </c>
      <c r="G154" s="251">
        <v>145</v>
      </c>
      <c r="H154" s="251">
        <f t="shared" ca="1" si="8"/>
        <v>1.7704733225743421E-2</v>
      </c>
    </row>
    <row r="155" spans="2:8">
      <c r="B155" s="252">
        <v>45888</v>
      </c>
      <c r="C155" s="251">
        <v>700.25</v>
      </c>
      <c r="D155" s="251">
        <f t="shared" si="7"/>
        <v>0.71967092337917493</v>
      </c>
      <c r="E155" s="251">
        <v>3.587278106508876E-2</v>
      </c>
      <c r="G155" s="251">
        <v>146</v>
      </c>
      <c r="H155" s="251">
        <f t="shared" ca="1" si="8"/>
        <v>2.613736916398093E-2</v>
      </c>
    </row>
    <row r="156" spans="2:8">
      <c r="B156" s="252">
        <v>44735</v>
      </c>
      <c r="C156" s="251">
        <v>407.2</v>
      </c>
      <c r="D156" s="251">
        <f t="shared" si="7"/>
        <v>-0.13481355572081163</v>
      </c>
      <c r="E156" s="251">
        <v>3.5868735690663865E-2</v>
      </c>
      <c r="G156" s="251">
        <v>147</v>
      </c>
      <c r="H156" s="251">
        <f t="shared" ca="1" si="8"/>
        <v>-1.8206545689485661E-2</v>
      </c>
    </row>
    <row r="157" spans="2:8">
      <c r="B157" s="252">
        <v>42717</v>
      </c>
      <c r="C157" s="251">
        <v>470.65</v>
      </c>
      <c r="D157" s="251">
        <f t="shared" si="7"/>
        <v>0.41272699984991751</v>
      </c>
      <c r="E157" s="251">
        <v>3.5761443661971835E-2</v>
      </c>
      <c r="G157" s="251">
        <v>148</v>
      </c>
      <c r="H157" s="251">
        <f t="shared" ca="1" si="8"/>
        <v>2.0833227195820283E-2</v>
      </c>
    </row>
    <row r="158" spans="2:8">
      <c r="B158" s="252">
        <v>44252</v>
      </c>
      <c r="C158" s="251">
        <v>333.15</v>
      </c>
      <c r="D158" s="251">
        <f t="shared" si="7"/>
        <v>-0.3856154910096819</v>
      </c>
      <c r="E158" s="251">
        <v>3.5753147831493859E-2</v>
      </c>
      <c r="G158" s="251">
        <v>149</v>
      </c>
      <c r="H158" s="251">
        <f t="shared" ca="1" si="8"/>
        <v>7.3502328070685456E-3</v>
      </c>
    </row>
    <row r="159" spans="2:8">
      <c r="B159" s="252">
        <v>42767</v>
      </c>
      <c r="C159" s="251">
        <v>542.25</v>
      </c>
      <c r="D159" s="251">
        <f t="shared" si="7"/>
        <v>0.7720588235294118</v>
      </c>
      <c r="E159" s="251">
        <v>3.5717696495081747E-2</v>
      </c>
      <c r="G159" s="251">
        <v>150</v>
      </c>
      <c r="H159" s="251">
        <f t="shared" ca="1" si="8"/>
        <v>-5.4212572977916998E-2</v>
      </c>
    </row>
    <row r="160" spans="2:8">
      <c r="B160" s="252">
        <v>44420</v>
      </c>
      <c r="C160" s="251">
        <v>306</v>
      </c>
      <c r="D160" s="251">
        <f t="shared" si="7"/>
        <v>-9.2257490358943997E-2</v>
      </c>
      <c r="E160" s="251">
        <v>3.5708241665256428E-2</v>
      </c>
      <c r="G160" s="251">
        <v>151</v>
      </c>
      <c r="H160" s="251">
        <f t="shared" ca="1" si="8"/>
        <v>-1.9938039605122703E-2</v>
      </c>
    </row>
    <row r="161" spans="2:8">
      <c r="B161" s="252">
        <v>42405</v>
      </c>
      <c r="C161" s="251">
        <v>337.1</v>
      </c>
      <c r="D161" s="251">
        <f t="shared" si="7"/>
        <v>0.24460033228724384</v>
      </c>
      <c r="E161" s="251">
        <v>3.5637480798771194E-2</v>
      </c>
      <c r="G161" s="251">
        <v>152</v>
      </c>
      <c r="H161" s="251">
        <f t="shared" ca="1" si="8"/>
        <v>-2.0173024953046577E-2</v>
      </c>
    </row>
    <row r="162" spans="2:8">
      <c r="B162" s="252">
        <v>43287</v>
      </c>
      <c r="C162" s="251">
        <v>270.85000000000002</v>
      </c>
      <c r="D162" s="251">
        <f t="shared" si="7"/>
        <v>2.9511305616338444</v>
      </c>
      <c r="E162" s="251">
        <v>3.5557254826992971E-2</v>
      </c>
      <c r="G162" s="251">
        <v>153</v>
      </c>
      <c r="H162" s="251">
        <f t="shared" ca="1" si="8"/>
        <v>-3.3217858547602348E-2</v>
      </c>
    </row>
    <row r="163" spans="2:8">
      <c r="B163" s="252">
        <v>43914</v>
      </c>
      <c r="C163" s="251">
        <v>68.55</v>
      </c>
      <c r="D163" s="251">
        <f t="shared" si="7"/>
        <v>-0.53047945205479452</v>
      </c>
      <c r="E163" s="251">
        <v>3.5498489425981786E-2</v>
      </c>
      <c r="G163" s="251">
        <v>154</v>
      </c>
      <c r="H163" s="251">
        <f t="shared" ca="1" si="8"/>
        <v>-2.655703270406547E-2</v>
      </c>
    </row>
    <row r="164" spans="2:8">
      <c r="B164" s="252">
        <v>44145</v>
      </c>
      <c r="C164" s="251">
        <v>146</v>
      </c>
      <c r="D164" s="251">
        <f t="shared" si="7"/>
        <v>0.26516464471403806</v>
      </c>
      <c r="E164" s="251">
        <v>3.5460992907801421E-2</v>
      </c>
      <c r="G164" s="251">
        <v>155</v>
      </c>
      <c r="H164" s="251">
        <f t="shared" ca="1" si="8"/>
        <v>3.5926794792413515E-2</v>
      </c>
    </row>
    <row r="165" spans="2:8">
      <c r="B165" s="252">
        <v>44048</v>
      </c>
      <c r="C165" s="251">
        <v>115.4</v>
      </c>
      <c r="D165" s="251">
        <f t="shared" si="7"/>
        <v>-0.65288013235072939</v>
      </c>
      <c r="E165" s="251">
        <v>3.5441902198295225E-2</v>
      </c>
      <c r="G165" s="251">
        <v>156</v>
      </c>
      <c r="H165" s="251">
        <f t="shared" ca="1" si="8"/>
        <v>2.3686943711122243E-2</v>
      </c>
    </row>
    <row r="166" spans="2:8">
      <c r="B166" s="252">
        <v>44334</v>
      </c>
      <c r="C166" s="251">
        <v>332.45</v>
      </c>
      <c r="D166" s="251">
        <f t="shared" si="7"/>
        <v>-0.52189544833537072</v>
      </c>
      <c r="E166" s="251">
        <v>3.5347243849268031E-2</v>
      </c>
      <c r="G166" s="251">
        <v>157</v>
      </c>
      <c r="H166" s="251">
        <f t="shared" ca="1" si="8"/>
        <v>3.0690965413318529E-2</v>
      </c>
    </row>
    <row r="167" spans="2:8">
      <c r="B167" s="252">
        <v>45258</v>
      </c>
      <c r="C167" s="251">
        <v>695.35</v>
      </c>
      <c r="D167" s="251">
        <f t="shared" si="7"/>
        <v>0.65520114258509876</v>
      </c>
      <c r="E167" s="251">
        <v>3.5317064455131587E-2</v>
      </c>
      <c r="G167" s="251">
        <v>158</v>
      </c>
      <c r="H167" s="251">
        <f t="shared" ca="1" si="8"/>
        <v>1.2804305014549879E-2</v>
      </c>
    </row>
    <row r="168" spans="2:8">
      <c r="B168" s="252">
        <v>43088</v>
      </c>
      <c r="C168" s="251">
        <v>420.1</v>
      </c>
      <c r="D168" s="251">
        <f t="shared" si="7"/>
        <v>-0.58763594958577092</v>
      </c>
      <c r="E168" s="251">
        <v>3.5239034006899976E-2</v>
      </c>
      <c r="G168" s="251">
        <v>159</v>
      </c>
      <c r="H168" s="251">
        <f t="shared" ca="1" si="8"/>
        <v>-4.7562044654407241E-2</v>
      </c>
    </row>
    <row r="169" spans="2:8">
      <c r="B169" s="252">
        <v>45356</v>
      </c>
      <c r="C169" s="267">
        <v>1018.76</v>
      </c>
      <c r="D169" s="251">
        <f t="shared" si="7"/>
        <v>4.8082098061573548</v>
      </c>
      <c r="E169" s="251">
        <v>3.5156885059339969E-2</v>
      </c>
      <c r="G169" s="251">
        <v>160</v>
      </c>
      <c r="H169" s="251">
        <f t="shared" ca="1" si="8"/>
        <v>2.8621488222358091E-2</v>
      </c>
    </row>
    <row r="170" spans="2:8">
      <c r="B170" s="252">
        <v>43601</v>
      </c>
      <c r="C170" s="251">
        <v>175.4</v>
      </c>
      <c r="D170" s="251">
        <f t="shared" si="7"/>
        <v>-0.60072843159572042</v>
      </c>
      <c r="E170" s="251">
        <v>3.5113602832694116E-2</v>
      </c>
      <c r="G170" s="251">
        <v>161</v>
      </c>
      <c r="H170" s="251">
        <f t="shared" ca="1" si="8"/>
        <v>3.6980163002393492E-2</v>
      </c>
    </row>
    <row r="171" spans="2:8">
      <c r="B171" s="252">
        <v>43102</v>
      </c>
      <c r="C171" s="251">
        <v>439.3</v>
      </c>
      <c r="D171" s="251">
        <f t="shared" si="7"/>
        <v>-0.31445068664169779</v>
      </c>
      <c r="E171" s="251">
        <v>3.4986453056897217E-2</v>
      </c>
      <c r="G171" s="251">
        <v>162</v>
      </c>
      <c r="H171" s="251">
        <f t="shared" ca="1" si="8"/>
        <v>3.2123859649576703E-2</v>
      </c>
    </row>
    <row r="172" spans="2:8">
      <c r="B172" s="252">
        <v>45721</v>
      </c>
      <c r="C172" s="251">
        <v>640.79999999999995</v>
      </c>
      <c r="D172" s="251">
        <f t="shared" si="7"/>
        <v>0.49189793257589864</v>
      </c>
      <c r="E172" s="251">
        <v>3.4883720930232412E-2</v>
      </c>
      <c r="G172" s="251">
        <v>163</v>
      </c>
      <c r="H172" s="251">
        <f t="shared" ca="1" si="8"/>
        <v>2.9194677214902525E-2</v>
      </c>
    </row>
    <row r="173" spans="2:8">
      <c r="B173" s="252">
        <v>44749</v>
      </c>
      <c r="C173" s="251">
        <v>429.52</v>
      </c>
      <c r="D173" s="251">
        <f t="shared" si="7"/>
        <v>-0.44759822519452125</v>
      </c>
      <c r="E173" s="251">
        <v>3.4813404967836727E-2</v>
      </c>
      <c r="G173" s="251">
        <v>164</v>
      </c>
      <c r="H173" s="251">
        <f t="shared" ca="1" si="8"/>
        <v>4.1125786510738005E-2</v>
      </c>
    </row>
    <row r="174" spans="2:8">
      <c r="B174" s="252">
        <v>45289</v>
      </c>
      <c r="C174" s="251">
        <v>777.55</v>
      </c>
      <c r="D174" s="251">
        <f t="shared" si="7"/>
        <v>1.0027044430135221</v>
      </c>
      <c r="E174" s="251">
        <v>3.4553873173846977E-2</v>
      </c>
      <c r="G174" s="251">
        <v>165</v>
      </c>
      <c r="H174" s="251">
        <f t="shared" ca="1" si="8"/>
        <v>-1.0701052343408249E-2</v>
      </c>
    </row>
    <row r="175" spans="2:8">
      <c r="B175" s="252">
        <v>42990</v>
      </c>
      <c r="C175" s="251">
        <v>388.25</v>
      </c>
      <c r="D175" s="251">
        <f t="shared" si="7"/>
        <v>5.948969845817987E-2</v>
      </c>
      <c r="E175" s="251">
        <v>3.4505728750333038E-2</v>
      </c>
      <c r="G175" s="251">
        <v>166</v>
      </c>
      <c r="H175" s="251">
        <f t="shared" ca="1" si="8"/>
        <v>7.1300107993241879E-2</v>
      </c>
    </row>
    <row r="176" spans="2:8">
      <c r="B176" s="252">
        <v>42443</v>
      </c>
      <c r="C176" s="251">
        <v>366.45</v>
      </c>
      <c r="D176" s="251">
        <f t="shared" si="7"/>
        <v>-0.62124813957334213</v>
      </c>
      <c r="E176" s="251">
        <v>3.4438955539872938E-2</v>
      </c>
      <c r="G176" s="251">
        <v>167</v>
      </c>
      <c r="H176" s="251">
        <f t="shared" ca="1" si="8"/>
        <v>-4.078971187425956E-2</v>
      </c>
    </row>
    <row r="177" spans="2:8">
      <c r="B177" s="252">
        <v>45450</v>
      </c>
      <c r="C177" s="251">
        <v>967.52</v>
      </c>
      <c r="D177" s="251">
        <f t="shared" si="7"/>
        <v>2.2401875418620225</v>
      </c>
      <c r="E177" s="251">
        <v>3.4382483749572319E-2</v>
      </c>
      <c r="G177" s="251">
        <v>168</v>
      </c>
      <c r="H177" s="251">
        <f t="shared" ca="1" si="8"/>
        <v>2.8466045782601281E-3</v>
      </c>
    </row>
    <row r="178" spans="2:8">
      <c r="B178" s="252">
        <v>42277</v>
      </c>
      <c r="C178" s="251">
        <v>298.60000000000002</v>
      </c>
      <c r="D178" s="251">
        <f t="shared" si="7"/>
        <v>0.90433673469387754</v>
      </c>
      <c r="E178" s="251">
        <v>3.4112554112554191E-2</v>
      </c>
      <c r="G178" s="251">
        <v>169</v>
      </c>
      <c r="H178" s="251">
        <f t="shared" ca="1" si="8"/>
        <v>-3.3512122987920494E-2</v>
      </c>
    </row>
    <row r="179" spans="2:8">
      <c r="B179" s="252">
        <v>43657</v>
      </c>
      <c r="C179" s="251">
        <v>156.80000000000001</v>
      </c>
      <c r="D179" s="251">
        <f t="shared" si="7"/>
        <v>-0.66126593216677465</v>
      </c>
      <c r="E179" s="251">
        <v>3.3959775799538447E-2</v>
      </c>
      <c r="G179" s="251">
        <v>170</v>
      </c>
      <c r="H179" s="251">
        <f t="shared" ca="1" si="8"/>
        <v>2.8722060041856585E-2</v>
      </c>
    </row>
    <row r="180" spans="2:8">
      <c r="B180" s="252">
        <v>43045</v>
      </c>
      <c r="C180" s="251">
        <v>462.9</v>
      </c>
      <c r="D180" s="251">
        <f t="shared" si="7"/>
        <v>2.0665783371977478</v>
      </c>
      <c r="E180" s="251">
        <v>3.3951306678579381E-2</v>
      </c>
      <c r="G180" s="251">
        <v>171</v>
      </c>
      <c r="H180" s="251">
        <f t="shared" ca="1" si="8"/>
        <v>-5.2305751056359442E-2</v>
      </c>
    </row>
    <row r="181" spans="2:8">
      <c r="B181" s="252">
        <v>44146</v>
      </c>
      <c r="C181" s="251">
        <v>150.94999999999999</v>
      </c>
      <c r="D181" s="251">
        <f t="shared" si="7"/>
        <v>-0.86256657713843488</v>
      </c>
      <c r="E181" s="251">
        <v>3.3904109589041019E-2</v>
      </c>
      <c r="G181" s="251">
        <v>172</v>
      </c>
      <c r="H181" s="251">
        <f t="shared" ca="1" si="8"/>
        <v>-2.5513600225050195E-2</v>
      </c>
    </row>
    <row r="182" spans="2:8">
      <c r="B182" s="252">
        <v>45520</v>
      </c>
      <c r="C182" s="267">
        <v>1098.3499999999999</v>
      </c>
      <c r="D182" s="251">
        <f t="shared" si="7"/>
        <v>1.6176120114394659</v>
      </c>
      <c r="E182" s="251">
        <v>3.388713700757754E-2</v>
      </c>
      <c r="G182" s="251">
        <v>173</v>
      </c>
      <c r="H182" s="251">
        <f t="shared" ca="1" si="8"/>
        <v>-1.2324297265028291E-2</v>
      </c>
    </row>
    <row r="183" spans="2:8">
      <c r="B183" s="252">
        <v>44630</v>
      </c>
      <c r="C183" s="251">
        <v>419.6</v>
      </c>
      <c r="D183" s="251">
        <f t="shared" si="7"/>
        <v>1.3612830613393363</v>
      </c>
      <c r="E183" s="251">
        <v>3.3752155703375329E-2</v>
      </c>
      <c r="G183" s="251">
        <v>174</v>
      </c>
      <c r="H183" s="251">
        <f t="shared" ca="1" si="8"/>
        <v>-1.4738027738301129E-2</v>
      </c>
    </row>
    <row r="184" spans="2:8">
      <c r="B184" s="252">
        <v>43769</v>
      </c>
      <c r="C184" s="251">
        <v>177.7</v>
      </c>
      <c r="D184" s="251">
        <f t="shared" si="7"/>
        <v>-0.84705426690192365</v>
      </c>
      <c r="E184" s="251">
        <v>3.3740546829551965E-2</v>
      </c>
      <c r="G184" s="251">
        <v>175</v>
      </c>
      <c r="H184" s="251">
        <f t="shared" ca="1" si="8"/>
        <v>-3.6786072720790007E-2</v>
      </c>
    </row>
    <row r="185" spans="2:8">
      <c r="B185" s="252">
        <v>45503</v>
      </c>
      <c r="C185" s="267">
        <v>1161.8499999999999</v>
      </c>
      <c r="D185" s="251">
        <f t="shared" si="7"/>
        <v>1.7607223476297964</v>
      </c>
      <c r="E185" s="251">
        <v>3.3674377224199206E-2</v>
      </c>
      <c r="G185" s="251">
        <v>176</v>
      </c>
      <c r="H185" s="251">
        <f t="shared" ca="1" si="8"/>
        <v>2.2200687026533644E-2</v>
      </c>
    </row>
    <row r="186" spans="2:8">
      <c r="B186" s="252">
        <v>44950</v>
      </c>
      <c r="C186" s="251">
        <v>420.85</v>
      </c>
      <c r="D186" s="251">
        <f t="shared" si="7"/>
        <v>-0.40771233551474201</v>
      </c>
      <c r="E186" s="251">
        <v>3.3673920518740574E-2</v>
      </c>
      <c r="G186" s="251">
        <v>177</v>
      </c>
      <c r="H186" s="251">
        <f t="shared" ca="1" si="8"/>
        <v>5.1348701851720675E-3</v>
      </c>
    </row>
    <row r="187" spans="2:8">
      <c r="B187" s="252">
        <v>45692</v>
      </c>
      <c r="C187" s="251">
        <v>710.55</v>
      </c>
      <c r="D187" s="251">
        <f t="shared" si="7"/>
        <v>3.2294642857142852</v>
      </c>
      <c r="E187" s="251">
        <v>3.3602443814095433E-2</v>
      </c>
      <c r="G187" s="251">
        <v>178</v>
      </c>
      <c r="H187" s="251">
        <f t="shared" ca="1" si="8"/>
        <v>6.3338402035781841E-3</v>
      </c>
    </row>
    <row r="188" spans="2:8">
      <c r="B188" s="252">
        <v>43647</v>
      </c>
      <c r="C188" s="251">
        <v>168</v>
      </c>
      <c r="D188" s="251">
        <f t="shared" si="7"/>
        <v>0.57894736842105254</v>
      </c>
      <c r="E188" s="251">
        <v>3.3528145186096515E-2</v>
      </c>
      <c r="G188" s="251">
        <v>179</v>
      </c>
      <c r="H188" s="251">
        <f t="shared" ca="1" si="8"/>
        <v>-2.9972588568985541E-2</v>
      </c>
    </row>
    <row r="189" spans="2:8">
      <c r="B189" s="252">
        <v>44029</v>
      </c>
      <c r="C189" s="251">
        <v>106.4</v>
      </c>
      <c r="D189" s="251">
        <f t="shared" si="7"/>
        <v>-0.64680497925311198</v>
      </c>
      <c r="E189" s="251">
        <v>3.3511413307430821E-2</v>
      </c>
      <c r="G189" s="251">
        <v>180</v>
      </c>
      <c r="H189" s="251">
        <f t="shared" ca="1" si="8"/>
        <v>-8.1332756377406404E-2</v>
      </c>
    </row>
    <row r="190" spans="2:8">
      <c r="B190" s="252">
        <v>44322</v>
      </c>
      <c r="C190" s="251">
        <v>301.25</v>
      </c>
      <c r="D190" s="251">
        <f t="shared" si="7"/>
        <v>-0.11266568483063329</v>
      </c>
      <c r="E190" s="251">
        <v>3.3447684391080618E-2</v>
      </c>
      <c r="G190" s="251">
        <v>181</v>
      </c>
      <c r="H190" s="251">
        <f t="shared" ca="1" si="8"/>
        <v>2.3886527501731234E-2</v>
      </c>
    </row>
    <row r="191" spans="2:8">
      <c r="B191" s="252">
        <v>42391</v>
      </c>
      <c r="C191" s="251">
        <v>339.5</v>
      </c>
      <c r="D191" s="251">
        <f t="shared" si="7"/>
        <v>-0.5488372093023256</v>
      </c>
      <c r="E191" s="251">
        <v>3.3328260538730753E-2</v>
      </c>
      <c r="G191" s="251">
        <v>182</v>
      </c>
      <c r="H191" s="251">
        <f t="shared" ca="1" si="8"/>
        <v>-2.3682366142971797E-2</v>
      </c>
    </row>
    <row r="192" spans="2:8">
      <c r="B192" s="252">
        <v>45686</v>
      </c>
      <c r="C192" s="251">
        <v>752.5</v>
      </c>
      <c r="D192" s="251">
        <f t="shared" si="7"/>
        <v>0.6099700470688918</v>
      </c>
      <c r="E192" s="251">
        <v>3.3299004462753176E-2</v>
      </c>
      <c r="G192" s="251">
        <v>183</v>
      </c>
      <c r="H192" s="251">
        <f t="shared" ca="1" si="8"/>
        <v>-1.1378755064443984E-2</v>
      </c>
    </row>
    <row r="193" spans="2:8">
      <c r="B193" s="252">
        <v>42906</v>
      </c>
      <c r="C193" s="251">
        <v>467.4</v>
      </c>
      <c r="D193" s="251">
        <f t="shared" si="7"/>
        <v>-0.40865384615384615</v>
      </c>
      <c r="E193" s="251">
        <v>3.3270697468774077E-2</v>
      </c>
      <c r="G193" s="251">
        <v>184</v>
      </c>
      <c r="H193" s="251">
        <f t="shared" ca="1" si="8"/>
        <v>7.5319682932826412E-3</v>
      </c>
    </row>
    <row r="194" spans="2:8">
      <c r="B194" s="252">
        <v>45660</v>
      </c>
      <c r="C194" s="251">
        <v>790.4</v>
      </c>
      <c r="D194" s="251">
        <f t="shared" si="7"/>
        <v>1.4245398773006135</v>
      </c>
      <c r="E194" s="251">
        <v>3.3135089209855598E-2</v>
      </c>
      <c r="G194" s="251">
        <v>185</v>
      </c>
      <c r="H194" s="251">
        <f t="shared" ca="1" si="8"/>
        <v>5.4543579660535475E-2</v>
      </c>
    </row>
    <row r="195" spans="2:8">
      <c r="B195" s="252">
        <v>44328</v>
      </c>
      <c r="C195" s="251">
        <v>326</v>
      </c>
      <c r="D195" s="251">
        <f t="shared" si="7"/>
        <v>6.7452521283562619E-2</v>
      </c>
      <c r="E195" s="251">
        <v>3.3116780225003924E-2</v>
      </c>
      <c r="G195" s="251">
        <v>186</v>
      </c>
      <c r="H195" s="251">
        <f t="shared" ca="1" si="8"/>
        <v>1.8150072624485585E-2</v>
      </c>
    </row>
    <row r="196" spans="2:8">
      <c r="B196" s="252">
        <v>43258</v>
      </c>
      <c r="C196" s="251">
        <v>305.39999999999998</v>
      </c>
      <c r="D196" s="251">
        <f t="shared" si="7"/>
        <v>-0.1791425883617794</v>
      </c>
      <c r="E196" s="251">
        <v>3.2978183663115175E-2</v>
      </c>
      <c r="G196" s="251">
        <v>187</v>
      </c>
      <c r="H196" s="251">
        <f t="shared" ca="1" si="8"/>
        <v>-1.3023962719982173E-2</v>
      </c>
    </row>
    <row r="197" spans="2:8">
      <c r="B197" s="252">
        <v>43157</v>
      </c>
      <c r="C197" s="251">
        <v>372.05</v>
      </c>
      <c r="D197" s="251">
        <f t="shared" si="7"/>
        <v>-0.2664629337539432</v>
      </c>
      <c r="E197" s="251">
        <v>3.2898389783453698E-2</v>
      </c>
      <c r="G197" s="251">
        <v>188</v>
      </c>
      <c r="H197" s="251">
        <f t="shared" ca="1" si="8"/>
        <v>-2.1064780989126043E-2</v>
      </c>
    </row>
    <row r="198" spans="2:8">
      <c r="B198" s="252">
        <v>42573</v>
      </c>
      <c r="C198" s="251">
        <v>507.2</v>
      </c>
      <c r="D198" s="251">
        <f t="shared" si="7"/>
        <v>-1.7815646785437626E-2</v>
      </c>
      <c r="E198" s="251">
        <v>3.2888707870888864E-2</v>
      </c>
      <c r="G198" s="251">
        <v>189</v>
      </c>
      <c r="H198" s="251">
        <f t="shared" ca="1" si="8"/>
        <v>-2.8877209661721187E-3</v>
      </c>
    </row>
    <row r="199" spans="2:8">
      <c r="B199" s="252">
        <v>42587</v>
      </c>
      <c r="C199" s="251">
        <v>516.4</v>
      </c>
      <c r="D199" s="251">
        <f t="shared" si="7"/>
        <v>0.26336391437308865</v>
      </c>
      <c r="E199" s="251">
        <v>3.2799999999999954E-2</v>
      </c>
      <c r="G199" s="251">
        <v>190</v>
      </c>
      <c r="H199" s="251">
        <f t="shared" ca="1" si="8"/>
        <v>-2.189236928661098E-2</v>
      </c>
    </row>
    <row r="200" spans="2:8">
      <c r="B200" s="252">
        <v>42473</v>
      </c>
      <c r="C200" s="251">
        <v>408.75</v>
      </c>
      <c r="D200" s="251">
        <f t="shared" si="7"/>
        <v>0.15924560408394775</v>
      </c>
      <c r="E200" s="251">
        <v>3.2718544719555299E-2</v>
      </c>
      <c r="G200" s="251">
        <v>191</v>
      </c>
      <c r="H200" s="251">
        <f t="shared" ca="1" si="8"/>
        <v>2.2931501456141604E-2</v>
      </c>
    </row>
    <row r="201" spans="2:8">
      <c r="B201" s="252">
        <v>43171</v>
      </c>
      <c r="C201" s="251">
        <v>352.6</v>
      </c>
      <c r="D201" s="251">
        <f t="shared" si="7"/>
        <v>-0.32625062101119728</v>
      </c>
      <c r="E201" s="251">
        <v>3.2503660322108413E-2</v>
      </c>
      <c r="G201" s="251">
        <v>192</v>
      </c>
      <c r="H201" s="251">
        <f t="shared" ca="1" si="8"/>
        <v>1.7689017437849237E-2</v>
      </c>
    </row>
    <row r="202" spans="2:8">
      <c r="B202" s="252">
        <v>45065</v>
      </c>
      <c r="C202" s="251">
        <v>523.34</v>
      </c>
      <c r="D202" s="251">
        <f t="shared" ref="D202:D265" si="9">(C202-C203)/C203</f>
        <v>3.8256339326878748</v>
      </c>
      <c r="E202" s="251">
        <v>3.2452800410345532E-2</v>
      </c>
      <c r="G202" s="251">
        <v>193</v>
      </c>
      <c r="H202" s="251">
        <f t="shared" ca="1" si="8"/>
        <v>4.4586488634173645E-3</v>
      </c>
    </row>
    <row r="203" spans="2:8">
      <c r="B203" s="252">
        <v>44033</v>
      </c>
      <c r="C203" s="251">
        <v>108.45</v>
      </c>
      <c r="D203" s="251">
        <f t="shared" si="9"/>
        <v>-0.77774362127267138</v>
      </c>
      <c r="E203" s="251">
        <v>3.2365540218943417E-2</v>
      </c>
      <c r="G203" s="251">
        <v>194</v>
      </c>
      <c r="H203" s="251">
        <f t="shared" ref="H203:H266" ca="1" si="10">_xlfn.NORM.INV(RAND(),N$12,N$13)</f>
        <v>5.1177403828361039E-3</v>
      </c>
    </row>
    <row r="204" spans="2:8">
      <c r="B204" s="252">
        <v>42544</v>
      </c>
      <c r="C204" s="251">
        <v>487.95</v>
      </c>
      <c r="D204" s="251">
        <f t="shared" si="9"/>
        <v>-5.4818401937046027E-2</v>
      </c>
      <c r="E204" s="251">
        <v>3.2261476623651364E-2</v>
      </c>
      <c r="G204" s="251">
        <v>195</v>
      </c>
      <c r="H204" s="251">
        <f t="shared" ca="1" si="10"/>
        <v>4.0791839158886976E-2</v>
      </c>
    </row>
    <row r="205" spans="2:8">
      <c r="B205" s="252">
        <v>42745</v>
      </c>
      <c r="C205" s="251">
        <v>516.25</v>
      </c>
      <c r="D205" s="251">
        <f t="shared" si="9"/>
        <v>5.9952776922287218E-2</v>
      </c>
      <c r="E205" s="251">
        <v>3.2190342897130908E-2</v>
      </c>
      <c r="G205" s="251">
        <v>196</v>
      </c>
      <c r="H205" s="251">
        <f t="shared" ca="1" si="10"/>
        <v>-2.4547021558965966E-2</v>
      </c>
    </row>
    <row r="206" spans="2:8">
      <c r="B206" s="252">
        <v>42737</v>
      </c>
      <c r="C206" s="251">
        <v>487.05</v>
      </c>
      <c r="D206" s="251">
        <f t="shared" si="9"/>
        <v>-3.0070696007169107E-2</v>
      </c>
      <c r="E206" s="251">
        <v>3.1885593220339008E-2</v>
      </c>
      <c r="G206" s="251">
        <v>197</v>
      </c>
      <c r="H206" s="251">
        <f t="shared" ca="1" si="10"/>
        <v>1.4007057344710023E-2</v>
      </c>
    </row>
    <row r="207" spans="2:8">
      <c r="B207" s="252">
        <v>42740</v>
      </c>
      <c r="C207" s="251">
        <v>502.15</v>
      </c>
      <c r="D207" s="251">
        <f t="shared" si="9"/>
        <v>0.16278800509436137</v>
      </c>
      <c r="E207" s="251">
        <v>3.1850405835816296E-2</v>
      </c>
      <c r="G207" s="251">
        <v>198</v>
      </c>
      <c r="H207" s="251">
        <f t="shared" ca="1" si="10"/>
        <v>3.2435895624811127E-3</v>
      </c>
    </row>
    <row r="208" spans="2:8">
      <c r="B208" s="252">
        <v>43098</v>
      </c>
      <c r="C208" s="251">
        <v>431.85</v>
      </c>
      <c r="D208" s="251">
        <f t="shared" si="9"/>
        <v>-0.33942638623326954</v>
      </c>
      <c r="E208" s="251">
        <v>3.1653129479216432E-2</v>
      </c>
      <c r="G208" s="251">
        <v>199</v>
      </c>
      <c r="H208" s="251">
        <f t="shared" ca="1" si="10"/>
        <v>-2.5279974248244633E-2</v>
      </c>
    </row>
    <row r="209" spans="2:8">
      <c r="B209" s="252">
        <v>45880</v>
      </c>
      <c r="C209" s="251">
        <v>653.75</v>
      </c>
      <c r="D209" s="251">
        <f t="shared" si="9"/>
        <v>0.31380627009646295</v>
      </c>
      <c r="E209" s="251">
        <v>3.1639577086949588E-2</v>
      </c>
      <c r="G209" s="251">
        <v>200</v>
      </c>
      <c r="H209" s="251">
        <f t="shared" ca="1" si="10"/>
        <v>2.2708866985530565E-2</v>
      </c>
    </row>
    <row r="210" spans="2:8">
      <c r="B210" s="252">
        <v>44564</v>
      </c>
      <c r="C210" s="251">
        <v>497.6</v>
      </c>
      <c r="D210" s="251">
        <f t="shared" si="9"/>
        <v>0.44023154848046314</v>
      </c>
      <c r="E210" s="251">
        <v>3.150912106135996E-2</v>
      </c>
      <c r="G210" s="251">
        <v>201</v>
      </c>
      <c r="H210" s="251">
        <f t="shared" ca="1" si="10"/>
        <v>-6.9379923367483293E-3</v>
      </c>
    </row>
    <row r="211" spans="2:8">
      <c r="B211" s="252">
        <v>44354</v>
      </c>
      <c r="C211" s="251">
        <v>345.5</v>
      </c>
      <c r="D211" s="251">
        <f t="shared" si="9"/>
        <v>0.29158878504672897</v>
      </c>
      <c r="E211" s="251">
        <v>3.149723839379015E-2</v>
      </c>
      <c r="G211" s="251">
        <v>202</v>
      </c>
      <c r="H211" s="251">
        <f t="shared" ca="1" si="10"/>
        <v>2.839779618784026E-2</v>
      </c>
    </row>
    <row r="212" spans="2:8">
      <c r="B212" s="252">
        <v>43343</v>
      </c>
      <c r="C212" s="251">
        <v>267.5</v>
      </c>
      <c r="D212" s="251">
        <f t="shared" si="9"/>
        <v>-0.43428148461457122</v>
      </c>
      <c r="E212" s="251">
        <v>3.1424715635241858E-2</v>
      </c>
      <c r="G212" s="251">
        <v>203</v>
      </c>
      <c r="H212" s="251">
        <f t="shared" ca="1" si="10"/>
        <v>6.3695375055493261E-3</v>
      </c>
    </row>
    <row r="213" spans="2:8">
      <c r="B213" s="252">
        <v>42691</v>
      </c>
      <c r="C213" s="251">
        <v>472.85</v>
      </c>
      <c r="D213" s="251">
        <f t="shared" si="9"/>
        <v>0.1946690247599798</v>
      </c>
      <c r="E213" s="251">
        <v>3.1410186497982405E-2</v>
      </c>
      <c r="G213" s="251">
        <v>204</v>
      </c>
      <c r="H213" s="251">
        <f t="shared" ca="1" si="10"/>
        <v>-1.567589305123231E-3</v>
      </c>
    </row>
    <row r="214" spans="2:8">
      <c r="B214" s="252">
        <v>43136</v>
      </c>
      <c r="C214" s="251">
        <v>395.8</v>
      </c>
      <c r="D214" s="251">
        <f t="shared" si="9"/>
        <v>1.4760713168595561</v>
      </c>
      <c r="E214" s="251">
        <v>3.1400651465798075E-2</v>
      </c>
      <c r="G214" s="251">
        <v>205</v>
      </c>
      <c r="H214" s="251">
        <f t="shared" ca="1" si="10"/>
        <v>-4.6062545733996539E-3</v>
      </c>
    </row>
    <row r="215" spans="2:8">
      <c r="B215" s="252">
        <v>43510</v>
      </c>
      <c r="C215" s="251">
        <v>159.85</v>
      </c>
      <c r="D215" s="251">
        <f t="shared" si="9"/>
        <v>-0.66822332918223337</v>
      </c>
      <c r="E215" s="251">
        <v>3.1290322580645125E-2</v>
      </c>
      <c r="G215" s="251">
        <v>206</v>
      </c>
      <c r="H215" s="251">
        <f t="shared" ca="1" si="10"/>
        <v>-1.1236234328695461E-2</v>
      </c>
    </row>
    <row r="216" spans="2:8">
      <c r="B216" s="252">
        <v>44537</v>
      </c>
      <c r="C216" s="251">
        <v>481.8</v>
      </c>
      <c r="D216" s="251">
        <f t="shared" si="9"/>
        <v>-0.2790662875953912</v>
      </c>
      <c r="E216" s="251">
        <v>3.1250000000000049E-2</v>
      </c>
      <c r="G216" s="251">
        <v>207</v>
      </c>
      <c r="H216" s="251">
        <f t="shared" ca="1" si="10"/>
        <v>7.5083242231637195E-3</v>
      </c>
    </row>
    <row r="217" spans="2:8">
      <c r="B217" s="252">
        <v>45728</v>
      </c>
      <c r="C217" s="251">
        <v>668.3</v>
      </c>
      <c r="D217" s="251">
        <f t="shared" si="9"/>
        <v>5.0180099054479967</v>
      </c>
      <c r="E217" s="251">
        <v>3.1247588920607978E-2</v>
      </c>
      <c r="G217" s="251">
        <v>208</v>
      </c>
      <c r="H217" s="251">
        <f t="shared" ca="1" si="10"/>
        <v>-4.3369609246014421E-2</v>
      </c>
    </row>
    <row r="218" spans="2:8">
      <c r="B218" s="252">
        <v>43700</v>
      </c>
      <c r="C218" s="251">
        <v>111.05</v>
      </c>
      <c r="D218" s="251">
        <f t="shared" si="9"/>
        <v>-0.88818406081659373</v>
      </c>
      <c r="E218" s="251">
        <v>3.1104921077065872E-2</v>
      </c>
      <c r="G218" s="251">
        <v>209</v>
      </c>
      <c r="H218" s="251">
        <f t="shared" ca="1" si="10"/>
        <v>-1.1516352169837785E-2</v>
      </c>
    </row>
    <row r="219" spans="2:8">
      <c r="B219" s="252">
        <v>45561</v>
      </c>
      <c r="C219" s="251">
        <v>993.15</v>
      </c>
      <c r="D219" s="251">
        <f t="shared" si="9"/>
        <v>0.21590352595494616</v>
      </c>
      <c r="E219" s="251">
        <v>3.0666251556662468E-2</v>
      </c>
      <c r="G219" s="251">
        <v>210</v>
      </c>
      <c r="H219" s="251">
        <f t="shared" ca="1" si="10"/>
        <v>1.7257584691525264E-2</v>
      </c>
    </row>
    <row r="220" spans="2:8">
      <c r="B220" s="252">
        <v>45632</v>
      </c>
      <c r="C220" s="251">
        <v>816.8</v>
      </c>
      <c r="D220" s="251">
        <f t="shared" si="9"/>
        <v>0.40473979293502543</v>
      </c>
      <c r="E220" s="251">
        <v>3.0597438647403951E-2</v>
      </c>
      <c r="G220" s="251">
        <v>211</v>
      </c>
      <c r="H220" s="251">
        <f t="shared" ca="1" si="10"/>
        <v>-7.3135875996800459E-3</v>
      </c>
    </row>
    <row r="221" spans="2:8">
      <c r="B221" s="252">
        <v>45097</v>
      </c>
      <c r="C221" s="251">
        <v>581.46</v>
      </c>
      <c r="D221" s="251">
        <f t="shared" si="9"/>
        <v>0.47578680203045692</v>
      </c>
      <c r="E221" s="251">
        <v>3.039109709202405E-2</v>
      </c>
      <c r="G221" s="251">
        <v>212</v>
      </c>
      <c r="H221" s="251">
        <f t="shared" ca="1" si="10"/>
        <v>5.805540558458188E-2</v>
      </c>
    </row>
    <row r="222" spans="2:8">
      <c r="B222" s="252">
        <v>42366</v>
      </c>
      <c r="C222" s="251">
        <v>394</v>
      </c>
      <c r="D222" s="251">
        <f t="shared" si="9"/>
        <v>1.18645948945616</v>
      </c>
      <c r="E222" s="251">
        <v>3.0334728033472865E-2</v>
      </c>
      <c r="G222" s="251">
        <v>213</v>
      </c>
      <c r="H222" s="251">
        <f t="shared" ca="1" si="10"/>
        <v>-1.7578965567632075E-2</v>
      </c>
    </row>
    <row r="223" spans="2:8">
      <c r="B223" s="252">
        <v>43816</v>
      </c>
      <c r="C223" s="251">
        <v>180.2</v>
      </c>
      <c r="D223" s="251">
        <f t="shared" si="9"/>
        <v>-0.41899081089795259</v>
      </c>
      <c r="E223" s="251">
        <v>3.0008573878250931E-2</v>
      </c>
      <c r="G223" s="251">
        <v>214</v>
      </c>
      <c r="H223" s="251">
        <f t="shared" ca="1" si="10"/>
        <v>-5.5200905880412564E-2</v>
      </c>
    </row>
    <row r="224" spans="2:8">
      <c r="B224" s="252">
        <v>42417</v>
      </c>
      <c r="C224" s="251">
        <v>310.14999999999998</v>
      </c>
      <c r="D224" s="251">
        <f t="shared" si="9"/>
        <v>3.6118959107806687</v>
      </c>
      <c r="E224" s="251">
        <v>2.9885439149925287E-2</v>
      </c>
      <c r="G224" s="251">
        <v>215</v>
      </c>
      <c r="H224" s="251">
        <f t="shared" ca="1" si="10"/>
        <v>-1.2784700892288127E-2</v>
      </c>
    </row>
    <row r="225" spans="2:8">
      <c r="B225" s="252">
        <v>43928</v>
      </c>
      <c r="C225" s="251">
        <v>67.25</v>
      </c>
      <c r="D225" s="251">
        <f t="shared" si="9"/>
        <v>-0.84798824593128386</v>
      </c>
      <c r="E225" s="251">
        <v>2.9862174578866814E-2</v>
      </c>
      <c r="G225" s="251">
        <v>216</v>
      </c>
      <c r="H225" s="251">
        <f t="shared" ca="1" si="10"/>
        <v>-4.5997913335916962E-2</v>
      </c>
    </row>
    <row r="226" spans="2:8">
      <c r="B226" s="252">
        <v>44711</v>
      </c>
      <c r="C226" s="251">
        <v>442.4</v>
      </c>
      <c r="D226" s="251">
        <f t="shared" si="9"/>
        <v>-0.5331018542948508</v>
      </c>
      <c r="E226" s="251">
        <v>2.9795158286778291E-2</v>
      </c>
      <c r="G226" s="251">
        <v>217</v>
      </c>
      <c r="H226" s="251">
        <f t="shared" ca="1" si="10"/>
        <v>8.5473422688832224E-3</v>
      </c>
    </row>
    <row r="227" spans="2:8">
      <c r="B227" s="252">
        <v>45446</v>
      </c>
      <c r="C227" s="251">
        <v>947.53</v>
      </c>
      <c r="D227" s="251">
        <f t="shared" si="9"/>
        <v>4.9499529042386188</v>
      </c>
      <c r="E227" s="251">
        <v>2.9744826986611031E-2</v>
      </c>
      <c r="G227" s="251">
        <v>218</v>
      </c>
      <c r="H227" s="251">
        <f t="shared" ca="1" si="10"/>
        <v>-2.1232614430593613E-2</v>
      </c>
    </row>
    <row r="228" spans="2:8">
      <c r="B228" s="252">
        <v>43636</v>
      </c>
      <c r="C228" s="251">
        <v>159.25</v>
      </c>
      <c r="D228" s="251">
        <f t="shared" si="9"/>
        <v>-6.1579257513258628E-2</v>
      </c>
      <c r="E228" s="251">
        <v>2.9744584545748427E-2</v>
      </c>
      <c r="G228" s="251">
        <v>219</v>
      </c>
      <c r="H228" s="251">
        <f t="shared" ca="1" si="10"/>
        <v>4.6810547886994387E-3</v>
      </c>
    </row>
    <row r="229" spans="2:8">
      <c r="B229" s="252">
        <v>43517</v>
      </c>
      <c r="C229" s="251">
        <v>169.7</v>
      </c>
      <c r="D229" s="251">
        <f t="shared" si="9"/>
        <v>-0.42062137248207576</v>
      </c>
      <c r="E229" s="251">
        <v>2.9733009708737723E-2</v>
      </c>
      <c r="G229" s="251">
        <v>220</v>
      </c>
      <c r="H229" s="251">
        <f t="shared" ca="1" si="10"/>
        <v>-2.0768435695625923E-2</v>
      </c>
    </row>
    <row r="230" spans="2:8">
      <c r="B230" s="252">
        <v>44406</v>
      </c>
      <c r="C230" s="251">
        <v>292.89999999999998</v>
      </c>
      <c r="D230" s="251">
        <f t="shared" si="9"/>
        <v>-0.60344967642360081</v>
      </c>
      <c r="E230" s="251">
        <v>2.970645104587797E-2</v>
      </c>
      <c r="G230" s="251">
        <v>221</v>
      </c>
      <c r="H230" s="251">
        <f t="shared" ca="1" si="10"/>
        <v>-2.089650775489826E-2</v>
      </c>
    </row>
    <row r="231" spans="2:8">
      <c r="B231" s="252">
        <v>45287</v>
      </c>
      <c r="C231" s="251">
        <v>738.62</v>
      </c>
      <c r="D231" s="251">
        <f t="shared" si="9"/>
        <v>0.40689523809523809</v>
      </c>
      <c r="E231" s="251">
        <v>2.9665151810856737E-2</v>
      </c>
      <c r="G231" s="251">
        <v>222</v>
      </c>
      <c r="H231" s="251">
        <f t="shared" ca="1" si="10"/>
        <v>4.464049462892862E-2</v>
      </c>
    </row>
    <row r="232" spans="2:8">
      <c r="B232" s="252">
        <v>44578</v>
      </c>
      <c r="C232" s="251">
        <v>525</v>
      </c>
      <c r="D232" s="251">
        <f t="shared" si="9"/>
        <v>-0.40441076371556928</v>
      </c>
      <c r="E232" s="251">
        <v>2.9613649735242251E-2</v>
      </c>
      <c r="G232" s="251">
        <v>223</v>
      </c>
      <c r="H232" s="251">
        <f t="shared" ca="1" si="10"/>
        <v>-2.8328791785702526E-2</v>
      </c>
    </row>
    <row r="233" spans="2:8">
      <c r="B233" s="252">
        <v>45322</v>
      </c>
      <c r="C233" s="251">
        <v>881.48</v>
      </c>
      <c r="D233" s="251">
        <f t="shared" si="9"/>
        <v>4.1563615092132205</v>
      </c>
      <c r="E233" s="251">
        <v>2.9513787505401689E-2</v>
      </c>
      <c r="G233" s="251">
        <v>224</v>
      </c>
      <c r="H233" s="251">
        <f t="shared" ca="1" si="10"/>
        <v>3.7538116722634643E-2</v>
      </c>
    </row>
    <row r="234" spans="2:8">
      <c r="B234" s="252">
        <v>43469</v>
      </c>
      <c r="C234" s="251">
        <v>170.95</v>
      </c>
      <c r="D234" s="251">
        <f t="shared" si="9"/>
        <v>-0.50007311010381639</v>
      </c>
      <c r="E234" s="251">
        <v>2.9509183980728559E-2</v>
      </c>
      <c r="G234" s="251">
        <v>225</v>
      </c>
      <c r="H234" s="251">
        <f t="shared" ca="1" si="10"/>
        <v>3.9414489714981023E-2</v>
      </c>
    </row>
    <row r="235" spans="2:8">
      <c r="B235" s="252">
        <v>43229</v>
      </c>
      <c r="C235" s="251">
        <v>341.95</v>
      </c>
      <c r="D235" s="251">
        <f t="shared" si="9"/>
        <v>1.0618028338860417</v>
      </c>
      <c r="E235" s="251">
        <v>2.9504741833508992E-2</v>
      </c>
      <c r="G235" s="251">
        <v>226</v>
      </c>
      <c r="H235" s="251">
        <f t="shared" ca="1" si="10"/>
        <v>-3.085891572112491E-2</v>
      </c>
    </row>
    <row r="236" spans="2:8">
      <c r="B236" s="252">
        <v>43643</v>
      </c>
      <c r="C236" s="251">
        <v>165.85</v>
      </c>
      <c r="D236" s="251">
        <f t="shared" si="9"/>
        <v>1.1581001951854262</v>
      </c>
      <c r="E236" s="251">
        <v>2.9484792054624457E-2</v>
      </c>
      <c r="G236" s="251">
        <v>227</v>
      </c>
      <c r="H236" s="251">
        <f t="shared" ca="1" si="10"/>
        <v>1.9649830754487514E-2</v>
      </c>
    </row>
    <row r="237" spans="2:8">
      <c r="B237" s="252">
        <v>43938</v>
      </c>
      <c r="C237" s="251">
        <v>76.849999999999994</v>
      </c>
      <c r="D237" s="251">
        <f t="shared" si="9"/>
        <v>-0.48266576910131276</v>
      </c>
      <c r="E237" s="251">
        <v>2.9470864032149879E-2</v>
      </c>
      <c r="G237" s="251">
        <v>228</v>
      </c>
      <c r="H237" s="251">
        <f t="shared" ca="1" si="10"/>
        <v>2.0518679618357287E-2</v>
      </c>
    </row>
    <row r="238" spans="2:8">
      <c r="B238" s="252">
        <v>44088</v>
      </c>
      <c r="C238" s="251">
        <v>148.55000000000001</v>
      </c>
      <c r="D238" s="251">
        <f t="shared" si="9"/>
        <v>-0.66819298637480451</v>
      </c>
      <c r="E238" s="251">
        <v>2.945252945252945E-2</v>
      </c>
      <c r="G238" s="251">
        <v>229</v>
      </c>
      <c r="H238" s="251">
        <f t="shared" ca="1" si="10"/>
        <v>-4.1423155975753523E-2</v>
      </c>
    </row>
    <row r="239" spans="2:8">
      <c r="B239" s="252">
        <v>43042</v>
      </c>
      <c r="C239" s="251">
        <v>447.7</v>
      </c>
      <c r="D239" s="251">
        <f t="shared" si="9"/>
        <v>3.9994416527079841</v>
      </c>
      <c r="E239" s="251">
        <v>2.9432053345596718E-2</v>
      </c>
      <c r="G239" s="251">
        <v>230</v>
      </c>
      <c r="H239" s="251">
        <f t="shared" ca="1" si="10"/>
        <v>-2.0638611091117663E-2</v>
      </c>
    </row>
    <row r="240" spans="2:8">
      <c r="B240" s="252">
        <v>43983</v>
      </c>
      <c r="C240" s="251">
        <v>89.55</v>
      </c>
      <c r="D240" s="251">
        <f t="shared" si="9"/>
        <v>2.9310344827586175E-2</v>
      </c>
      <c r="E240" s="251">
        <v>2.9310344827586175E-2</v>
      </c>
      <c r="G240" s="251">
        <v>231</v>
      </c>
      <c r="H240" s="251">
        <f t="shared" ca="1" si="10"/>
        <v>-2.1309349057163699E-2</v>
      </c>
    </row>
    <row r="241" spans="2:8">
      <c r="B241" s="252">
        <v>43979</v>
      </c>
      <c r="C241" s="251">
        <v>87</v>
      </c>
      <c r="D241" s="251">
        <f t="shared" si="9"/>
        <v>-0.80242988531849668</v>
      </c>
      <c r="E241" s="251">
        <v>2.8976936723832086E-2</v>
      </c>
      <c r="G241" s="251">
        <v>232</v>
      </c>
      <c r="H241" s="251">
        <f t="shared" ca="1" si="10"/>
        <v>4.1167979351616922E-3</v>
      </c>
    </row>
    <row r="242" spans="2:8">
      <c r="B242" s="252">
        <v>44642</v>
      </c>
      <c r="C242" s="251">
        <v>440.35</v>
      </c>
      <c r="D242" s="251">
        <f t="shared" si="9"/>
        <v>-0.28549407755962997</v>
      </c>
      <c r="E242" s="251">
        <v>2.8975347587335051E-2</v>
      </c>
      <c r="G242" s="251">
        <v>233</v>
      </c>
      <c r="H242" s="251">
        <f t="shared" ca="1" si="10"/>
        <v>2.4099862597849828E-3</v>
      </c>
    </row>
    <row r="243" spans="2:8">
      <c r="B243" s="252">
        <v>45114</v>
      </c>
      <c r="C243" s="251">
        <v>616.29999999999995</v>
      </c>
      <c r="D243" s="251">
        <f t="shared" si="9"/>
        <v>4.0976013234077744</v>
      </c>
      <c r="E243" s="251">
        <v>2.8967359545871787E-2</v>
      </c>
      <c r="G243" s="251">
        <v>234</v>
      </c>
      <c r="H243" s="251">
        <f t="shared" ca="1" si="10"/>
        <v>-7.4019214565484671E-3</v>
      </c>
    </row>
    <row r="244" spans="2:8">
      <c r="B244" s="252">
        <v>43747</v>
      </c>
      <c r="C244" s="251">
        <v>120.9</v>
      </c>
      <c r="D244" s="251">
        <f t="shared" si="9"/>
        <v>-0.77155058387816033</v>
      </c>
      <c r="E244" s="251">
        <v>2.8936170212766007E-2</v>
      </c>
      <c r="G244" s="251">
        <v>235</v>
      </c>
      <c r="H244" s="251">
        <f t="shared" ca="1" si="10"/>
        <v>-3.1590599361922156E-2</v>
      </c>
    </row>
    <row r="245" spans="2:8">
      <c r="B245" s="252">
        <v>45061</v>
      </c>
      <c r="C245" s="251">
        <v>529.22</v>
      </c>
      <c r="D245" s="251">
        <f t="shared" si="9"/>
        <v>0.21089120237959047</v>
      </c>
      <c r="E245" s="251">
        <v>2.8890271405241492E-2</v>
      </c>
      <c r="G245" s="251">
        <v>236</v>
      </c>
      <c r="H245" s="251">
        <f t="shared" ca="1" si="10"/>
        <v>-5.304983596269594E-2</v>
      </c>
    </row>
    <row r="246" spans="2:8">
      <c r="B246" s="252">
        <v>43024</v>
      </c>
      <c r="C246" s="251">
        <v>437.05</v>
      </c>
      <c r="D246" s="251">
        <f t="shared" si="9"/>
        <v>-0.52857867089495092</v>
      </c>
      <c r="E246" s="251">
        <v>2.8837099811676082E-2</v>
      </c>
      <c r="G246" s="251">
        <v>237</v>
      </c>
      <c r="H246" s="251">
        <f t="shared" ca="1" si="10"/>
        <v>-4.6380797210450735E-2</v>
      </c>
    </row>
    <row r="247" spans="2:8">
      <c r="B247" s="252">
        <v>45448</v>
      </c>
      <c r="C247" s="251">
        <v>927.09</v>
      </c>
      <c r="D247" s="251">
        <f t="shared" si="9"/>
        <v>0.36326740680832303</v>
      </c>
      <c r="E247" s="251">
        <v>2.8819691051136395E-2</v>
      </c>
      <c r="G247" s="251">
        <v>238</v>
      </c>
      <c r="H247" s="251">
        <f t="shared" ca="1" si="10"/>
        <v>-1.4888410474662862E-2</v>
      </c>
    </row>
    <row r="248" spans="2:8">
      <c r="B248" s="252">
        <v>45734</v>
      </c>
      <c r="C248" s="251">
        <v>680.05</v>
      </c>
      <c r="D248" s="251">
        <f t="shared" si="9"/>
        <v>0.26638733705772805</v>
      </c>
      <c r="E248" s="251">
        <v>2.8742152635957946E-2</v>
      </c>
      <c r="G248" s="251">
        <v>239</v>
      </c>
      <c r="H248" s="251">
        <f t="shared" ca="1" si="10"/>
        <v>7.5531755907160214E-2</v>
      </c>
    </row>
    <row r="249" spans="2:8">
      <c r="B249" s="252">
        <v>42671</v>
      </c>
      <c r="C249" s="251">
        <v>537</v>
      </c>
      <c r="D249" s="251">
        <f t="shared" si="9"/>
        <v>-0.4488859696835969</v>
      </c>
      <c r="E249" s="251">
        <v>2.8735632183908046E-2</v>
      </c>
      <c r="G249" s="251">
        <v>240</v>
      </c>
      <c r="H249" s="251">
        <f t="shared" ca="1" si="10"/>
        <v>3.1783489405745963E-2</v>
      </c>
    </row>
    <row r="250" spans="2:8">
      <c r="B250" s="252">
        <v>45352</v>
      </c>
      <c r="C250" s="251">
        <v>974.39</v>
      </c>
      <c r="D250" s="251">
        <f t="shared" si="9"/>
        <v>1.9090610538886403</v>
      </c>
      <c r="E250" s="251">
        <v>2.8618782197449556E-2</v>
      </c>
      <c r="G250" s="251">
        <v>241</v>
      </c>
      <c r="H250" s="251">
        <f t="shared" ca="1" si="10"/>
        <v>-1.9588145635875121E-2</v>
      </c>
    </row>
    <row r="251" spans="2:8">
      <c r="B251" s="252">
        <v>44351</v>
      </c>
      <c r="C251" s="251">
        <v>334.95</v>
      </c>
      <c r="D251" s="251">
        <f t="shared" si="9"/>
        <v>-5.2073015423800856E-2</v>
      </c>
      <c r="E251" s="251">
        <v>2.85582680792262E-2</v>
      </c>
      <c r="G251" s="251">
        <v>242</v>
      </c>
      <c r="H251" s="251">
        <f t="shared" ca="1" si="10"/>
        <v>5.6394546181875362E-3</v>
      </c>
    </row>
    <row r="252" spans="2:8">
      <c r="B252" s="252">
        <v>42377</v>
      </c>
      <c r="C252" s="251">
        <v>353.35</v>
      </c>
      <c r="D252" s="251">
        <f t="shared" si="9"/>
        <v>3.2469951923076925</v>
      </c>
      <c r="E252" s="251">
        <v>2.852568767282786E-2</v>
      </c>
      <c r="G252" s="251">
        <v>243</v>
      </c>
      <c r="H252" s="251">
        <f t="shared" ca="1" si="10"/>
        <v>1.6396291774856683E-2</v>
      </c>
    </row>
    <row r="253" spans="2:8">
      <c r="B253" s="252">
        <v>43957</v>
      </c>
      <c r="C253" s="251">
        <v>83.2</v>
      </c>
      <c r="D253" s="251">
        <f t="shared" si="9"/>
        <v>-0.81041358095021077</v>
      </c>
      <c r="E253" s="251">
        <v>2.8430160692212571E-2</v>
      </c>
      <c r="G253" s="251">
        <v>244</v>
      </c>
      <c r="H253" s="251">
        <f t="shared" ca="1" si="10"/>
        <v>-1.3806008897809068E-2</v>
      </c>
    </row>
    <row r="254" spans="2:8">
      <c r="B254" s="252">
        <v>44757</v>
      </c>
      <c r="C254" s="251">
        <v>438.85</v>
      </c>
      <c r="D254" s="251">
        <f t="shared" si="9"/>
        <v>4.6101404018974591E-2</v>
      </c>
      <c r="E254" s="251">
        <v>2.8402034073067288E-2</v>
      </c>
      <c r="G254" s="251">
        <v>245</v>
      </c>
      <c r="H254" s="251">
        <f t="shared" ca="1" si="10"/>
        <v>4.5255145794039324E-3</v>
      </c>
    </row>
    <row r="255" spans="2:8">
      <c r="B255" s="252">
        <v>45016</v>
      </c>
      <c r="C255" s="251">
        <v>419.51</v>
      </c>
      <c r="D255" s="251">
        <f t="shared" si="9"/>
        <v>0.30647773279352214</v>
      </c>
      <c r="E255" s="251">
        <v>2.8362014021669837E-2</v>
      </c>
      <c r="G255" s="251">
        <v>246</v>
      </c>
      <c r="H255" s="251">
        <f t="shared" ca="1" si="10"/>
        <v>2.2479561543581668E-2</v>
      </c>
    </row>
    <row r="256" spans="2:8">
      <c r="B256" s="252">
        <v>44333</v>
      </c>
      <c r="C256" s="251">
        <v>321.10000000000002</v>
      </c>
      <c r="D256" s="251">
        <f t="shared" si="9"/>
        <v>-0.26814814814814808</v>
      </c>
      <c r="E256" s="251">
        <v>2.8342674139311522E-2</v>
      </c>
      <c r="G256" s="251">
        <v>247</v>
      </c>
      <c r="H256" s="251">
        <f t="shared" ca="1" si="10"/>
        <v>1.5179032392687511E-2</v>
      </c>
    </row>
    <row r="257" spans="2:8">
      <c r="B257" s="252">
        <v>44991</v>
      </c>
      <c r="C257" s="251">
        <v>438.75</v>
      </c>
      <c r="D257" s="251">
        <f t="shared" si="9"/>
        <v>-7.221399873123277E-2</v>
      </c>
      <c r="E257" s="251">
        <v>2.8288178494422032E-2</v>
      </c>
      <c r="G257" s="251">
        <v>248</v>
      </c>
      <c r="H257" s="251">
        <f t="shared" ca="1" si="10"/>
        <v>6.7640361003230176E-2</v>
      </c>
    </row>
    <row r="258" spans="2:8">
      <c r="B258" s="252">
        <v>42817</v>
      </c>
      <c r="C258" s="251">
        <v>472.9</v>
      </c>
      <c r="D258" s="251">
        <f t="shared" si="9"/>
        <v>-0.51220266952736582</v>
      </c>
      <c r="E258" s="251">
        <v>2.8267014568384433E-2</v>
      </c>
      <c r="G258" s="251">
        <v>249</v>
      </c>
      <c r="H258" s="251">
        <f t="shared" ca="1" si="10"/>
        <v>-3.5261938078964265E-2</v>
      </c>
    </row>
    <row r="259" spans="2:8">
      <c r="B259" s="252">
        <v>45369</v>
      </c>
      <c r="C259" s="251">
        <v>969.46</v>
      </c>
      <c r="D259" s="251">
        <f t="shared" si="9"/>
        <v>0.73179707038227959</v>
      </c>
      <c r="E259" s="251">
        <v>2.8124801153837975E-2</v>
      </c>
      <c r="G259" s="251">
        <v>250</v>
      </c>
      <c r="H259" s="251">
        <f t="shared" ca="1" si="10"/>
        <v>-6.6123580779551105E-2</v>
      </c>
    </row>
    <row r="260" spans="2:8">
      <c r="B260" s="252">
        <v>42667</v>
      </c>
      <c r="C260" s="251">
        <v>559.79999999999995</v>
      </c>
      <c r="D260" s="251">
        <f t="shared" si="9"/>
        <v>0.67830909908559422</v>
      </c>
      <c r="E260" s="251">
        <v>2.8099173553718926E-2</v>
      </c>
      <c r="G260" s="251">
        <v>251</v>
      </c>
      <c r="H260" s="251">
        <f t="shared" ca="1" si="10"/>
        <v>3.8349154405298659E-2</v>
      </c>
    </row>
    <row r="261" spans="2:8">
      <c r="B261" s="252">
        <v>42250</v>
      </c>
      <c r="C261" s="251">
        <v>333.55</v>
      </c>
      <c r="D261" s="251">
        <f t="shared" si="9"/>
        <v>-0.50177749895441237</v>
      </c>
      <c r="E261" s="251">
        <v>2.8047464940668895E-2</v>
      </c>
      <c r="G261" s="251">
        <v>252</v>
      </c>
      <c r="H261" s="251">
        <f t="shared" ca="1" si="10"/>
        <v>4.2166300227684033E-3</v>
      </c>
    </row>
    <row r="262" spans="2:8">
      <c r="B262" s="252">
        <v>45245</v>
      </c>
      <c r="C262" s="251">
        <v>669.48</v>
      </c>
      <c r="D262" s="251">
        <f t="shared" si="9"/>
        <v>1.0225981873111782</v>
      </c>
      <c r="E262" s="251">
        <v>2.8008107610097675E-2</v>
      </c>
      <c r="G262" s="251">
        <v>253</v>
      </c>
      <c r="H262" s="251">
        <f t="shared" ca="1" si="10"/>
        <v>-7.0366849137300678E-3</v>
      </c>
    </row>
    <row r="263" spans="2:8">
      <c r="B263" s="252">
        <v>44230</v>
      </c>
      <c r="C263" s="251">
        <v>331</v>
      </c>
      <c r="D263" s="251">
        <f t="shared" si="9"/>
        <v>0.12108382726502964</v>
      </c>
      <c r="E263" s="251">
        <v>2.7950310559006212E-2</v>
      </c>
      <c r="G263" s="251">
        <v>254</v>
      </c>
      <c r="H263" s="251">
        <f t="shared" ca="1" si="10"/>
        <v>3.2124721040421057E-2</v>
      </c>
    </row>
    <row r="264" spans="2:8">
      <c r="B264" s="252">
        <v>44440</v>
      </c>
      <c r="C264" s="251">
        <v>295.25</v>
      </c>
      <c r="D264" s="251">
        <f t="shared" si="9"/>
        <v>0.14327202323330107</v>
      </c>
      <c r="E264" s="251">
        <v>2.7671423599025368E-2</v>
      </c>
      <c r="G264" s="251">
        <v>255</v>
      </c>
      <c r="H264" s="251">
        <f t="shared" ca="1" si="10"/>
        <v>-1.549166705524917E-2</v>
      </c>
    </row>
    <row r="265" spans="2:8">
      <c r="B265" s="252">
        <v>43329</v>
      </c>
      <c r="C265" s="251">
        <v>258.25</v>
      </c>
      <c r="D265" s="251">
        <f t="shared" si="9"/>
        <v>-0.63936601033375229</v>
      </c>
      <c r="E265" s="251">
        <v>2.7656187823318697E-2</v>
      </c>
      <c r="G265" s="251">
        <v>256</v>
      </c>
      <c r="H265" s="251">
        <f t="shared" ca="1" si="10"/>
        <v>2.4175036661634706E-2</v>
      </c>
    </row>
    <row r="266" spans="2:8">
      <c r="B266" s="252">
        <v>45688</v>
      </c>
      <c r="C266" s="251">
        <v>716.1</v>
      </c>
      <c r="D266" s="251">
        <f t="shared" ref="D266:D329" si="11">(C266-C267)/C267</f>
        <v>1.5814708002883926</v>
      </c>
      <c r="E266" s="251">
        <v>2.7624309392265192E-2</v>
      </c>
      <c r="G266" s="251">
        <v>257</v>
      </c>
      <c r="H266" s="251">
        <f t="shared" ca="1" si="10"/>
        <v>3.2525416586747609E-3</v>
      </c>
    </row>
    <row r="267" spans="2:8">
      <c r="B267" s="252">
        <v>43350</v>
      </c>
      <c r="C267" s="251">
        <v>277.39999999999998</v>
      </c>
      <c r="D267" s="251">
        <f t="shared" si="11"/>
        <v>-0.71096338591701924</v>
      </c>
      <c r="E267" s="251">
        <v>2.7597703278384844E-2</v>
      </c>
      <c r="G267" s="251">
        <v>258</v>
      </c>
      <c r="H267" s="251">
        <f t="shared" ref="H267:H330" ca="1" si="12">_xlfn.NORM.INV(RAND(),N$12,N$13)</f>
        <v>1.3003754038983694E-2</v>
      </c>
    </row>
    <row r="268" spans="2:8">
      <c r="B268" s="252">
        <v>45349</v>
      </c>
      <c r="C268" s="251">
        <v>959.74</v>
      </c>
      <c r="D268" s="251">
        <f t="shared" si="11"/>
        <v>1.2731880625296068</v>
      </c>
      <c r="E268" s="251">
        <v>2.7481880372991273E-2</v>
      </c>
      <c r="G268" s="251">
        <v>259</v>
      </c>
      <c r="H268" s="251">
        <f t="shared" ca="1" si="12"/>
        <v>-3.2150463231214288E-2</v>
      </c>
    </row>
    <row r="269" spans="2:8">
      <c r="B269" s="252">
        <v>44876</v>
      </c>
      <c r="C269" s="251">
        <v>422.2</v>
      </c>
      <c r="D269" s="251">
        <f t="shared" si="11"/>
        <v>1.4726207906295754</v>
      </c>
      <c r="E269" s="251">
        <v>2.7425595600223836E-2</v>
      </c>
      <c r="G269" s="251">
        <v>260</v>
      </c>
      <c r="H269" s="251">
        <f t="shared" ca="1" si="12"/>
        <v>-1.7435208209238065E-2</v>
      </c>
    </row>
    <row r="270" spans="2:8">
      <c r="B270" s="252">
        <v>43627</v>
      </c>
      <c r="C270" s="251">
        <v>170.75</v>
      </c>
      <c r="D270" s="251">
        <f t="shared" si="11"/>
        <v>-0.63017110677929389</v>
      </c>
      <c r="E270" s="251">
        <v>2.7376654632972394E-2</v>
      </c>
      <c r="G270" s="251">
        <v>261</v>
      </c>
      <c r="H270" s="251">
        <f t="shared" ca="1" si="12"/>
        <v>-4.5207669228072962E-2</v>
      </c>
    </row>
    <row r="271" spans="2:8">
      <c r="B271" s="252">
        <v>42796</v>
      </c>
      <c r="C271" s="251">
        <v>461.7</v>
      </c>
      <c r="D271" s="251">
        <f t="shared" si="11"/>
        <v>8.6608613791480382E-2</v>
      </c>
      <c r="E271" s="251">
        <v>2.7255534542218268E-2</v>
      </c>
      <c r="G271" s="251">
        <v>262</v>
      </c>
      <c r="H271" s="251">
        <f t="shared" ca="1" si="12"/>
        <v>4.7123627527603483E-3</v>
      </c>
    </row>
    <row r="272" spans="2:8">
      <c r="B272" s="252">
        <v>44636</v>
      </c>
      <c r="C272" s="251">
        <v>424.9</v>
      </c>
      <c r="D272" s="251">
        <f t="shared" si="11"/>
        <v>2.5043298969072163</v>
      </c>
      <c r="E272" s="251">
        <v>2.7196905596518797E-2</v>
      </c>
      <c r="G272" s="251">
        <v>263</v>
      </c>
      <c r="H272" s="251">
        <f t="shared" ca="1" si="12"/>
        <v>-1.7874851640517327E-2</v>
      </c>
    </row>
    <row r="273" spans="2:8">
      <c r="B273" s="252">
        <v>43714</v>
      </c>
      <c r="C273" s="251">
        <v>121.25</v>
      </c>
      <c r="D273" s="251">
        <f t="shared" si="11"/>
        <v>-0.30436029833620198</v>
      </c>
      <c r="E273" s="251">
        <v>2.7107157983905148E-2</v>
      </c>
      <c r="G273" s="251">
        <v>264</v>
      </c>
      <c r="H273" s="251">
        <f t="shared" ca="1" si="12"/>
        <v>-1.0020973777683184E-2</v>
      </c>
    </row>
    <row r="274" spans="2:8">
      <c r="B274" s="252">
        <v>43518</v>
      </c>
      <c r="C274" s="251">
        <v>174.3</v>
      </c>
      <c r="D274" s="251">
        <f t="shared" si="11"/>
        <v>-0.61189044756179023</v>
      </c>
      <c r="E274" s="251">
        <v>2.7106658809664248E-2</v>
      </c>
      <c r="G274" s="251">
        <v>265</v>
      </c>
      <c r="H274" s="251">
        <f t="shared" ca="1" si="12"/>
        <v>-3.9564184643029382E-2</v>
      </c>
    </row>
    <row r="275" spans="2:8">
      <c r="B275" s="252">
        <v>42872</v>
      </c>
      <c r="C275" s="251">
        <v>449.1</v>
      </c>
      <c r="D275" s="251">
        <f t="shared" si="11"/>
        <v>0.11744214978850473</v>
      </c>
      <c r="E275" s="251">
        <v>2.71012006861064E-2</v>
      </c>
      <c r="G275" s="251">
        <v>266</v>
      </c>
      <c r="H275" s="251">
        <f t="shared" ca="1" si="12"/>
        <v>-1.6175750927067949E-2</v>
      </c>
    </row>
    <row r="276" spans="2:8">
      <c r="B276" s="252">
        <v>42370</v>
      </c>
      <c r="C276" s="251">
        <v>401.9</v>
      </c>
      <c r="D276" s="251">
        <f t="shared" si="11"/>
        <v>0.10230389467910025</v>
      </c>
      <c r="E276" s="251">
        <v>2.7089189879887468E-2</v>
      </c>
      <c r="G276" s="251">
        <v>267</v>
      </c>
      <c r="H276" s="251">
        <f t="shared" ca="1" si="12"/>
        <v>1.2860046576768976E-2</v>
      </c>
    </row>
    <row r="277" spans="2:8">
      <c r="B277" s="252">
        <v>42382</v>
      </c>
      <c r="C277" s="251">
        <v>364.6</v>
      </c>
      <c r="D277" s="251">
        <f t="shared" si="11"/>
        <v>0.17574975814253466</v>
      </c>
      <c r="E277" s="251">
        <v>2.7042253521126824E-2</v>
      </c>
      <c r="G277" s="251">
        <v>268</v>
      </c>
      <c r="H277" s="251">
        <f t="shared" ca="1" si="12"/>
        <v>5.7989976088962156E-2</v>
      </c>
    </row>
    <row r="278" spans="2:8">
      <c r="B278" s="252">
        <v>44461</v>
      </c>
      <c r="C278" s="251">
        <v>310.10000000000002</v>
      </c>
      <c r="D278" s="251">
        <f t="shared" si="11"/>
        <v>-0.39996130030959742</v>
      </c>
      <c r="E278" s="251">
        <v>2.6991223712535303E-2</v>
      </c>
      <c r="G278" s="251">
        <v>269</v>
      </c>
      <c r="H278" s="251">
        <f t="shared" ca="1" si="12"/>
        <v>2.0654504938513202E-2</v>
      </c>
    </row>
    <row r="279" spans="2:8">
      <c r="B279" s="252">
        <v>42594</v>
      </c>
      <c r="C279" s="251">
        <v>516.79999999999995</v>
      </c>
      <c r="D279" s="251">
        <f t="shared" si="11"/>
        <v>-4.3348425007224741E-3</v>
      </c>
      <c r="E279" s="251">
        <v>2.6924987580725195E-2</v>
      </c>
      <c r="G279" s="251">
        <v>270</v>
      </c>
      <c r="H279" s="251">
        <f t="shared" ca="1" si="12"/>
        <v>-1.9067209780889216E-2</v>
      </c>
    </row>
    <row r="280" spans="2:8">
      <c r="B280" s="252">
        <v>44516</v>
      </c>
      <c r="C280" s="251">
        <v>519.04999999999995</v>
      </c>
      <c r="D280" s="251">
        <f t="shared" si="11"/>
        <v>0.13021230266739239</v>
      </c>
      <c r="E280" s="251">
        <v>2.69067167870214E-2</v>
      </c>
      <c r="G280" s="251">
        <v>271</v>
      </c>
      <c r="H280" s="251">
        <f t="shared" ca="1" si="12"/>
        <v>3.0163478128894392E-2</v>
      </c>
    </row>
    <row r="281" spans="2:8">
      <c r="B281" s="252">
        <v>42551</v>
      </c>
      <c r="C281" s="251">
        <v>459.25</v>
      </c>
      <c r="D281" s="251">
        <f t="shared" si="11"/>
        <v>-8.824697240420884E-2</v>
      </c>
      <c r="E281" s="251">
        <v>2.6830631637786474E-2</v>
      </c>
      <c r="G281" s="251">
        <v>272</v>
      </c>
      <c r="H281" s="251">
        <f t="shared" ca="1" si="12"/>
        <v>1.2571893104694259E-2</v>
      </c>
    </row>
    <row r="282" spans="2:8">
      <c r="B282" s="252">
        <v>44571</v>
      </c>
      <c r="C282" s="251">
        <v>503.7</v>
      </c>
      <c r="D282" s="251">
        <f t="shared" si="11"/>
        <v>1.4463331714424474</v>
      </c>
      <c r="E282" s="251">
        <v>2.6701997554015422E-2</v>
      </c>
      <c r="G282" s="251">
        <v>273</v>
      </c>
      <c r="H282" s="251">
        <f t="shared" ca="1" si="12"/>
        <v>-2.1319750506148E-2</v>
      </c>
    </row>
    <row r="283" spans="2:8">
      <c r="B283" s="252">
        <v>43564</v>
      </c>
      <c r="C283" s="251">
        <v>205.9</v>
      </c>
      <c r="D283" s="251">
        <f t="shared" si="11"/>
        <v>-0.41852584015814742</v>
      </c>
      <c r="E283" s="251">
        <v>2.667663924208424E-2</v>
      </c>
      <c r="G283" s="251">
        <v>274</v>
      </c>
      <c r="H283" s="251">
        <f t="shared" ca="1" si="12"/>
        <v>-4.7963685184106056E-2</v>
      </c>
    </row>
    <row r="284" spans="2:8">
      <c r="B284" s="252">
        <v>42257</v>
      </c>
      <c r="C284" s="251">
        <v>354.1</v>
      </c>
      <c r="D284" s="251">
        <f t="shared" si="11"/>
        <v>0.96776882467352066</v>
      </c>
      <c r="E284" s="251">
        <v>2.6674398376341103E-2</v>
      </c>
      <c r="G284" s="251">
        <v>275</v>
      </c>
      <c r="H284" s="251">
        <f t="shared" ca="1" si="12"/>
        <v>-3.7144445216275954E-2</v>
      </c>
    </row>
    <row r="285" spans="2:8">
      <c r="B285" s="252">
        <v>43473</v>
      </c>
      <c r="C285" s="251">
        <v>179.95</v>
      </c>
      <c r="D285" s="251">
        <f t="shared" si="11"/>
        <v>0.31350364963503641</v>
      </c>
      <c r="E285" s="251">
        <v>2.6233247790133987E-2</v>
      </c>
      <c r="G285" s="251">
        <v>276</v>
      </c>
      <c r="H285" s="251">
        <f t="shared" ca="1" si="12"/>
        <v>-3.7590151244909144E-2</v>
      </c>
    </row>
    <row r="286" spans="2:8">
      <c r="B286" s="252">
        <v>44127</v>
      </c>
      <c r="C286" s="251">
        <v>137</v>
      </c>
      <c r="D286" s="251">
        <f t="shared" si="11"/>
        <v>-0.78193741444624831</v>
      </c>
      <c r="E286" s="251">
        <v>2.6217228464419477E-2</v>
      </c>
      <c r="G286" s="251">
        <v>277</v>
      </c>
      <c r="H286" s="251">
        <f t="shared" ca="1" si="12"/>
        <v>1.2185815999975098E-2</v>
      </c>
    </row>
    <row r="287" spans="2:8">
      <c r="B287" s="252">
        <v>45198</v>
      </c>
      <c r="C287" s="251">
        <v>628.26</v>
      </c>
      <c r="D287" s="251">
        <f t="shared" si="11"/>
        <v>2.403358613217768</v>
      </c>
      <c r="E287" s="251">
        <v>2.6216494340177313E-2</v>
      </c>
      <c r="G287" s="251">
        <v>278</v>
      </c>
      <c r="H287" s="251">
        <f t="shared" ca="1" si="12"/>
        <v>1.1045332517109653E-2</v>
      </c>
    </row>
    <row r="288" spans="2:8">
      <c r="B288" s="252">
        <v>43423</v>
      </c>
      <c r="C288" s="251">
        <v>184.6</v>
      </c>
      <c r="D288" s="251">
        <f t="shared" si="11"/>
        <v>-0.460233918128655</v>
      </c>
      <c r="E288" s="251">
        <v>2.6125625347415166E-2</v>
      </c>
      <c r="G288" s="251">
        <v>279</v>
      </c>
      <c r="H288" s="251">
        <f t="shared" ca="1" si="12"/>
        <v>-1.6465263270299214E-2</v>
      </c>
    </row>
    <row r="289" spans="2:8">
      <c r="B289" s="252">
        <v>44473</v>
      </c>
      <c r="C289" s="251">
        <v>342</v>
      </c>
      <c r="D289" s="251">
        <f t="shared" si="11"/>
        <v>-0.21613568645427461</v>
      </c>
      <c r="E289" s="251">
        <v>2.6102610261026067E-2</v>
      </c>
      <c r="G289" s="251">
        <v>280</v>
      </c>
      <c r="H289" s="251">
        <f t="shared" ca="1" si="12"/>
        <v>5.7251413478786088E-2</v>
      </c>
    </row>
    <row r="290" spans="2:8">
      <c r="B290" s="252">
        <v>45022</v>
      </c>
      <c r="C290" s="251">
        <v>436.3</v>
      </c>
      <c r="D290" s="251">
        <f t="shared" si="11"/>
        <v>-0.5464326926075701</v>
      </c>
      <c r="E290" s="251">
        <v>2.6008842065657047E-2</v>
      </c>
      <c r="G290" s="251">
        <v>281</v>
      </c>
      <c r="H290" s="251">
        <f t="shared" ca="1" si="12"/>
        <v>3.2270930264474453E-3</v>
      </c>
    </row>
    <row r="291" spans="2:8">
      <c r="B291" s="252">
        <v>45372</v>
      </c>
      <c r="C291" s="251">
        <v>961.93</v>
      </c>
      <c r="D291" s="251">
        <f t="shared" si="11"/>
        <v>0.2484490590525632</v>
      </c>
      <c r="E291" s="251">
        <v>2.5993003114467346E-2</v>
      </c>
      <c r="G291" s="251">
        <v>282</v>
      </c>
      <c r="H291" s="251">
        <f t="shared" ca="1" si="12"/>
        <v>-2.0988209718091476E-2</v>
      </c>
    </row>
    <row r="292" spans="2:8">
      <c r="B292" s="252">
        <v>45671</v>
      </c>
      <c r="C292" s="251">
        <v>770.5</v>
      </c>
      <c r="D292" s="251">
        <f t="shared" si="11"/>
        <v>-0.2502675878174565</v>
      </c>
      <c r="E292" s="251">
        <v>2.5965379494007991E-2</v>
      </c>
      <c r="G292" s="251">
        <v>283</v>
      </c>
      <c r="H292" s="251">
        <f t="shared" ca="1" si="12"/>
        <v>5.0642628321382402E-2</v>
      </c>
    </row>
    <row r="293" spans="2:8">
      <c r="B293" s="252">
        <v>45497</v>
      </c>
      <c r="C293" s="267">
        <v>1027.7</v>
      </c>
      <c r="D293" s="251">
        <f t="shared" si="11"/>
        <v>0.81668729008308283</v>
      </c>
      <c r="E293" s="251">
        <v>2.5853463765222691E-2</v>
      </c>
      <c r="G293" s="251">
        <v>284</v>
      </c>
      <c r="H293" s="251">
        <f t="shared" ca="1" si="12"/>
        <v>-1.0139965837124157E-2</v>
      </c>
    </row>
    <row r="294" spans="2:8">
      <c r="B294" s="252">
        <v>42650</v>
      </c>
      <c r="C294" s="251">
        <v>565.70000000000005</v>
      </c>
      <c r="D294" s="251">
        <f t="shared" si="11"/>
        <v>2.3433806146572107</v>
      </c>
      <c r="E294" s="251">
        <v>2.5840964729349894E-2</v>
      </c>
      <c r="G294" s="251">
        <v>285</v>
      </c>
      <c r="H294" s="251">
        <f t="shared" ca="1" si="12"/>
        <v>-3.8252147293991543E-3</v>
      </c>
    </row>
    <row r="295" spans="2:8">
      <c r="B295" s="252">
        <v>44188</v>
      </c>
      <c r="C295" s="251">
        <v>169.2</v>
      </c>
      <c r="D295" s="251">
        <f t="shared" si="11"/>
        <v>-0.58390714145189848</v>
      </c>
      <c r="E295" s="251">
        <v>2.5765383449530162E-2</v>
      </c>
      <c r="G295" s="251">
        <v>286</v>
      </c>
      <c r="H295" s="251">
        <f t="shared" ca="1" si="12"/>
        <v>-2.8355723671993321E-2</v>
      </c>
    </row>
    <row r="296" spans="2:8">
      <c r="B296" s="252">
        <v>44838</v>
      </c>
      <c r="C296" s="251">
        <v>406.64</v>
      </c>
      <c r="D296" s="251">
        <f t="shared" si="11"/>
        <v>-0.16730147028709505</v>
      </c>
      <c r="E296" s="251">
        <v>2.5754862144640869E-2</v>
      </c>
      <c r="G296" s="251">
        <v>287</v>
      </c>
      <c r="H296" s="251">
        <f t="shared" ca="1" si="12"/>
        <v>-1.1164200996003607E-2</v>
      </c>
    </row>
    <row r="297" spans="2:8">
      <c r="B297" s="252">
        <v>44789</v>
      </c>
      <c r="C297" s="251">
        <v>488.34</v>
      </c>
      <c r="D297" s="251">
        <f t="shared" si="11"/>
        <v>1.784944396920445</v>
      </c>
      <c r="E297" s="251">
        <v>2.5751974458074256E-2</v>
      </c>
      <c r="G297" s="251">
        <v>288</v>
      </c>
      <c r="H297" s="251">
        <f t="shared" ca="1" si="12"/>
        <v>-2.3951513407090428E-2</v>
      </c>
    </row>
    <row r="298" spans="2:8">
      <c r="B298" s="252">
        <v>43472</v>
      </c>
      <c r="C298" s="251">
        <v>175.35</v>
      </c>
      <c r="D298" s="251">
        <f t="shared" si="11"/>
        <v>-8.3376894929430304E-2</v>
      </c>
      <c r="E298" s="251">
        <v>2.5738520035098016E-2</v>
      </c>
      <c r="G298" s="251">
        <v>289</v>
      </c>
      <c r="H298" s="251">
        <f t="shared" ca="1" si="12"/>
        <v>1.9826792489775511E-2</v>
      </c>
    </row>
    <row r="299" spans="2:8">
      <c r="B299" s="252">
        <v>44200</v>
      </c>
      <c r="C299" s="251">
        <v>191.3</v>
      </c>
      <c r="D299" s="251">
        <f t="shared" si="11"/>
        <v>-0.60344112769485903</v>
      </c>
      <c r="E299" s="251">
        <v>2.5737265415549659E-2</v>
      </c>
      <c r="G299" s="251">
        <v>290</v>
      </c>
      <c r="H299" s="251">
        <f t="shared" ca="1" si="12"/>
        <v>-8.0083152806749418E-3</v>
      </c>
    </row>
    <row r="300" spans="2:8">
      <c r="B300" s="252">
        <v>44561</v>
      </c>
      <c r="C300" s="251">
        <v>482.4</v>
      </c>
      <c r="D300" s="251">
        <f t="shared" si="11"/>
        <v>3.7880893300248135</v>
      </c>
      <c r="E300" s="251">
        <v>2.5510204081632654E-2</v>
      </c>
      <c r="G300" s="251">
        <v>291</v>
      </c>
      <c r="H300" s="251">
        <f t="shared" ca="1" si="12"/>
        <v>-4.737577201847061E-2</v>
      </c>
    </row>
    <row r="301" spans="2:8">
      <c r="B301" s="252">
        <v>44013</v>
      </c>
      <c r="C301" s="251">
        <v>100.75</v>
      </c>
      <c r="D301" s="251">
        <f t="shared" si="11"/>
        <v>-0.78541001064962723</v>
      </c>
      <c r="E301" s="251">
        <v>2.5445292620865138E-2</v>
      </c>
      <c r="G301" s="251">
        <v>292</v>
      </c>
      <c r="H301" s="251">
        <f t="shared" ca="1" si="12"/>
        <v>2.3613097226449827E-3</v>
      </c>
    </row>
    <row r="302" spans="2:8">
      <c r="B302" s="252">
        <v>42555</v>
      </c>
      <c r="C302" s="251">
        <v>469.5</v>
      </c>
      <c r="D302" s="251">
        <f t="shared" si="11"/>
        <v>-0.56043441625315982</v>
      </c>
      <c r="E302" s="251">
        <v>2.5333042148940867E-2</v>
      </c>
      <c r="G302" s="251">
        <v>293</v>
      </c>
      <c r="H302" s="251">
        <f t="shared" ca="1" si="12"/>
        <v>-3.2161932789221174E-4</v>
      </c>
    </row>
    <row r="303" spans="2:8">
      <c r="B303" s="252">
        <v>45513</v>
      </c>
      <c r="C303" s="267">
        <v>1068.0999999999999</v>
      </c>
      <c r="D303" s="251">
        <f t="shared" si="11"/>
        <v>1.3318415020194301</v>
      </c>
      <c r="E303" s="251">
        <v>2.529397648188136E-2</v>
      </c>
      <c r="G303" s="251">
        <v>294</v>
      </c>
      <c r="H303" s="251">
        <f t="shared" ca="1" si="12"/>
        <v>4.5218418675833906E-2</v>
      </c>
    </row>
    <row r="304" spans="2:8">
      <c r="B304" s="252">
        <v>44656</v>
      </c>
      <c r="C304" s="251">
        <v>458.05</v>
      </c>
      <c r="D304" s="251">
        <f t="shared" si="11"/>
        <v>-6.6252165936194068E-2</v>
      </c>
      <c r="E304" s="251">
        <v>2.5293788472299971E-2</v>
      </c>
      <c r="G304" s="251">
        <v>295</v>
      </c>
      <c r="H304" s="251">
        <f t="shared" ca="1" si="12"/>
        <v>1.5526556708150018E-2</v>
      </c>
    </row>
    <row r="305" spans="2:8">
      <c r="B305" s="252">
        <v>44586</v>
      </c>
      <c r="C305" s="251">
        <v>490.55</v>
      </c>
      <c r="D305" s="251">
        <f t="shared" si="11"/>
        <v>1.1388707216045348</v>
      </c>
      <c r="E305" s="251">
        <v>2.5289998954958769E-2</v>
      </c>
      <c r="G305" s="251">
        <v>296</v>
      </c>
      <c r="H305" s="251">
        <f t="shared" ca="1" si="12"/>
        <v>-1.1535927535200748E-2</v>
      </c>
    </row>
    <row r="306" spans="2:8">
      <c r="B306" s="252">
        <v>43374</v>
      </c>
      <c r="C306" s="251">
        <v>229.35</v>
      </c>
      <c r="D306" s="251">
        <f t="shared" si="11"/>
        <v>0.85183689947517161</v>
      </c>
      <c r="E306" s="251">
        <v>2.5257040679481476E-2</v>
      </c>
      <c r="G306" s="251">
        <v>297</v>
      </c>
      <c r="H306" s="251">
        <f t="shared" ca="1" si="12"/>
        <v>3.4441488957999205E-3</v>
      </c>
    </row>
    <row r="307" spans="2:8">
      <c r="B307" s="252">
        <v>43697</v>
      </c>
      <c r="C307" s="251">
        <v>123.85</v>
      </c>
      <c r="D307" s="251">
        <f t="shared" si="11"/>
        <v>-0.66747214391193455</v>
      </c>
      <c r="E307" s="251">
        <v>2.5248344370860903E-2</v>
      </c>
      <c r="G307" s="251">
        <v>298</v>
      </c>
      <c r="H307" s="251">
        <f t="shared" ca="1" si="12"/>
        <v>1.9800674152482177E-2</v>
      </c>
    </row>
    <row r="308" spans="2:8">
      <c r="B308" s="252">
        <v>42458</v>
      </c>
      <c r="C308" s="251">
        <v>372.45</v>
      </c>
      <c r="D308" s="251">
        <f t="shared" si="11"/>
        <v>-0.39989365815931943</v>
      </c>
      <c r="E308" s="251">
        <v>2.5185796862097376E-2</v>
      </c>
      <c r="G308" s="251">
        <v>299</v>
      </c>
      <c r="H308" s="251">
        <f t="shared" ca="1" si="12"/>
        <v>2.8131147572444656E-2</v>
      </c>
    </row>
    <row r="309" spans="2:8">
      <c r="B309" s="252">
        <v>45147</v>
      </c>
      <c r="C309" s="251">
        <v>620.64</v>
      </c>
      <c r="D309" s="251">
        <f t="shared" si="11"/>
        <v>0.25661064992913546</v>
      </c>
      <c r="E309" s="251">
        <v>2.5122640107031427E-2</v>
      </c>
      <c r="G309" s="251">
        <v>300</v>
      </c>
      <c r="H309" s="251">
        <f t="shared" ca="1" si="12"/>
        <v>1.8720590017629785E-2</v>
      </c>
    </row>
    <row r="310" spans="2:8">
      <c r="B310" s="252">
        <v>44538</v>
      </c>
      <c r="C310" s="251">
        <v>493.9</v>
      </c>
      <c r="D310" s="251">
        <f t="shared" si="11"/>
        <v>-0.5583474917285165</v>
      </c>
      <c r="E310" s="251">
        <v>2.5114155251141482E-2</v>
      </c>
      <c r="G310" s="251">
        <v>301</v>
      </c>
      <c r="H310" s="251">
        <f t="shared" ca="1" si="12"/>
        <v>3.5348193407479852E-3</v>
      </c>
    </row>
    <row r="311" spans="2:8">
      <c r="B311" s="252">
        <v>45499</v>
      </c>
      <c r="C311" s="267">
        <v>1118.3</v>
      </c>
      <c r="D311" s="251">
        <f t="shared" si="11"/>
        <v>1.6013026285182601</v>
      </c>
      <c r="E311" s="251">
        <v>2.5069893212337786E-2</v>
      </c>
      <c r="G311" s="251">
        <v>302</v>
      </c>
      <c r="H311" s="251">
        <f t="shared" ca="1" si="12"/>
        <v>1.6325050447200031E-2</v>
      </c>
    </row>
    <row r="312" spans="2:8">
      <c r="B312" s="252">
        <v>43035</v>
      </c>
      <c r="C312" s="251">
        <v>429.9</v>
      </c>
      <c r="D312" s="251">
        <f t="shared" si="11"/>
        <v>2.2202247191011235</v>
      </c>
      <c r="E312" s="251">
        <v>2.503576537911302E-2</v>
      </c>
      <c r="G312" s="251">
        <v>303</v>
      </c>
      <c r="H312" s="251">
        <f t="shared" ca="1" si="12"/>
        <v>1.2963640804812456E-2</v>
      </c>
    </row>
    <row r="313" spans="2:8">
      <c r="B313" s="252">
        <v>44126</v>
      </c>
      <c r="C313" s="251">
        <v>133.5</v>
      </c>
      <c r="D313" s="251">
        <f t="shared" si="11"/>
        <v>-0.43492063492063493</v>
      </c>
      <c r="E313" s="251">
        <v>2.4952015355086371E-2</v>
      </c>
      <c r="G313" s="251">
        <v>304</v>
      </c>
      <c r="H313" s="251">
        <f t="shared" ca="1" si="12"/>
        <v>-1.375269534596032E-2</v>
      </c>
    </row>
    <row r="314" spans="2:8">
      <c r="B314" s="252">
        <v>43573</v>
      </c>
      <c r="C314" s="251">
        <v>236.25</v>
      </c>
      <c r="D314" s="251">
        <f t="shared" si="11"/>
        <v>0.8847227762265657</v>
      </c>
      <c r="E314" s="251">
        <v>2.4945770065075923E-2</v>
      </c>
      <c r="G314" s="251">
        <v>305</v>
      </c>
      <c r="H314" s="251">
        <f t="shared" ca="1" si="12"/>
        <v>-3.9778309930928395E-2</v>
      </c>
    </row>
    <row r="315" spans="2:8">
      <c r="B315" s="252">
        <v>44055</v>
      </c>
      <c r="C315" s="251">
        <v>125.35</v>
      </c>
      <c r="D315" s="251">
        <f t="shared" si="11"/>
        <v>-0.62118464792988815</v>
      </c>
      <c r="E315" s="251">
        <v>2.4938675388389186E-2</v>
      </c>
      <c r="G315" s="251">
        <v>306</v>
      </c>
      <c r="H315" s="251">
        <f t="shared" ca="1" si="12"/>
        <v>-6.2459498978907286E-3</v>
      </c>
    </row>
    <row r="316" spans="2:8">
      <c r="B316" s="252">
        <v>42255</v>
      </c>
      <c r="C316" s="251">
        <v>330.9</v>
      </c>
      <c r="D316" s="251">
        <f t="shared" si="11"/>
        <v>0.84705554005023709</v>
      </c>
      <c r="E316" s="251">
        <v>2.4934179959733481E-2</v>
      </c>
      <c r="G316" s="251">
        <v>307</v>
      </c>
      <c r="H316" s="251">
        <f t="shared" ca="1" si="12"/>
        <v>-4.5857307228107085E-3</v>
      </c>
    </row>
    <row r="317" spans="2:8">
      <c r="B317" s="252">
        <v>43818</v>
      </c>
      <c r="C317" s="251">
        <v>179.15</v>
      </c>
      <c r="D317" s="251">
        <f t="shared" si="11"/>
        <v>-0.59301665190031572</v>
      </c>
      <c r="E317" s="251">
        <v>2.4885583524027425E-2</v>
      </c>
      <c r="G317" s="251">
        <v>308</v>
      </c>
      <c r="H317" s="251">
        <f t="shared" ca="1" si="12"/>
        <v>-1.1483899403054216E-2</v>
      </c>
    </row>
    <row r="318" spans="2:8">
      <c r="B318" s="252">
        <v>44750</v>
      </c>
      <c r="C318" s="251">
        <v>440.19</v>
      </c>
      <c r="D318" s="251">
        <f t="shared" si="11"/>
        <v>-0.36213592233009712</v>
      </c>
      <c r="E318" s="251">
        <v>2.4841683739988862E-2</v>
      </c>
      <c r="G318" s="251">
        <v>309</v>
      </c>
      <c r="H318" s="251">
        <f t="shared" ca="1" si="12"/>
        <v>-1.8068331655889888E-2</v>
      </c>
    </row>
    <row r="319" spans="2:8">
      <c r="B319" s="252">
        <v>45861</v>
      </c>
      <c r="C319" s="251">
        <v>690.1</v>
      </c>
      <c r="D319" s="251">
        <f t="shared" si="11"/>
        <v>8.8234875444839869</v>
      </c>
      <c r="E319" s="251">
        <v>2.4799524799524866E-2</v>
      </c>
      <c r="G319" s="251">
        <v>310</v>
      </c>
      <c r="H319" s="251">
        <f t="shared" ca="1" si="12"/>
        <v>6.0973920557369103E-2</v>
      </c>
    </row>
    <row r="320" spans="2:8">
      <c r="B320" s="252">
        <v>43915</v>
      </c>
      <c r="C320" s="251">
        <v>70.25</v>
      </c>
      <c r="D320" s="251">
        <f t="shared" si="11"/>
        <v>-0.84934591464722287</v>
      </c>
      <c r="E320" s="251">
        <v>2.4799416484318059E-2</v>
      </c>
      <c r="G320" s="251">
        <v>311</v>
      </c>
      <c r="H320" s="251">
        <f t="shared" ca="1" si="12"/>
        <v>-1.5070882707722985E-2</v>
      </c>
    </row>
    <row r="321" spans="2:8">
      <c r="B321" s="252">
        <v>42559</v>
      </c>
      <c r="C321" s="251">
        <v>466.3</v>
      </c>
      <c r="D321" s="251">
        <f t="shared" si="11"/>
        <v>0.19212578294771837</v>
      </c>
      <c r="E321" s="251">
        <v>2.4497418433483544E-2</v>
      </c>
      <c r="G321" s="251">
        <v>312</v>
      </c>
      <c r="H321" s="251">
        <f t="shared" ca="1" si="12"/>
        <v>6.576530496965223E-2</v>
      </c>
    </row>
    <row r="322" spans="2:8">
      <c r="B322" s="252">
        <v>42495</v>
      </c>
      <c r="C322" s="251">
        <v>391.15</v>
      </c>
      <c r="D322" s="251">
        <f t="shared" si="11"/>
        <v>0.17339133043347818</v>
      </c>
      <c r="E322" s="251">
        <v>2.4489261393399596E-2</v>
      </c>
      <c r="G322" s="251">
        <v>313</v>
      </c>
      <c r="H322" s="251">
        <f t="shared" ca="1" si="12"/>
        <v>-1.9819763279431499E-2</v>
      </c>
    </row>
    <row r="323" spans="2:8">
      <c r="B323" s="252">
        <v>44242</v>
      </c>
      <c r="C323" s="251">
        <v>333.35</v>
      </c>
      <c r="D323" s="251">
        <f t="shared" si="11"/>
        <v>0.82307902652447384</v>
      </c>
      <c r="E323" s="251">
        <v>2.4431468961278568E-2</v>
      </c>
      <c r="G323" s="251">
        <v>314</v>
      </c>
      <c r="H323" s="251">
        <f t="shared" ca="1" si="12"/>
        <v>-3.6557450078572473E-2</v>
      </c>
    </row>
    <row r="324" spans="2:8">
      <c r="B324" s="252">
        <v>43503</v>
      </c>
      <c r="C324" s="251">
        <v>182.85</v>
      </c>
      <c r="D324" s="251">
        <f t="shared" si="11"/>
        <v>-0.53466178042449231</v>
      </c>
      <c r="E324" s="251">
        <v>2.4369747899159633E-2</v>
      </c>
      <c r="G324" s="251">
        <v>315</v>
      </c>
      <c r="H324" s="251">
        <f t="shared" ca="1" si="12"/>
        <v>-2.3601736874432896E-2</v>
      </c>
    </row>
    <row r="325" spans="2:8">
      <c r="B325" s="252">
        <v>44922</v>
      </c>
      <c r="C325" s="251">
        <v>392.94</v>
      </c>
      <c r="D325" s="251">
        <f t="shared" si="11"/>
        <v>-0.12584814575871503</v>
      </c>
      <c r="E325" s="251">
        <v>2.429487513685416E-2</v>
      </c>
      <c r="G325" s="251">
        <v>316</v>
      </c>
      <c r="H325" s="251">
        <f t="shared" ca="1" si="12"/>
        <v>1.4923539939334967E-2</v>
      </c>
    </row>
    <row r="326" spans="2:8">
      <c r="B326" s="252">
        <v>44760</v>
      </c>
      <c r="C326" s="251">
        <v>449.51</v>
      </c>
      <c r="D326" s="251">
        <f t="shared" si="11"/>
        <v>-0.11791601255886976</v>
      </c>
      <c r="E326" s="251">
        <v>2.4290759940754171E-2</v>
      </c>
      <c r="G326" s="251">
        <v>317</v>
      </c>
      <c r="H326" s="251">
        <f t="shared" ca="1" si="12"/>
        <v>2.2785428725900028E-2</v>
      </c>
    </row>
    <row r="327" spans="2:8">
      <c r="B327" s="252">
        <v>44487</v>
      </c>
      <c r="C327" s="251">
        <v>509.6</v>
      </c>
      <c r="D327" s="251">
        <f t="shared" si="11"/>
        <v>0.17862016328607447</v>
      </c>
      <c r="E327" s="251">
        <v>2.4115755627009645E-2</v>
      </c>
      <c r="G327" s="251">
        <v>318</v>
      </c>
      <c r="H327" s="251">
        <f t="shared" ca="1" si="12"/>
        <v>-1.3054845888145481E-2</v>
      </c>
    </row>
    <row r="328" spans="2:8">
      <c r="B328" s="252">
        <v>44879</v>
      </c>
      <c r="C328" s="251">
        <v>432.37</v>
      </c>
      <c r="D328" s="251">
        <f t="shared" si="11"/>
        <v>4.7919624916275954</v>
      </c>
      <c r="E328" s="251">
        <v>2.4088109900521119E-2</v>
      </c>
      <c r="G328" s="251">
        <v>319</v>
      </c>
      <c r="H328" s="251">
        <f t="shared" ca="1" si="12"/>
        <v>-1.6903110282958041E-2</v>
      </c>
    </row>
    <row r="329" spans="2:8">
      <c r="B329" s="252">
        <v>43937</v>
      </c>
      <c r="C329" s="251">
        <v>74.650000000000006</v>
      </c>
      <c r="D329" s="251">
        <f t="shared" si="11"/>
        <v>-0.85111687275628245</v>
      </c>
      <c r="E329" s="251">
        <v>2.4005486968449931E-2</v>
      </c>
      <c r="G329" s="251">
        <v>320</v>
      </c>
      <c r="H329" s="251">
        <f t="shared" ca="1" si="12"/>
        <v>-3.362876132882698E-2</v>
      </c>
    </row>
    <row r="330" spans="2:8">
      <c r="B330" s="252">
        <v>44508</v>
      </c>
      <c r="C330" s="251">
        <v>501.4</v>
      </c>
      <c r="D330" s="251">
        <f t="shared" ref="D330:D393" si="13">(C330-C331)/C331</f>
        <v>1.6564238410596026</v>
      </c>
      <c r="E330" s="251">
        <v>2.3892178885031628E-2</v>
      </c>
      <c r="G330" s="251">
        <v>321</v>
      </c>
      <c r="H330" s="251">
        <f t="shared" ca="1" si="12"/>
        <v>2.831307360907E-2</v>
      </c>
    </row>
    <row r="331" spans="2:8">
      <c r="B331" s="252">
        <v>43383</v>
      </c>
      <c r="C331" s="251">
        <v>188.75</v>
      </c>
      <c r="D331" s="251">
        <f t="shared" si="13"/>
        <v>-8.4404559786563207E-2</v>
      </c>
      <c r="E331" s="251">
        <v>2.3867643070246844E-2</v>
      </c>
      <c r="G331" s="251">
        <v>322</v>
      </c>
      <c r="H331" s="251">
        <f t="shared" ref="H331:H394" ca="1" si="14">_xlfn.NORM.INV(RAND(),N$12,N$13)</f>
        <v>4.0942501407699249E-2</v>
      </c>
    </row>
    <row r="332" spans="2:8">
      <c r="B332" s="252">
        <v>43559</v>
      </c>
      <c r="C332" s="251">
        <v>206.15</v>
      </c>
      <c r="D332" s="251">
        <f t="shared" si="13"/>
        <v>-0.79568677588479575</v>
      </c>
      <c r="E332" s="251">
        <v>2.3839086168363603E-2</v>
      </c>
      <c r="G332" s="251">
        <v>323</v>
      </c>
      <c r="H332" s="251">
        <f t="shared" ca="1" si="14"/>
        <v>2.3996457695691659E-2</v>
      </c>
    </row>
    <row r="333" spans="2:8">
      <c r="B333" s="252">
        <v>45420</v>
      </c>
      <c r="C333" s="267">
        <v>1008.99</v>
      </c>
      <c r="D333" s="251">
        <f t="shared" si="13"/>
        <v>1.5492420414350683</v>
      </c>
      <c r="E333" s="251">
        <v>2.3825227547158344E-2</v>
      </c>
      <c r="G333" s="251">
        <v>324</v>
      </c>
      <c r="H333" s="251">
        <f t="shared" ca="1" si="14"/>
        <v>3.2227964033768097E-2</v>
      </c>
    </row>
    <row r="334" spans="2:8">
      <c r="B334" s="252">
        <v>42472</v>
      </c>
      <c r="C334" s="251">
        <v>395.8</v>
      </c>
      <c r="D334" s="251">
        <f t="shared" si="13"/>
        <v>5.6311716039498326E-2</v>
      </c>
      <c r="E334" s="251">
        <v>2.3664813138497439E-2</v>
      </c>
      <c r="G334" s="251">
        <v>325</v>
      </c>
      <c r="H334" s="251">
        <f t="shared" ca="1" si="14"/>
        <v>2.1413143314213845E-2</v>
      </c>
    </row>
    <row r="335" spans="2:8">
      <c r="B335" s="252">
        <v>42450</v>
      </c>
      <c r="C335" s="251">
        <v>374.7</v>
      </c>
      <c r="D335" s="251">
        <f t="shared" si="13"/>
        <v>-0.3593119485671295</v>
      </c>
      <c r="E335" s="251">
        <v>2.3630651550334589E-2</v>
      </c>
      <c r="G335" s="251">
        <v>326</v>
      </c>
      <c r="H335" s="251">
        <f t="shared" ca="1" si="14"/>
        <v>1.9572868732260235E-3</v>
      </c>
    </row>
    <row r="336" spans="2:8">
      <c r="B336" s="252">
        <v>45105</v>
      </c>
      <c r="C336" s="251">
        <v>584.84</v>
      </c>
      <c r="D336" s="251">
        <f t="shared" si="13"/>
        <v>0.24222599830076469</v>
      </c>
      <c r="E336" s="251">
        <v>2.3628662442678614E-2</v>
      </c>
      <c r="G336" s="251">
        <v>327</v>
      </c>
      <c r="H336" s="251">
        <f t="shared" ca="1" si="14"/>
        <v>-2.2879135456717575E-2</v>
      </c>
    </row>
    <row r="337" spans="2:8">
      <c r="B337" s="252">
        <v>42800</v>
      </c>
      <c r="C337" s="251">
        <v>470.8</v>
      </c>
      <c r="D337" s="251">
        <f t="shared" si="13"/>
        <v>2.5966386554621845</v>
      </c>
      <c r="E337" s="251">
        <v>2.3589520600065274E-2</v>
      </c>
      <c r="G337" s="251">
        <v>328</v>
      </c>
      <c r="H337" s="251">
        <f t="shared" ca="1" si="14"/>
        <v>4.7747930921735425E-2</v>
      </c>
    </row>
    <row r="338" spans="2:8">
      <c r="B338" s="252">
        <v>43732</v>
      </c>
      <c r="C338" s="251">
        <v>130.9</v>
      </c>
      <c r="D338" s="251">
        <f t="shared" si="13"/>
        <v>0.3255696202531646</v>
      </c>
      <c r="E338" s="251">
        <v>2.3455824863174355E-2</v>
      </c>
      <c r="G338" s="251">
        <v>329</v>
      </c>
      <c r="H338" s="251">
        <f t="shared" ca="1" si="14"/>
        <v>-3.5053287273926689E-2</v>
      </c>
    </row>
    <row r="339" spans="2:8">
      <c r="B339" s="252">
        <v>43985</v>
      </c>
      <c r="C339" s="251">
        <v>98.75</v>
      </c>
      <c r="D339" s="251">
        <f t="shared" si="13"/>
        <v>-0.61717387090521414</v>
      </c>
      <c r="E339" s="251">
        <v>2.3316062176165803E-2</v>
      </c>
      <c r="G339" s="251">
        <v>330</v>
      </c>
      <c r="H339" s="251">
        <f t="shared" ca="1" si="14"/>
        <v>-4.4159182804571675E-3</v>
      </c>
    </row>
    <row r="340" spans="2:8">
      <c r="B340" s="252">
        <v>43298</v>
      </c>
      <c r="C340" s="251">
        <v>257.95</v>
      </c>
      <c r="D340" s="251">
        <f t="shared" si="13"/>
        <v>-0.59637291105964829</v>
      </c>
      <c r="E340" s="251">
        <v>2.3205077350257813E-2</v>
      </c>
      <c r="G340" s="251">
        <v>331</v>
      </c>
      <c r="H340" s="251">
        <f t="shared" ca="1" si="14"/>
        <v>1.5312745099874989E-2</v>
      </c>
    </row>
    <row r="341" spans="2:8">
      <c r="B341" s="252">
        <v>45226</v>
      </c>
      <c r="C341" s="251">
        <v>639.08000000000004</v>
      </c>
      <c r="D341" s="251">
        <f t="shared" si="13"/>
        <v>0.47979716118276339</v>
      </c>
      <c r="E341" s="251">
        <v>2.3150075245749475E-2</v>
      </c>
      <c r="G341" s="251">
        <v>332</v>
      </c>
      <c r="H341" s="251">
        <f t="shared" ca="1" si="14"/>
        <v>2.593346037338462E-2</v>
      </c>
    </row>
    <row r="342" spans="2:8">
      <c r="B342" s="252">
        <v>44890</v>
      </c>
      <c r="C342" s="251">
        <v>431.87</v>
      </c>
      <c r="D342" s="251">
        <f t="shared" si="13"/>
        <v>-3.3739791923033863E-2</v>
      </c>
      <c r="E342" s="251">
        <v>2.3146173892442504E-2</v>
      </c>
      <c r="G342" s="251">
        <v>333</v>
      </c>
      <c r="H342" s="251">
        <f t="shared" ca="1" si="14"/>
        <v>-3.8940961613866121E-3</v>
      </c>
    </row>
    <row r="343" spans="2:8">
      <c r="B343" s="252">
        <v>42926</v>
      </c>
      <c r="C343" s="251">
        <v>446.95</v>
      </c>
      <c r="D343" s="251">
        <f t="shared" si="13"/>
        <v>-0.55224403927068721</v>
      </c>
      <c r="E343" s="251">
        <v>2.3120064095227117E-2</v>
      </c>
      <c r="G343" s="251">
        <v>334</v>
      </c>
      <c r="H343" s="251">
        <f t="shared" ca="1" si="14"/>
        <v>-3.1183487044202075E-2</v>
      </c>
    </row>
    <row r="344" spans="2:8">
      <c r="B344" s="252">
        <v>45477</v>
      </c>
      <c r="C344" s="251">
        <v>998.2</v>
      </c>
      <c r="D344" s="251">
        <f t="shared" si="13"/>
        <v>5.009632751354606</v>
      </c>
      <c r="E344" s="251">
        <v>2.3112796597140439E-2</v>
      </c>
      <c r="G344" s="251">
        <v>335</v>
      </c>
      <c r="H344" s="251">
        <f t="shared" ca="1" si="14"/>
        <v>3.1359269422105263E-2</v>
      </c>
    </row>
    <row r="345" spans="2:8">
      <c r="B345" s="252">
        <v>43794</v>
      </c>
      <c r="C345" s="251">
        <v>166.1</v>
      </c>
      <c r="D345" s="251">
        <f t="shared" si="13"/>
        <v>-0.45307869608165952</v>
      </c>
      <c r="E345" s="251">
        <v>2.3098244533415462E-2</v>
      </c>
      <c r="G345" s="251">
        <v>336</v>
      </c>
      <c r="H345" s="251">
        <f t="shared" ca="1" si="14"/>
        <v>1.2361613139771311E-3</v>
      </c>
    </row>
    <row r="346" spans="2:8">
      <c r="B346" s="252">
        <v>44411</v>
      </c>
      <c r="C346" s="251">
        <v>303.7</v>
      </c>
      <c r="D346" s="251">
        <f t="shared" si="13"/>
        <v>-0.21807415036045313</v>
      </c>
      <c r="E346" s="251">
        <v>2.307562742125641E-2</v>
      </c>
      <c r="G346" s="251">
        <v>337</v>
      </c>
      <c r="H346" s="251">
        <f t="shared" ca="1" si="14"/>
        <v>-1.4145485580690594E-2</v>
      </c>
    </row>
    <row r="347" spans="2:8">
      <c r="B347" s="252">
        <v>42464</v>
      </c>
      <c r="C347" s="251">
        <v>388.4</v>
      </c>
      <c r="D347" s="251">
        <f t="shared" si="13"/>
        <v>0.93860743698527571</v>
      </c>
      <c r="E347" s="251">
        <v>2.3047543790333202E-2</v>
      </c>
      <c r="G347" s="251">
        <v>338</v>
      </c>
      <c r="H347" s="251">
        <f t="shared" ca="1" si="14"/>
        <v>-3.4920644497437238E-2</v>
      </c>
    </row>
    <row r="348" spans="2:8">
      <c r="B348" s="252">
        <v>43845</v>
      </c>
      <c r="C348" s="251">
        <v>200.35</v>
      </c>
      <c r="D348" s="251">
        <f t="shared" si="13"/>
        <v>-0.53931938376638311</v>
      </c>
      <c r="E348" s="251">
        <v>2.2976767934643861E-2</v>
      </c>
      <c r="G348" s="251">
        <v>339</v>
      </c>
      <c r="H348" s="251">
        <f t="shared" ca="1" si="14"/>
        <v>6.5519492424160348E-3</v>
      </c>
    </row>
    <row r="349" spans="2:8">
      <c r="B349" s="252">
        <v>44677</v>
      </c>
      <c r="C349" s="251">
        <v>434.9</v>
      </c>
      <c r="D349" s="251">
        <f t="shared" si="13"/>
        <v>0.2740588838435622</v>
      </c>
      <c r="E349" s="251">
        <v>2.293308244149124E-2</v>
      </c>
      <c r="G349" s="251">
        <v>340</v>
      </c>
      <c r="H349" s="251">
        <f t="shared" ca="1" si="14"/>
        <v>4.2386706493165498E-2</v>
      </c>
    </row>
    <row r="350" spans="2:8">
      <c r="B350" s="252">
        <v>42284</v>
      </c>
      <c r="C350" s="251">
        <v>341.35</v>
      </c>
      <c r="D350" s="251">
        <f t="shared" si="13"/>
        <v>1.3820655966503839</v>
      </c>
      <c r="E350" s="251">
        <v>2.2924782738987216E-2</v>
      </c>
      <c r="G350" s="251">
        <v>341</v>
      </c>
      <c r="H350" s="251">
        <f t="shared" ca="1" si="14"/>
        <v>-2.445096480758796E-2</v>
      </c>
    </row>
    <row r="351" spans="2:8">
      <c r="B351" s="252">
        <v>44084</v>
      </c>
      <c r="C351" s="251">
        <v>143.30000000000001</v>
      </c>
      <c r="D351" s="251">
        <f t="shared" si="13"/>
        <v>-0.65146540192143987</v>
      </c>
      <c r="E351" s="251">
        <v>2.2840827980014397E-2</v>
      </c>
      <c r="G351" s="251">
        <v>342</v>
      </c>
      <c r="H351" s="251">
        <f t="shared" ca="1" si="14"/>
        <v>3.5775739432487595E-2</v>
      </c>
    </row>
    <row r="352" spans="2:8">
      <c r="B352" s="252">
        <v>43077</v>
      </c>
      <c r="C352" s="251">
        <v>411.15</v>
      </c>
      <c r="D352" s="251">
        <f t="shared" si="13"/>
        <v>-5.1907023935802349E-2</v>
      </c>
      <c r="E352" s="251">
        <v>2.276119402985069E-2</v>
      </c>
      <c r="G352" s="251">
        <v>343</v>
      </c>
      <c r="H352" s="251">
        <f t="shared" ca="1" si="14"/>
        <v>-3.8534083632640735E-2</v>
      </c>
    </row>
    <row r="353" spans="2:8">
      <c r="B353" s="252">
        <v>44872</v>
      </c>
      <c r="C353" s="251">
        <v>433.66</v>
      </c>
      <c r="D353" s="251">
        <f t="shared" si="13"/>
        <v>1.2086070791953147</v>
      </c>
      <c r="E353" s="251">
        <v>2.2686539005754184E-2</v>
      </c>
      <c r="G353" s="251">
        <v>344</v>
      </c>
      <c r="H353" s="251">
        <f t="shared" ca="1" si="14"/>
        <v>-7.7625245452752224E-4</v>
      </c>
    </row>
    <row r="354" spans="2:8">
      <c r="B354" s="252">
        <v>43840</v>
      </c>
      <c r="C354" s="251">
        <v>196.35</v>
      </c>
      <c r="D354" s="251">
        <f t="shared" si="13"/>
        <v>-0.27088748607500934</v>
      </c>
      <c r="E354" s="251">
        <v>2.2656249999999972E-2</v>
      </c>
      <c r="G354" s="251">
        <v>345</v>
      </c>
      <c r="H354" s="251">
        <f t="shared" ca="1" si="14"/>
        <v>1.0048594467962418E-2</v>
      </c>
    </row>
    <row r="355" spans="2:8">
      <c r="B355" s="252">
        <v>43280</v>
      </c>
      <c r="C355" s="251">
        <v>269.3</v>
      </c>
      <c r="D355" s="251">
        <f t="shared" si="13"/>
        <v>2.4996751137102016</v>
      </c>
      <c r="E355" s="251">
        <v>2.2593506740079698E-2</v>
      </c>
      <c r="G355" s="251">
        <v>346</v>
      </c>
      <c r="H355" s="251">
        <f t="shared" ca="1" si="14"/>
        <v>-1.2223158915461786E-2</v>
      </c>
    </row>
    <row r="356" spans="2:8">
      <c r="B356" s="252">
        <v>43949</v>
      </c>
      <c r="C356" s="251">
        <v>76.95</v>
      </c>
      <c r="D356" s="251">
        <f t="shared" si="13"/>
        <v>-0.85381838905775076</v>
      </c>
      <c r="E356" s="251">
        <v>2.2591362126245886E-2</v>
      </c>
      <c r="G356" s="251">
        <v>347</v>
      </c>
      <c r="H356" s="251">
        <f t="shared" ca="1" si="14"/>
        <v>1.5387027285342383E-2</v>
      </c>
    </row>
    <row r="357" spans="2:8">
      <c r="B357" s="252">
        <v>42751</v>
      </c>
      <c r="C357" s="251">
        <v>526.4</v>
      </c>
      <c r="D357" s="251">
        <f t="shared" si="13"/>
        <v>0.15198599409125724</v>
      </c>
      <c r="E357" s="251">
        <v>2.2433718558803446E-2</v>
      </c>
      <c r="G357" s="251">
        <v>348</v>
      </c>
      <c r="H357" s="251">
        <f t="shared" ca="1" si="14"/>
        <v>2.6072107968287274E-2</v>
      </c>
    </row>
    <row r="358" spans="2:8">
      <c r="B358" s="252">
        <v>42927</v>
      </c>
      <c r="C358" s="251">
        <v>456.95</v>
      </c>
      <c r="D358" s="251">
        <f t="shared" si="13"/>
        <v>-0.3675169903248578</v>
      </c>
      <c r="E358" s="251">
        <v>2.2373867322966777E-2</v>
      </c>
      <c r="G358" s="251">
        <v>349</v>
      </c>
      <c r="H358" s="251">
        <f t="shared" ca="1" si="14"/>
        <v>-1.6757566271988847E-3</v>
      </c>
    </row>
    <row r="359" spans="2:8">
      <c r="B359" s="252">
        <v>45282</v>
      </c>
      <c r="C359" s="251">
        <v>722.47</v>
      </c>
      <c r="D359" s="251">
        <f t="shared" si="13"/>
        <v>-8.6637168141592891E-2</v>
      </c>
      <c r="E359" s="251">
        <v>2.2358385101957163E-2</v>
      </c>
      <c r="G359" s="251">
        <v>350</v>
      </c>
      <c r="H359" s="251">
        <f t="shared" ca="1" si="14"/>
        <v>-3.9991585020334453E-2</v>
      </c>
    </row>
    <row r="360" spans="2:8">
      <c r="B360" s="252">
        <v>45618</v>
      </c>
      <c r="C360" s="251">
        <v>791</v>
      </c>
      <c r="D360" s="251">
        <f t="shared" si="13"/>
        <v>0.70327304048234285</v>
      </c>
      <c r="E360" s="251">
        <v>2.2161917684305713E-2</v>
      </c>
      <c r="G360" s="251">
        <v>351</v>
      </c>
      <c r="H360" s="251">
        <f t="shared" ca="1" si="14"/>
        <v>1.4679592713167652E-2</v>
      </c>
    </row>
    <row r="361" spans="2:8">
      <c r="B361" s="252">
        <v>42538</v>
      </c>
      <c r="C361" s="251">
        <v>464.4</v>
      </c>
      <c r="D361" s="251">
        <f t="shared" si="13"/>
        <v>0.12146824438541404</v>
      </c>
      <c r="E361" s="251">
        <v>2.2119511389897553E-2</v>
      </c>
      <c r="G361" s="251">
        <v>352</v>
      </c>
      <c r="H361" s="251">
        <f t="shared" ca="1" si="14"/>
        <v>-2.7589657419168318E-2</v>
      </c>
    </row>
    <row r="362" spans="2:8">
      <c r="B362" s="252">
        <v>44727</v>
      </c>
      <c r="C362" s="251">
        <v>414.1</v>
      </c>
      <c r="D362" s="251">
        <f t="shared" si="13"/>
        <v>-0.26863299187566231</v>
      </c>
      <c r="E362" s="251">
        <v>2.2090583734419463E-2</v>
      </c>
      <c r="G362" s="251">
        <v>353</v>
      </c>
      <c r="H362" s="251">
        <f t="shared" ca="1" si="14"/>
        <v>1.1230689848204136E-2</v>
      </c>
    </row>
    <row r="363" spans="2:8">
      <c r="B363" s="252">
        <v>45084</v>
      </c>
      <c r="C363" s="251">
        <v>566.20000000000005</v>
      </c>
      <c r="D363" s="251">
        <f t="shared" si="13"/>
        <v>-0.2862275449101796</v>
      </c>
      <c r="E363" s="251">
        <v>2.1947873799725799E-2</v>
      </c>
      <c r="G363" s="251">
        <v>354</v>
      </c>
      <c r="H363" s="251">
        <f t="shared" ca="1" si="14"/>
        <v>-4.4413840962323238E-2</v>
      </c>
    </row>
    <row r="364" spans="2:8">
      <c r="B364" s="252">
        <v>45664</v>
      </c>
      <c r="C364" s="251">
        <v>793.25</v>
      </c>
      <c r="D364" s="251">
        <f t="shared" si="13"/>
        <v>0.7785874439461884</v>
      </c>
      <c r="E364" s="251">
        <v>2.1900161030595812E-2</v>
      </c>
      <c r="G364" s="251">
        <v>355</v>
      </c>
      <c r="H364" s="251">
        <f t="shared" ca="1" si="14"/>
        <v>-5.0761782824854412E-2</v>
      </c>
    </row>
    <row r="365" spans="2:8">
      <c r="B365" s="252">
        <v>42782</v>
      </c>
      <c r="C365" s="251">
        <v>446</v>
      </c>
      <c r="D365" s="251">
        <f t="shared" si="13"/>
        <v>5.1787567210640456E-2</v>
      </c>
      <c r="E365" s="251">
        <v>2.1881086035055588E-2</v>
      </c>
      <c r="G365" s="251">
        <v>356</v>
      </c>
      <c r="H365" s="251">
        <f t="shared" ca="1" si="14"/>
        <v>-1.1860260504962384E-3</v>
      </c>
    </row>
    <row r="366" spans="2:8">
      <c r="B366" s="252">
        <v>44869</v>
      </c>
      <c r="C366" s="251">
        <v>424.04</v>
      </c>
      <c r="D366" s="251">
        <f t="shared" si="13"/>
        <v>-3.1319246145059917E-2</v>
      </c>
      <c r="E366" s="251">
        <v>2.185700171096704E-2</v>
      </c>
      <c r="G366" s="251">
        <v>357</v>
      </c>
      <c r="H366" s="251">
        <f t="shared" ca="1" si="14"/>
        <v>1.1389778824984499E-2</v>
      </c>
    </row>
    <row r="367" spans="2:8">
      <c r="B367" s="252">
        <v>43040</v>
      </c>
      <c r="C367" s="251">
        <v>437.75</v>
      </c>
      <c r="D367" s="251">
        <f t="shared" si="13"/>
        <v>0.49940058229148832</v>
      </c>
      <c r="E367" s="251">
        <v>2.182539682539688E-2</v>
      </c>
      <c r="G367" s="251">
        <v>358</v>
      </c>
      <c r="H367" s="251">
        <f t="shared" ca="1" si="14"/>
        <v>-5.2573999980950421E-2</v>
      </c>
    </row>
    <row r="368" spans="2:8">
      <c r="B368" s="252">
        <v>44438</v>
      </c>
      <c r="C368" s="251">
        <v>291.95</v>
      </c>
      <c r="D368" s="251">
        <f t="shared" si="13"/>
        <v>0.67546628407460541</v>
      </c>
      <c r="E368" s="251">
        <v>2.1697287839020082E-2</v>
      </c>
      <c r="G368" s="251">
        <v>359</v>
      </c>
      <c r="H368" s="251">
        <f t="shared" ca="1" si="14"/>
        <v>1.542370529329375E-2</v>
      </c>
    </row>
    <row r="369" spans="2:8">
      <c r="B369" s="252">
        <v>43553</v>
      </c>
      <c r="C369" s="251">
        <v>174.25</v>
      </c>
      <c r="D369" s="251">
        <f t="shared" si="13"/>
        <v>-0.6317235548980239</v>
      </c>
      <c r="E369" s="251">
        <v>2.1694517736734028E-2</v>
      </c>
      <c r="G369" s="251">
        <v>360</v>
      </c>
      <c r="H369" s="251">
        <f t="shared" ca="1" si="14"/>
        <v>-2.4374657304712254E-5</v>
      </c>
    </row>
    <row r="370" spans="2:8">
      <c r="B370" s="252">
        <v>42720</v>
      </c>
      <c r="C370" s="251">
        <v>473.15</v>
      </c>
      <c r="D370" s="251">
        <f t="shared" si="13"/>
        <v>1.5770697167755989</v>
      </c>
      <c r="E370" s="251">
        <v>2.1481001727115694E-2</v>
      </c>
      <c r="G370" s="251">
        <v>361</v>
      </c>
      <c r="H370" s="251">
        <f t="shared" ca="1" si="14"/>
        <v>1.1181600854868273E-2</v>
      </c>
    </row>
    <row r="371" spans="2:8">
      <c r="B371" s="252">
        <v>44167</v>
      </c>
      <c r="C371" s="251">
        <v>183.6</v>
      </c>
      <c r="D371" s="251">
        <f t="shared" si="13"/>
        <v>-0.407741935483871</v>
      </c>
      <c r="E371" s="251">
        <v>2.1418636995827505E-2</v>
      </c>
      <c r="G371" s="251">
        <v>362</v>
      </c>
      <c r="H371" s="251">
        <f t="shared" ca="1" si="14"/>
        <v>1.0499183148391647E-2</v>
      </c>
    </row>
    <row r="372" spans="2:8">
      <c r="B372" s="252">
        <v>44302</v>
      </c>
      <c r="C372" s="251">
        <v>310</v>
      </c>
      <c r="D372" s="251">
        <f t="shared" si="13"/>
        <v>-0.41525983212298406</v>
      </c>
      <c r="E372" s="251">
        <v>2.1416803953871501E-2</v>
      </c>
      <c r="G372" s="251">
        <v>363</v>
      </c>
      <c r="H372" s="251">
        <f t="shared" ca="1" si="14"/>
        <v>-1.5809570538129016E-2</v>
      </c>
    </row>
    <row r="373" spans="2:8">
      <c r="B373" s="252">
        <v>44517</v>
      </c>
      <c r="C373" s="251">
        <v>530.15</v>
      </c>
      <c r="D373" s="251">
        <f t="shared" si="13"/>
        <v>-0.15663129762491854</v>
      </c>
      <c r="E373" s="251">
        <v>2.1385223003564248E-2</v>
      </c>
      <c r="G373" s="251">
        <v>364</v>
      </c>
      <c r="H373" s="251">
        <f t="shared" ca="1" si="14"/>
        <v>-7.2931608733908327E-3</v>
      </c>
    </row>
    <row r="374" spans="2:8">
      <c r="B374" s="252">
        <v>45209</v>
      </c>
      <c r="C374" s="251">
        <v>628.61</v>
      </c>
      <c r="D374" s="251">
        <f t="shared" si="13"/>
        <v>4.9519993321646159E-2</v>
      </c>
      <c r="E374" s="251">
        <v>2.1382728085140901E-2</v>
      </c>
      <c r="G374" s="251">
        <v>365</v>
      </c>
      <c r="H374" s="251">
        <f t="shared" ca="1" si="14"/>
        <v>-1.0518198015549747E-2</v>
      </c>
    </row>
    <row r="375" spans="2:8">
      <c r="B375" s="252">
        <v>45113</v>
      </c>
      <c r="C375" s="251">
        <v>598.95000000000005</v>
      </c>
      <c r="D375" s="251">
        <f t="shared" si="13"/>
        <v>-0.17754891864057668</v>
      </c>
      <c r="E375" s="251">
        <v>2.1332105586249216E-2</v>
      </c>
      <c r="G375" s="251">
        <v>366</v>
      </c>
      <c r="H375" s="251">
        <f t="shared" ca="1" si="14"/>
        <v>-3.5257382327572124E-3</v>
      </c>
    </row>
    <row r="376" spans="2:8">
      <c r="B376" s="252">
        <v>45685</v>
      </c>
      <c r="C376" s="251">
        <v>728.25</v>
      </c>
      <c r="D376" s="251">
        <f t="shared" si="13"/>
        <v>2.5473132815140295E-2</v>
      </c>
      <c r="E376" s="251">
        <v>2.1316878199284829E-2</v>
      </c>
      <c r="G376" s="251">
        <v>367</v>
      </c>
      <c r="H376" s="251">
        <f t="shared" ca="1" si="14"/>
        <v>-3.0635767545727541E-2</v>
      </c>
    </row>
    <row r="377" spans="2:8">
      <c r="B377" s="252">
        <v>45259</v>
      </c>
      <c r="C377" s="251">
        <v>710.16</v>
      </c>
      <c r="D377" s="251">
        <f t="shared" si="13"/>
        <v>0.65307262569832381</v>
      </c>
      <c r="E377" s="251">
        <v>2.1298626590925355E-2</v>
      </c>
      <c r="G377" s="251">
        <v>368</v>
      </c>
      <c r="H377" s="251">
        <f t="shared" ca="1" si="14"/>
        <v>-2.2642019534715346E-4</v>
      </c>
    </row>
    <row r="378" spans="2:8">
      <c r="B378" s="252">
        <v>44708</v>
      </c>
      <c r="C378" s="251">
        <v>429.6</v>
      </c>
      <c r="D378" s="251">
        <f t="shared" si="13"/>
        <v>-0.5580701573912149</v>
      </c>
      <c r="E378" s="251">
        <v>2.1276595744680962E-2</v>
      </c>
      <c r="G378" s="251">
        <v>369</v>
      </c>
      <c r="H378" s="251">
        <f t="shared" ca="1" si="14"/>
        <v>-3.0649676882875718E-2</v>
      </c>
    </row>
    <row r="379" spans="2:8">
      <c r="B379" s="252">
        <v>45470</v>
      </c>
      <c r="C379" s="251">
        <v>972.1</v>
      </c>
      <c r="D379" s="251">
        <f t="shared" si="13"/>
        <v>-6.1770099411253637E-2</v>
      </c>
      <c r="E379" s="251">
        <v>2.1274360455954194E-2</v>
      </c>
      <c r="G379" s="251">
        <v>370</v>
      </c>
      <c r="H379" s="251">
        <f t="shared" ca="1" si="14"/>
        <v>-2.6493802933006939E-2</v>
      </c>
    </row>
    <row r="380" spans="2:8">
      <c r="B380" s="252">
        <v>45358</v>
      </c>
      <c r="C380" s="267">
        <v>1036.0999999999999</v>
      </c>
      <c r="D380" s="251">
        <f t="shared" si="13"/>
        <v>1.7301712779973648</v>
      </c>
      <c r="E380" s="251">
        <v>2.1271143003587831E-2</v>
      </c>
      <c r="G380" s="251">
        <v>371</v>
      </c>
      <c r="H380" s="251">
        <f t="shared" ca="1" si="14"/>
        <v>1.1498828313534382E-2</v>
      </c>
    </row>
    <row r="381" spans="2:8">
      <c r="B381" s="252">
        <v>42353</v>
      </c>
      <c r="C381" s="251">
        <v>379.5</v>
      </c>
      <c r="D381" s="251">
        <f t="shared" si="13"/>
        <v>-0.55676761542145037</v>
      </c>
      <c r="E381" s="251">
        <v>2.1259418729816945E-2</v>
      </c>
      <c r="G381" s="251">
        <v>372</v>
      </c>
      <c r="H381" s="251">
        <f t="shared" ca="1" si="14"/>
        <v>-1.2600999370088697E-2</v>
      </c>
    </row>
    <row r="382" spans="2:8">
      <c r="B382" s="252">
        <v>45321</v>
      </c>
      <c r="C382" s="251">
        <v>856.21</v>
      </c>
      <c r="D382" s="251">
        <f t="shared" si="13"/>
        <v>2.3090241545893719</v>
      </c>
      <c r="E382" s="251">
        <v>2.1230662802209026E-2</v>
      </c>
      <c r="G382" s="251">
        <v>373</v>
      </c>
      <c r="H382" s="251">
        <f t="shared" ca="1" si="14"/>
        <v>3.7766704950354738E-2</v>
      </c>
    </row>
    <row r="383" spans="2:8">
      <c r="B383" s="252">
        <v>43304</v>
      </c>
      <c r="C383" s="251">
        <v>258.75</v>
      </c>
      <c r="D383" s="251">
        <f t="shared" si="13"/>
        <v>-0.66178681131952155</v>
      </c>
      <c r="E383" s="251">
        <v>2.1112865035516945E-2</v>
      </c>
      <c r="G383" s="251">
        <v>374</v>
      </c>
      <c r="H383" s="251">
        <f t="shared" ca="1" si="14"/>
        <v>1.1801101066406541E-2</v>
      </c>
    </row>
    <row r="384" spans="2:8">
      <c r="B384" s="252">
        <v>45659</v>
      </c>
      <c r="C384" s="251">
        <v>765.05</v>
      </c>
      <c r="D384" s="251">
        <f t="shared" si="13"/>
        <v>3.935806451612903</v>
      </c>
      <c r="E384" s="251">
        <v>2.1087754421087693E-2</v>
      </c>
      <c r="G384" s="251">
        <v>375</v>
      </c>
      <c r="H384" s="251">
        <f t="shared" ca="1" si="14"/>
        <v>4.204374524288769E-2</v>
      </c>
    </row>
    <row r="385" spans="2:8">
      <c r="B385" s="252">
        <v>43509</v>
      </c>
      <c r="C385" s="251">
        <v>155</v>
      </c>
      <c r="D385" s="251">
        <f t="shared" si="13"/>
        <v>-0.83495714209657668</v>
      </c>
      <c r="E385" s="251">
        <v>2.1080368906455788E-2</v>
      </c>
      <c r="G385" s="251">
        <v>376</v>
      </c>
      <c r="H385" s="251">
        <f t="shared" ca="1" si="14"/>
        <v>2.8964265770702904E-2</v>
      </c>
    </row>
    <row r="386" spans="2:8">
      <c r="B386" s="252">
        <v>45574</v>
      </c>
      <c r="C386" s="251">
        <v>939.15</v>
      </c>
      <c r="D386" s="251">
        <f t="shared" si="13"/>
        <v>7.0475578406169657</v>
      </c>
      <c r="E386" s="251">
        <v>2.1037181996086132E-2</v>
      </c>
      <c r="G386" s="251">
        <v>377</v>
      </c>
      <c r="H386" s="251">
        <f t="shared" ca="1" si="14"/>
        <v>7.3530306881271473E-3</v>
      </c>
    </row>
    <row r="387" spans="2:8">
      <c r="B387" s="252">
        <v>43707</v>
      </c>
      <c r="C387" s="251">
        <v>116.7</v>
      </c>
      <c r="D387" s="251">
        <f t="shared" si="13"/>
        <v>-0.66917080085046066</v>
      </c>
      <c r="E387" s="251">
        <v>2.0997375328084041E-2</v>
      </c>
      <c r="G387" s="251">
        <v>378</v>
      </c>
      <c r="H387" s="251">
        <f t="shared" ca="1" si="14"/>
        <v>2.761919600243656E-2</v>
      </c>
    </row>
    <row r="388" spans="2:8">
      <c r="B388" s="252">
        <v>44355</v>
      </c>
      <c r="C388" s="251">
        <v>352.75</v>
      </c>
      <c r="D388" s="251">
        <f t="shared" si="13"/>
        <v>-0.18683725218994932</v>
      </c>
      <c r="E388" s="251">
        <v>2.0984081041968163E-2</v>
      </c>
      <c r="G388" s="251">
        <v>379</v>
      </c>
      <c r="H388" s="251">
        <f t="shared" ca="1" si="14"/>
        <v>-2.1890130610281638E-2</v>
      </c>
    </row>
    <row r="389" spans="2:8">
      <c r="B389" s="252">
        <v>44637</v>
      </c>
      <c r="C389" s="251">
        <v>433.8</v>
      </c>
      <c r="D389" s="251">
        <f t="shared" si="13"/>
        <v>-0.27098563145954113</v>
      </c>
      <c r="E389" s="251">
        <v>2.0946104965874405E-2</v>
      </c>
      <c r="G389" s="251">
        <v>380</v>
      </c>
      <c r="H389" s="251">
        <f t="shared" ca="1" si="14"/>
        <v>-6.7021454495458229E-3</v>
      </c>
    </row>
    <row r="390" spans="2:8">
      <c r="B390" s="252">
        <v>45758</v>
      </c>
      <c r="C390" s="251">
        <v>595.04999999999995</v>
      </c>
      <c r="D390" s="251">
        <f t="shared" si="13"/>
        <v>0.33875539956803441</v>
      </c>
      <c r="E390" s="251">
        <v>2.0844055584148185E-2</v>
      </c>
      <c r="G390" s="251">
        <v>381</v>
      </c>
      <c r="H390" s="251">
        <f t="shared" ca="1" si="14"/>
        <v>1.9513665182979232E-2</v>
      </c>
    </row>
    <row r="391" spans="2:8">
      <c r="B391" s="252">
        <v>44967</v>
      </c>
      <c r="C391" s="251">
        <v>444.48</v>
      </c>
      <c r="D391" s="251">
        <f t="shared" si="13"/>
        <v>5.815974288775147E-2</v>
      </c>
      <c r="E391" s="251">
        <v>2.0830940952205949E-2</v>
      </c>
      <c r="G391" s="251">
        <v>382</v>
      </c>
      <c r="H391" s="251">
        <f t="shared" ca="1" si="14"/>
        <v>2.034613757029272E-2</v>
      </c>
    </row>
    <row r="392" spans="2:8">
      <c r="B392" s="252">
        <v>44866</v>
      </c>
      <c r="C392" s="251">
        <v>420.05</v>
      </c>
      <c r="D392" s="251">
        <f t="shared" si="13"/>
        <v>-0.53848266769213859</v>
      </c>
      <c r="E392" s="251">
        <v>2.0827257703898105E-2</v>
      </c>
      <c r="G392" s="251">
        <v>383</v>
      </c>
      <c r="H392" s="251">
        <f t="shared" ca="1" si="14"/>
        <v>4.3005317542272985E-2</v>
      </c>
    </row>
    <row r="393" spans="2:8">
      <c r="B393" s="252">
        <v>45583</v>
      </c>
      <c r="C393" s="251">
        <v>910.15</v>
      </c>
      <c r="D393" s="251">
        <f t="shared" si="13"/>
        <v>3.9330623306233061</v>
      </c>
      <c r="E393" s="251">
        <v>2.0805293853746024E-2</v>
      </c>
      <c r="G393" s="251">
        <v>384</v>
      </c>
      <c r="H393" s="251">
        <f t="shared" ca="1" si="14"/>
        <v>-2.321268932092866E-2</v>
      </c>
    </row>
    <row r="394" spans="2:8">
      <c r="B394" s="252">
        <v>43599</v>
      </c>
      <c r="C394" s="251">
        <v>184.5</v>
      </c>
      <c r="D394" s="251">
        <f t="shared" ref="D394:D457" si="15">(C394-C395)/C395</f>
        <v>-0.57381441870134675</v>
      </c>
      <c r="E394" s="251">
        <v>2.0746887966804978E-2</v>
      </c>
      <c r="G394" s="251">
        <v>385</v>
      </c>
      <c r="H394" s="251">
        <f t="shared" ca="1" si="14"/>
        <v>-2.2785991569601819E-2</v>
      </c>
    </row>
    <row r="395" spans="2:8">
      <c r="B395" s="252">
        <v>44824</v>
      </c>
      <c r="C395" s="251">
        <v>432.91</v>
      </c>
      <c r="D395" s="251">
        <f t="shared" si="15"/>
        <v>0.4358540630182422</v>
      </c>
      <c r="E395" s="251">
        <v>2.0677134908285093E-2</v>
      </c>
      <c r="G395" s="251">
        <v>386</v>
      </c>
      <c r="H395" s="251">
        <f t="shared" ref="H395:H458" ca="1" si="16">_xlfn.NORM.INV(RAND(),N$12,N$13)</f>
        <v>-7.9741595029295623E-3</v>
      </c>
    </row>
    <row r="396" spans="2:8">
      <c r="B396" s="252">
        <v>44313</v>
      </c>
      <c r="C396" s="251">
        <v>301.5</v>
      </c>
      <c r="D396" s="251">
        <f t="shared" si="15"/>
        <v>-0.45783132530120485</v>
      </c>
      <c r="E396" s="251">
        <v>2.0649966147596559E-2</v>
      </c>
      <c r="G396" s="251">
        <v>387</v>
      </c>
      <c r="H396" s="251">
        <f t="shared" ca="1" si="16"/>
        <v>7.23588106422795E-4</v>
      </c>
    </row>
    <row r="397" spans="2:8">
      <c r="B397" s="252">
        <v>42657</v>
      </c>
      <c r="C397" s="251">
        <v>556.1</v>
      </c>
      <c r="D397" s="251">
        <f t="shared" si="15"/>
        <v>0.37986650455323701</v>
      </c>
      <c r="E397" s="251">
        <v>2.0647884738918966E-2</v>
      </c>
      <c r="G397" s="251">
        <v>388</v>
      </c>
      <c r="H397" s="251">
        <f t="shared" ca="1" si="16"/>
        <v>5.3903666747664489E-2</v>
      </c>
    </row>
    <row r="398" spans="2:8">
      <c r="B398" s="252">
        <v>44852</v>
      </c>
      <c r="C398" s="251">
        <v>403.01</v>
      </c>
      <c r="D398" s="251">
        <f t="shared" si="15"/>
        <v>1.6610102344007924</v>
      </c>
      <c r="E398" s="251">
        <v>2.0588533225283621E-2</v>
      </c>
      <c r="G398" s="251">
        <v>389</v>
      </c>
      <c r="H398" s="251">
        <f t="shared" ca="1" si="16"/>
        <v>-3.9152925525186592E-3</v>
      </c>
    </row>
    <row r="399" spans="2:8">
      <c r="B399" s="252">
        <v>44090</v>
      </c>
      <c r="C399" s="251">
        <v>151.44999999999999</v>
      </c>
      <c r="D399" s="251">
        <f t="shared" si="15"/>
        <v>-0.17036428375787466</v>
      </c>
      <c r="E399" s="251">
        <v>2.0552560646900152E-2</v>
      </c>
      <c r="G399" s="251">
        <v>390</v>
      </c>
      <c r="H399" s="251">
        <f t="shared" ca="1" si="16"/>
        <v>-7.4566334333868375E-2</v>
      </c>
    </row>
    <row r="400" spans="2:8">
      <c r="B400" s="252">
        <v>44181</v>
      </c>
      <c r="C400" s="251">
        <v>182.55</v>
      </c>
      <c r="D400" s="251">
        <f t="shared" si="15"/>
        <v>4.0467369620974768E-2</v>
      </c>
      <c r="E400" s="251">
        <v>2.0402459474566828E-2</v>
      </c>
      <c r="G400" s="251">
        <v>391</v>
      </c>
      <c r="H400" s="251">
        <f t="shared" ca="1" si="16"/>
        <v>1.8037671052839509E-2</v>
      </c>
    </row>
    <row r="401" spans="2:8">
      <c r="B401" s="252">
        <v>43437</v>
      </c>
      <c r="C401" s="251">
        <v>175.45</v>
      </c>
      <c r="D401" s="251">
        <f t="shared" si="15"/>
        <v>-0.55806045340050381</v>
      </c>
      <c r="E401" s="251">
        <v>2.0354754289037512E-2</v>
      </c>
      <c r="G401" s="251">
        <v>392</v>
      </c>
      <c r="H401" s="251">
        <f t="shared" ca="1" si="16"/>
        <v>-1.9841872967639923E-2</v>
      </c>
    </row>
    <row r="402" spans="2:8">
      <c r="B402" s="252">
        <v>42515</v>
      </c>
      <c r="C402" s="251">
        <v>397</v>
      </c>
      <c r="D402" s="251">
        <f t="shared" si="15"/>
        <v>0.15574963609898107</v>
      </c>
      <c r="E402" s="251">
        <v>2.0303263942431191E-2</v>
      </c>
      <c r="G402" s="251">
        <v>393</v>
      </c>
      <c r="H402" s="251">
        <f t="shared" ca="1" si="16"/>
        <v>2.4149056994771769E-3</v>
      </c>
    </row>
    <row r="403" spans="2:8">
      <c r="B403" s="252">
        <v>42433</v>
      </c>
      <c r="C403" s="251">
        <v>343.5</v>
      </c>
      <c r="D403" s="251">
        <f t="shared" si="15"/>
        <v>-0.18563300142247513</v>
      </c>
      <c r="E403" s="251">
        <v>2.019602019602023E-2</v>
      </c>
      <c r="G403" s="251">
        <v>394</v>
      </c>
      <c r="H403" s="251">
        <f t="shared" ca="1" si="16"/>
        <v>-2.3401983736810742E-2</v>
      </c>
    </row>
    <row r="404" spans="2:8">
      <c r="B404" s="252">
        <v>43056</v>
      </c>
      <c r="C404" s="251">
        <v>421.8</v>
      </c>
      <c r="D404" s="251">
        <f t="shared" si="15"/>
        <v>0.73866446826051124</v>
      </c>
      <c r="E404" s="251">
        <v>2.0195912444068261E-2</v>
      </c>
      <c r="G404" s="251">
        <v>395</v>
      </c>
      <c r="H404" s="251">
        <f t="shared" ca="1" si="16"/>
        <v>1.3471468293193725E-3</v>
      </c>
    </row>
    <row r="405" spans="2:8">
      <c r="B405" s="252">
        <v>44209</v>
      </c>
      <c r="C405" s="251">
        <v>242.6</v>
      </c>
      <c r="D405" s="251">
        <f t="shared" si="15"/>
        <v>1.9071300179748349</v>
      </c>
      <c r="E405" s="251">
        <v>2.018502943650119E-2</v>
      </c>
      <c r="G405" s="251">
        <v>396</v>
      </c>
      <c r="H405" s="251">
        <f t="shared" ca="1" si="16"/>
        <v>1.7363872500439557E-2</v>
      </c>
    </row>
    <row r="406" spans="2:8">
      <c r="B406" s="252">
        <v>43971</v>
      </c>
      <c r="C406" s="251">
        <v>83.45</v>
      </c>
      <c r="D406" s="251">
        <f t="shared" si="15"/>
        <v>-0.75230038587117842</v>
      </c>
      <c r="E406" s="251">
        <v>2.0171149144254347E-2</v>
      </c>
      <c r="G406" s="251">
        <v>397</v>
      </c>
      <c r="H406" s="251">
        <f t="shared" ca="1" si="16"/>
        <v>2.8576846416237964E-2</v>
      </c>
    </row>
    <row r="407" spans="2:8">
      <c r="B407" s="252">
        <v>43217</v>
      </c>
      <c r="C407" s="251">
        <v>336.9</v>
      </c>
      <c r="D407" s="251">
        <f t="shared" si="15"/>
        <v>-0.53991123250256068</v>
      </c>
      <c r="E407" s="251">
        <v>2.0136260408781158E-2</v>
      </c>
      <c r="G407" s="251">
        <v>398</v>
      </c>
      <c r="H407" s="251">
        <f t="shared" ca="1" si="16"/>
        <v>-5.6081643951597655E-2</v>
      </c>
    </row>
    <row r="408" spans="2:8">
      <c r="B408" s="252">
        <v>45818</v>
      </c>
      <c r="C408" s="251">
        <v>732.25</v>
      </c>
      <c r="D408" s="251">
        <f t="shared" si="15"/>
        <v>4.8957326892109494</v>
      </c>
      <c r="E408" s="251">
        <v>2.0130955697966073E-2</v>
      </c>
      <c r="G408" s="251">
        <v>399</v>
      </c>
      <c r="H408" s="251">
        <f t="shared" ca="1" si="16"/>
        <v>-5.0541683203897472E-2</v>
      </c>
    </row>
    <row r="409" spans="2:8">
      <c r="B409" s="252">
        <v>43727</v>
      </c>
      <c r="C409" s="251">
        <v>124.2</v>
      </c>
      <c r="D409" s="251">
        <f t="shared" si="15"/>
        <v>-0.80138169257340242</v>
      </c>
      <c r="E409" s="251">
        <v>2.0123203285420967E-2</v>
      </c>
      <c r="G409" s="251">
        <v>400</v>
      </c>
      <c r="H409" s="251">
        <f t="shared" ca="1" si="16"/>
        <v>-2.4660319904158842E-2</v>
      </c>
    </row>
    <row r="410" spans="2:8">
      <c r="B410" s="252">
        <v>45177</v>
      </c>
      <c r="C410" s="251">
        <v>625.32000000000005</v>
      </c>
      <c r="D410" s="251">
        <f t="shared" si="15"/>
        <v>0.24133002481389587</v>
      </c>
      <c r="E410" s="251">
        <v>2.0081238478980863E-2</v>
      </c>
      <c r="G410" s="251">
        <v>401</v>
      </c>
      <c r="H410" s="251">
        <f t="shared" ca="1" si="16"/>
        <v>2.9316989339618814E-2</v>
      </c>
    </row>
    <row r="411" spans="2:8">
      <c r="B411" s="252">
        <v>42608</v>
      </c>
      <c r="C411" s="251">
        <v>503.75</v>
      </c>
      <c r="D411" s="251">
        <f t="shared" si="15"/>
        <v>0.60455486542443071</v>
      </c>
      <c r="E411" s="251">
        <v>2.0046572846005827E-2</v>
      </c>
      <c r="G411" s="251">
        <v>402</v>
      </c>
      <c r="H411" s="251">
        <f t="shared" ca="1" si="16"/>
        <v>-9.0102490468649543E-3</v>
      </c>
    </row>
    <row r="412" spans="2:8">
      <c r="B412" s="252">
        <v>44294</v>
      </c>
      <c r="C412" s="251">
        <v>313.95</v>
      </c>
      <c r="D412" s="251">
        <f t="shared" si="15"/>
        <v>2.4980501392757657</v>
      </c>
      <c r="E412" s="251">
        <v>1.9980506822612012E-2</v>
      </c>
      <c r="G412" s="251">
        <v>403</v>
      </c>
      <c r="H412" s="251">
        <f t="shared" ca="1" si="16"/>
        <v>-1.6611849993694656E-2</v>
      </c>
    </row>
    <row r="413" spans="2:8">
      <c r="B413" s="252">
        <v>43903</v>
      </c>
      <c r="C413" s="251">
        <v>89.75</v>
      </c>
      <c r="D413" s="251">
        <f t="shared" si="15"/>
        <v>-0.80779526715922478</v>
      </c>
      <c r="E413" s="251">
        <v>1.9886363636363636E-2</v>
      </c>
      <c r="G413" s="251">
        <v>404</v>
      </c>
      <c r="H413" s="251">
        <f t="shared" ca="1" si="16"/>
        <v>-4.0462342959325876E-3</v>
      </c>
    </row>
    <row r="414" spans="2:8">
      <c r="B414" s="252">
        <v>42731</v>
      </c>
      <c r="C414" s="251">
        <v>466.95</v>
      </c>
      <c r="D414" s="251">
        <f t="shared" si="15"/>
        <v>0.45263649090060665</v>
      </c>
      <c r="E414" s="251">
        <v>1.9875505078082265E-2</v>
      </c>
      <c r="G414" s="251">
        <v>405</v>
      </c>
      <c r="H414" s="251">
        <f t="shared" ca="1" si="16"/>
        <v>3.6056129407653278E-2</v>
      </c>
    </row>
    <row r="415" spans="2:8">
      <c r="B415" s="252">
        <v>44265</v>
      </c>
      <c r="C415" s="251">
        <v>321.45</v>
      </c>
      <c r="D415" s="251">
        <f t="shared" si="15"/>
        <v>1.184505606523955</v>
      </c>
      <c r="E415" s="251">
        <v>1.9828680203045686E-2</v>
      </c>
      <c r="G415" s="251">
        <v>406</v>
      </c>
      <c r="H415" s="251">
        <f t="shared" ca="1" si="16"/>
        <v>5.2870348263484246E-2</v>
      </c>
    </row>
    <row r="416" spans="2:8">
      <c r="B416" s="252">
        <v>43672</v>
      </c>
      <c r="C416" s="251">
        <v>147.15</v>
      </c>
      <c r="D416" s="251">
        <f t="shared" si="15"/>
        <v>-0.85638858525921302</v>
      </c>
      <c r="E416" s="251">
        <v>1.975051975051971E-2</v>
      </c>
      <c r="G416" s="251">
        <v>407</v>
      </c>
      <c r="H416" s="251">
        <f t="shared" ca="1" si="16"/>
        <v>-2.284654414910902E-2</v>
      </c>
    </row>
    <row r="417" spans="2:8">
      <c r="B417" s="252">
        <v>45414</v>
      </c>
      <c r="C417" s="267">
        <v>1024.6400000000001</v>
      </c>
      <c r="D417" s="251">
        <f t="shared" si="15"/>
        <v>2.3294557270511782</v>
      </c>
      <c r="E417" s="251">
        <v>1.9745222929936451E-2</v>
      </c>
      <c r="G417" s="251">
        <v>408</v>
      </c>
      <c r="H417" s="251">
        <f t="shared" ca="1" si="16"/>
        <v>-2.7026093175614576E-2</v>
      </c>
    </row>
    <row r="418" spans="2:8">
      <c r="B418" s="252">
        <v>44287</v>
      </c>
      <c r="C418" s="251">
        <v>307.75</v>
      </c>
      <c r="D418" s="251">
        <f t="shared" si="15"/>
        <v>1.5839630562552478</v>
      </c>
      <c r="E418" s="251">
        <v>1.9715043074883989E-2</v>
      </c>
      <c r="G418" s="251">
        <v>409</v>
      </c>
      <c r="H418" s="251">
        <f t="shared" ca="1" si="16"/>
        <v>-1.7073208466942512E-2</v>
      </c>
    </row>
    <row r="419" spans="2:8">
      <c r="B419" s="252">
        <v>44050</v>
      </c>
      <c r="C419" s="251">
        <v>119.1</v>
      </c>
      <c r="D419" s="251">
        <f t="shared" si="15"/>
        <v>-0.82174661378432978</v>
      </c>
      <c r="E419" s="251">
        <v>1.9691780821917783E-2</v>
      </c>
      <c r="G419" s="251">
        <v>410</v>
      </c>
      <c r="H419" s="251">
        <f t="shared" ca="1" si="16"/>
        <v>-3.0055563915971608E-2</v>
      </c>
    </row>
    <row r="420" spans="2:8">
      <c r="B420" s="252">
        <v>45775</v>
      </c>
      <c r="C420" s="251">
        <v>668.15</v>
      </c>
      <c r="D420" s="251">
        <f t="shared" si="15"/>
        <v>0.28280695017759422</v>
      </c>
      <c r="E420" s="251">
        <v>1.9687142312094584E-2</v>
      </c>
      <c r="G420" s="251">
        <v>411</v>
      </c>
      <c r="H420" s="251">
        <f t="shared" ca="1" si="16"/>
        <v>2.8784413080522177E-2</v>
      </c>
    </row>
    <row r="421" spans="2:8">
      <c r="B421" s="252">
        <v>44580</v>
      </c>
      <c r="C421" s="251">
        <v>520.85</v>
      </c>
      <c r="D421" s="251">
        <f t="shared" si="15"/>
        <v>-0.44336386273524919</v>
      </c>
      <c r="E421" s="251">
        <v>1.9675019577133929E-2</v>
      </c>
      <c r="G421" s="251">
        <v>412</v>
      </c>
      <c r="H421" s="251">
        <f t="shared" ca="1" si="16"/>
        <v>-1.3763640757514703E-2</v>
      </c>
    </row>
    <row r="422" spans="2:8">
      <c r="B422" s="252">
        <v>45338</v>
      </c>
      <c r="C422" s="251">
        <v>935.71</v>
      </c>
      <c r="D422" s="251">
        <f t="shared" si="15"/>
        <v>0.4040423744072984</v>
      </c>
      <c r="E422" s="251">
        <v>1.9602928997951453E-2</v>
      </c>
      <c r="G422" s="251">
        <v>413</v>
      </c>
      <c r="H422" s="251">
        <f t="shared" ca="1" si="16"/>
        <v>6.2070755348318267E-3</v>
      </c>
    </row>
    <row r="423" spans="2:8">
      <c r="B423" s="252">
        <v>45217</v>
      </c>
      <c r="C423" s="251">
        <v>666.44</v>
      </c>
      <c r="D423" s="251">
        <f t="shared" si="15"/>
        <v>0.71652285898261447</v>
      </c>
      <c r="E423" s="251">
        <v>1.9520254558805693E-2</v>
      </c>
      <c r="G423" s="251">
        <v>414</v>
      </c>
      <c r="H423" s="251">
        <f t="shared" ca="1" si="16"/>
        <v>1.929273403418862E-2</v>
      </c>
    </row>
    <row r="424" spans="2:8">
      <c r="B424" s="252">
        <v>44935</v>
      </c>
      <c r="C424" s="251">
        <v>388.25</v>
      </c>
      <c r="D424" s="251">
        <f t="shared" si="15"/>
        <v>7.7873403664630789E-2</v>
      </c>
      <c r="E424" s="251">
        <v>1.948375915762943E-2</v>
      </c>
      <c r="G424" s="251">
        <v>415</v>
      </c>
      <c r="H424" s="251">
        <f t="shared" ca="1" si="16"/>
        <v>1.293855434366746E-2</v>
      </c>
    </row>
    <row r="425" spans="2:8">
      <c r="B425" s="252">
        <v>42380</v>
      </c>
      <c r="C425" s="251">
        <v>360.2</v>
      </c>
      <c r="D425" s="251">
        <f t="shared" si="15"/>
        <v>-0.27305751765893038</v>
      </c>
      <c r="E425" s="251">
        <v>1.9385878024621384E-2</v>
      </c>
      <c r="G425" s="251">
        <v>416</v>
      </c>
      <c r="H425" s="251">
        <f t="shared" ca="1" si="16"/>
        <v>5.5746194344780267E-3</v>
      </c>
    </row>
    <row r="426" spans="2:8">
      <c r="B426" s="252">
        <v>44523</v>
      </c>
      <c r="C426" s="251">
        <v>495.5</v>
      </c>
      <c r="D426" s="251">
        <f t="shared" si="15"/>
        <v>1.8041878890775327</v>
      </c>
      <c r="E426" s="251">
        <v>1.9337584859082445E-2</v>
      </c>
      <c r="G426" s="251">
        <v>417</v>
      </c>
      <c r="H426" s="251">
        <f t="shared" ca="1" si="16"/>
        <v>-3.2185078122537417E-2</v>
      </c>
    </row>
    <row r="427" spans="2:8">
      <c r="B427" s="252">
        <v>43812</v>
      </c>
      <c r="C427" s="251">
        <v>176.7</v>
      </c>
      <c r="D427" s="251">
        <f t="shared" si="15"/>
        <v>-0.6755238077749417</v>
      </c>
      <c r="E427" s="251">
        <v>1.9325064897605968E-2</v>
      </c>
      <c r="G427" s="251">
        <v>418</v>
      </c>
      <c r="H427" s="251">
        <f t="shared" ca="1" si="16"/>
        <v>2.0308186589263533E-2</v>
      </c>
    </row>
    <row r="428" spans="2:8">
      <c r="B428" s="252">
        <v>45082</v>
      </c>
      <c r="C428" s="251">
        <v>544.57000000000005</v>
      </c>
      <c r="D428" s="251">
        <f t="shared" si="15"/>
        <v>0.76350388601036279</v>
      </c>
      <c r="E428" s="251">
        <v>1.9316799251286945E-2</v>
      </c>
      <c r="G428" s="251">
        <v>419</v>
      </c>
      <c r="H428" s="251">
        <f t="shared" ca="1" si="16"/>
        <v>-1.1370611563855014E-2</v>
      </c>
    </row>
    <row r="429" spans="2:8">
      <c r="B429" s="252">
        <v>43269</v>
      </c>
      <c r="C429" s="251">
        <v>308.8</v>
      </c>
      <c r="D429" s="251">
        <f t="shared" si="15"/>
        <v>-0.22548281916227736</v>
      </c>
      <c r="E429" s="251">
        <v>1.9310117181053056E-2</v>
      </c>
      <c r="G429" s="251">
        <v>420</v>
      </c>
      <c r="H429" s="251">
        <f t="shared" ca="1" si="16"/>
        <v>2.1200702442347466E-2</v>
      </c>
    </row>
    <row r="430" spans="2:8">
      <c r="B430" s="252">
        <v>42496</v>
      </c>
      <c r="C430" s="251">
        <v>398.7</v>
      </c>
      <c r="D430" s="251">
        <f t="shared" si="15"/>
        <v>2.4672320740169534E-2</v>
      </c>
      <c r="E430" s="251">
        <v>1.9302058034002333E-2</v>
      </c>
      <c r="G430" s="251">
        <v>421</v>
      </c>
      <c r="H430" s="251">
        <f t="shared" ca="1" si="16"/>
        <v>3.2492656317716549E-2</v>
      </c>
    </row>
    <row r="431" spans="2:8">
      <c r="B431" s="252">
        <v>42514</v>
      </c>
      <c r="C431" s="251">
        <v>389.1</v>
      </c>
      <c r="D431" s="251">
        <f t="shared" si="15"/>
        <v>-0.47140334193723676</v>
      </c>
      <c r="E431" s="251">
        <v>1.925343811394898E-2</v>
      </c>
      <c r="G431" s="251">
        <v>422</v>
      </c>
      <c r="H431" s="251">
        <f t="shared" ca="1" si="16"/>
        <v>-1.6475948888620601E-2</v>
      </c>
    </row>
    <row r="432" spans="2:8">
      <c r="B432" s="252">
        <v>45650</v>
      </c>
      <c r="C432" s="251">
        <v>736.1</v>
      </c>
      <c r="D432" s="251">
        <f t="shared" si="15"/>
        <v>3.084905660377359</v>
      </c>
      <c r="E432" s="251">
        <v>1.9246746053724697E-2</v>
      </c>
      <c r="G432" s="251">
        <v>423</v>
      </c>
      <c r="H432" s="251">
        <f t="shared" ca="1" si="16"/>
        <v>7.7627276775882005E-3</v>
      </c>
    </row>
    <row r="433" spans="2:8">
      <c r="B433" s="252">
        <v>43419</v>
      </c>
      <c r="C433" s="251">
        <v>180.2</v>
      </c>
      <c r="D433" s="251">
        <f t="shared" si="15"/>
        <v>-0.62473969179508537</v>
      </c>
      <c r="E433" s="251">
        <v>1.92307692307691E-2</v>
      </c>
      <c r="G433" s="251">
        <v>424</v>
      </c>
      <c r="H433" s="251">
        <f t="shared" ca="1" si="16"/>
        <v>2.4472510415429E-2</v>
      </c>
    </row>
    <row r="434" spans="2:8">
      <c r="B434" s="252">
        <v>44558</v>
      </c>
      <c r="C434" s="251">
        <v>480.2</v>
      </c>
      <c r="D434" s="251">
        <f t="shared" si="15"/>
        <v>0.53934925468825134</v>
      </c>
      <c r="E434" s="251">
        <v>1.9208320067918946E-2</v>
      </c>
      <c r="G434" s="251">
        <v>425</v>
      </c>
      <c r="H434" s="251">
        <f t="shared" ca="1" si="16"/>
        <v>5.3923883679689831E-2</v>
      </c>
    </row>
    <row r="435" spans="2:8">
      <c r="B435" s="252">
        <v>44454</v>
      </c>
      <c r="C435" s="251">
        <v>311.95</v>
      </c>
      <c r="D435" s="251">
        <f t="shared" si="15"/>
        <v>6.0513343532211501E-2</v>
      </c>
      <c r="E435" s="251">
        <v>1.9111401502776758E-2</v>
      </c>
      <c r="G435" s="251">
        <v>426</v>
      </c>
      <c r="H435" s="251">
        <f t="shared" ca="1" si="16"/>
        <v>-4.6801828478241856E-3</v>
      </c>
    </row>
    <row r="436" spans="2:8">
      <c r="B436" s="252">
        <v>43245</v>
      </c>
      <c r="C436" s="251">
        <v>294.14999999999998</v>
      </c>
      <c r="D436" s="251">
        <f t="shared" si="15"/>
        <v>0.74569732937685451</v>
      </c>
      <c r="E436" s="251">
        <v>1.9054217910964837E-2</v>
      </c>
      <c r="G436" s="251">
        <v>427</v>
      </c>
      <c r="H436" s="251">
        <f t="shared" ca="1" si="16"/>
        <v>2.4873263369729417E-2</v>
      </c>
    </row>
    <row r="437" spans="2:8">
      <c r="B437" s="252">
        <v>43399</v>
      </c>
      <c r="C437" s="251">
        <v>168.5</v>
      </c>
      <c r="D437" s="251">
        <f t="shared" si="15"/>
        <v>-0.76604695722199856</v>
      </c>
      <c r="E437" s="251">
        <v>1.9050498941638981E-2</v>
      </c>
      <c r="G437" s="251">
        <v>428</v>
      </c>
      <c r="H437" s="251">
        <f t="shared" ca="1" si="16"/>
        <v>1.6306832179458192E-2</v>
      </c>
    </row>
    <row r="438" spans="2:8">
      <c r="B438" s="252">
        <v>45266</v>
      </c>
      <c r="C438" s="251">
        <v>720.23</v>
      </c>
      <c r="D438" s="251">
        <f t="shared" si="15"/>
        <v>0.59798983825519747</v>
      </c>
      <c r="E438" s="251">
        <v>1.9044385019171776E-2</v>
      </c>
      <c r="G438" s="251">
        <v>429</v>
      </c>
      <c r="H438" s="251">
        <f t="shared" ca="1" si="16"/>
        <v>-1.7772434396998028E-2</v>
      </c>
    </row>
    <row r="439" spans="2:8">
      <c r="B439" s="252">
        <v>44957</v>
      </c>
      <c r="C439" s="251">
        <v>450.71</v>
      </c>
      <c r="D439" s="251">
        <f t="shared" si="15"/>
        <v>0.34500149209191272</v>
      </c>
      <c r="E439" s="251">
        <v>1.903728323045956E-2</v>
      </c>
      <c r="G439" s="251">
        <v>430</v>
      </c>
      <c r="H439" s="251">
        <f t="shared" ca="1" si="16"/>
        <v>-5.27519033487107E-3</v>
      </c>
    </row>
    <row r="440" spans="2:8">
      <c r="B440" s="252">
        <v>42242</v>
      </c>
      <c r="C440" s="251">
        <v>335.1</v>
      </c>
      <c r="D440" s="251">
        <f t="shared" si="15"/>
        <v>-0.13422038496318303</v>
      </c>
      <c r="E440" s="251">
        <v>1.9005625665196896E-2</v>
      </c>
      <c r="G440" s="251">
        <v>431</v>
      </c>
      <c r="H440" s="251">
        <f t="shared" ca="1" si="16"/>
        <v>7.8132286832461803E-3</v>
      </c>
    </row>
    <row r="441" spans="2:8">
      <c r="B441" s="252">
        <v>42502</v>
      </c>
      <c r="C441" s="251">
        <v>387.05</v>
      </c>
      <c r="D441" s="251">
        <f t="shared" si="15"/>
        <v>-5.120851105554735E-2</v>
      </c>
      <c r="E441" s="251">
        <v>1.8954850598920596E-2</v>
      </c>
      <c r="G441" s="251">
        <v>432</v>
      </c>
      <c r="H441" s="251">
        <f t="shared" ca="1" si="16"/>
        <v>1.3483172028129641E-2</v>
      </c>
    </row>
    <row r="442" spans="2:8">
      <c r="B442" s="252">
        <v>45014</v>
      </c>
      <c r="C442" s="251">
        <v>407.94</v>
      </c>
      <c r="D442" s="251">
        <f t="shared" si="15"/>
        <v>-0.3386722866174921</v>
      </c>
      <c r="E442" s="251">
        <v>1.8932960335697833E-2</v>
      </c>
      <c r="G442" s="251">
        <v>433</v>
      </c>
      <c r="H442" s="251">
        <f t="shared" ca="1" si="16"/>
        <v>1.7548878358605081E-3</v>
      </c>
    </row>
    <row r="443" spans="2:8">
      <c r="B443" s="252">
        <v>45154</v>
      </c>
      <c r="C443" s="251">
        <v>616.85</v>
      </c>
      <c r="D443" s="251">
        <f t="shared" si="15"/>
        <v>4.9627839536007734</v>
      </c>
      <c r="E443" s="251">
        <v>1.8778489793221914E-2</v>
      </c>
      <c r="G443" s="251">
        <v>434</v>
      </c>
      <c r="H443" s="251">
        <f t="shared" ca="1" si="16"/>
        <v>2.3668662874464192E-2</v>
      </c>
    </row>
    <row r="444" spans="2:8">
      <c r="B444" s="252">
        <v>44015</v>
      </c>
      <c r="C444" s="251">
        <v>103.45</v>
      </c>
      <c r="D444" s="251">
        <f t="shared" si="15"/>
        <v>-0.85283448324916422</v>
      </c>
      <c r="E444" s="251">
        <v>1.870999507631714E-2</v>
      </c>
      <c r="G444" s="251">
        <v>435</v>
      </c>
      <c r="H444" s="251">
        <f t="shared" ca="1" si="16"/>
        <v>-2.092923579559771E-2</v>
      </c>
    </row>
    <row r="445" spans="2:8">
      <c r="B445" s="252">
        <v>45737</v>
      </c>
      <c r="C445" s="251">
        <v>702.95</v>
      </c>
      <c r="D445" s="251">
        <f t="shared" si="15"/>
        <v>0.94077857537272247</v>
      </c>
      <c r="E445" s="251">
        <v>1.8694297514672983E-2</v>
      </c>
      <c r="G445" s="251">
        <v>436</v>
      </c>
      <c r="H445" s="251">
        <f t="shared" ca="1" si="16"/>
        <v>2.967989219121803E-2</v>
      </c>
    </row>
    <row r="446" spans="2:8">
      <c r="B446" s="252">
        <v>43195</v>
      </c>
      <c r="C446" s="251">
        <v>362.2</v>
      </c>
      <c r="D446" s="251">
        <f t="shared" si="15"/>
        <v>-0.11980558930741193</v>
      </c>
      <c r="E446" s="251">
        <v>1.8560179977502714E-2</v>
      </c>
      <c r="G446" s="251">
        <v>437</v>
      </c>
      <c r="H446" s="251">
        <f t="shared" ca="1" si="16"/>
        <v>-5.8433814374506243E-3</v>
      </c>
    </row>
    <row r="447" spans="2:8">
      <c r="B447" s="252">
        <v>42481</v>
      </c>
      <c r="C447" s="251">
        <v>411.5</v>
      </c>
      <c r="D447" s="251">
        <f t="shared" si="15"/>
        <v>-0.48128072608092776</v>
      </c>
      <c r="E447" s="251">
        <v>1.8312298935906895E-2</v>
      </c>
      <c r="G447" s="251">
        <v>438</v>
      </c>
      <c r="H447" s="251">
        <f t="shared" ca="1" si="16"/>
        <v>-7.096325686930876E-4</v>
      </c>
    </row>
    <row r="448" spans="2:8">
      <c r="B448" s="252">
        <v>45295</v>
      </c>
      <c r="C448" s="251">
        <v>793.3</v>
      </c>
      <c r="D448" s="251">
        <f t="shared" si="15"/>
        <v>3.1050452781371281</v>
      </c>
      <c r="E448" s="251">
        <v>1.8291508889031513E-2</v>
      </c>
      <c r="G448" s="251">
        <v>439</v>
      </c>
      <c r="H448" s="251">
        <f t="shared" ca="1" si="16"/>
        <v>-7.3637331205647699E-3</v>
      </c>
    </row>
    <row r="449" spans="2:8">
      <c r="B449" s="252">
        <v>43410</v>
      </c>
      <c r="C449" s="251">
        <v>193.25</v>
      </c>
      <c r="D449" s="251">
        <f t="shared" si="15"/>
        <v>-0.63722545522808338</v>
      </c>
      <c r="E449" s="251">
        <v>1.8177028451000991E-2</v>
      </c>
      <c r="G449" s="251">
        <v>440</v>
      </c>
      <c r="H449" s="251">
        <f t="shared" ca="1" si="16"/>
        <v>-4.1139198087253186E-2</v>
      </c>
    </row>
    <row r="450" spans="2:8">
      <c r="B450" s="252">
        <v>42758</v>
      </c>
      <c r="C450" s="251">
        <v>532.70000000000005</v>
      </c>
      <c r="D450" s="251">
        <f t="shared" si="15"/>
        <v>-0.46178327860570845</v>
      </c>
      <c r="E450" s="251">
        <v>1.8157492354740061E-2</v>
      </c>
      <c r="G450" s="251">
        <v>441</v>
      </c>
      <c r="H450" s="251">
        <f t="shared" ca="1" si="16"/>
        <v>-9.3445433637266775E-3</v>
      </c>
    </row>
    <row r="451" spans="2:8">
      <c r="B451" s="252">
        <v>45471</v>
      </c>
      <c r="C451" s="251">
        <v>989.75</v>
      </c>
      <c r="D451" s="251">
        <f t="shared" si="15"/>
        <v>1.3367961279660017</v>
      </c>
      <c r="E451" s="251">
        <v>1.8156568254294802E-2</v>
      </c>
      <c r="G451" s="251">
        <v>442</v>
      </c>
      <c r="H451" s="251">
        <f t="shared" ca="1" si="16"/>
        <v>2.2841905344607297E-2</v>
      </c>
    </row>
    <row r="452" spans="2:8">
      <c r="B452" s="252">
        <v>43012</v>
      </c>
      <c r="C452" s="251">
        <v>423.55</v>
      </c>
      <c r="D452" s="251">
        <f t="shared" si="15"/>
        <v>3.9386503067484688E-2</v>
      </c>
      <c r="E452" s="251">
        <v>1.8149038461538487E-2</v>
      </c>
      <c r="G452" s="251">
        <v>443</v>
      </c>
      <c r="H452" s="251">
        <f t="shared" ca="1" si="16"/>
        <v>-2.5096030301757079E-2</v>
      </c>
    </row>
    <row r="453" spans="2:8">
      <c r="B453" s="252">
        <v>42325</v>
      </c>
      <c r="C453" s="251">
        <v>407.5</v>
      </c>
      <c r="D453" s="251">
        <f t="shared" si="15"/>
        <v>-0.60326346226865157</v>
      </c>
      <c r="E453" s="251">
        <v>1.811367895065584E-2</v>
      </c>
      <c r="G453" s="251">
        <v>444</v>
      </c>
      <c r="H453" s="251">
        <f t="shared" ca="1" si="16"/>
        <v>1.2001785919325016E-2</v>
      </c>
    </row>
    <row r="454" spans="2:8">
      <c r="B454" s="252">
        <v>45421</v>
      </c>
      <c r="C454" s="267">
        <v>1027.1300000000001</v>
      </c>
      <c r="D454" s="251">
        <f t="shared" si="15"/>
        <v>2.0205263931774744</v>
      </c>
      <c r="E454" s="251">
        <v>1.7978374414018079E-2</v>
      </c>
      <c r="G454" s="251">
        <v>445</v>
      </c>
      <c r="H454" s="251">
        <f t="shared" ca="1" si="16"/>
        <v>-1.4648822928120172E-2</v>
      </c>
    </row>
    <row r="455" spans="2:8">
      <c r="B455" s="252">
        <v>42244</v>
      </c>
      <c r="C455" s="251">
        <v>340.05</v>
      </c>
      <c r="D455" s="251">
        <f t="shared" si="15"/>
        <v>-0.203032717727571</v>
      </c>
      <c r="E455" s="251">
        <v>1.7961383026493038E-2</v>
      </c>
      <c r="G455" s="251">
        <v>446</v>
      </c>
      <c r="H455" s="251">
        <f t="shared" ca="1" si="16"/>
        <v>-1.0282063505154987E-2</v>
      </c>
    </row>
    <row r="456" spans="2:8">
      <c r="B456" s="252">
        <v>44988</v>
      </c>
      <c r="C456" s="251">
        <v>426.68</v>
      </c>
      <c r="D456" s="251">
        <f t="shared" si="15"/>
        <v>1.5828087167070219</v>
      </c>
      <c r="E456" s="251">
        <v>1.7940643191144148E-2</v>
      </c>
      <c r="G456" s="251">
        <v>447</v>
      </c>
      <c r="H456" s="251">
        <f t="shared" ca="1" si="16"/>
        <v>3.0137966949130453E-2</v>
      </c>
    </row>
    <row r="457" spans="2:8">
      <c r="B457" s="252">
        <v>43650</v>
      </c>
      <c r="C457" s="251">
        <v>165.2</v>
      </c>
      <c r="D457" s="251">
        <f t="shared" si="15"/>
        <v>-0.58027388907238497</v>
      </c>
      <c r="E457" s="251">
        <v>1.7868145409734918E-2</v>
      </c>
      <c r="G457" s="251">
        <v>448</v>
      </c>
      <c r="H457" s="251">
        <f t="shared" ca="1" si="16"/>
        <v>-1.3722020370747323E-2</v>
      </c>
    </row>
    <row r="458" spans="2:8">
      <c r="B458" s="252">
        <v>44928</v>
      </c>
      <c r="C458" s="251">
        <v>393.59</v>
      </c>
      <c r="D458" s="251">
        <f t="shared" ref="D458:D521" si="17">(C458-C459)/C459</f>
        <v>-0.29672116501384793</v>
      </c>
      <c r="E458" s="251">
        <v>1.7659530458165231E-2</v>
      </c>
      <c r="G458" s="251">
        <v>449</v>
      </c>
      <c r="H458" s="251">
        <f t="shared" ca="1" si="16"/>
        <v>8.2126084212012242E-4</v>
      </c>
    </row>
    <row r="459" spans="2:8">
      <c r="B459" s="252">
        <v>42648</v>
      </c>
      <c r="C459" s="251">
        <v>559.65</v>
      </c>
      <c r="D459" s="251">
        <f t="shared" si="17"/>
        <v>-0.23351366157638842</v>
      </c>
      <c r="E459" s="251">
        <v>1.7637967087916959E-2</v>
      </c>
      <c r="G459" s="251">
        <v>450</v>
      </c>
      <c r="H459" s="251">
        <f t="shared" ref="H459:H522" ca="1" si="18">_xlfn.NORM.INV(RAND(),N$12,N$13)</f>
        <v>9.357164122615327E-3</v>
      </c>
    </row>
    <row r="460" spans="2:8">
      <c r="B460" s="252">
        <v>45275</v>
      </c>
      <c r="C460" s="251">
        <v>730.15</v>
      </c>
      <c r="D460" s="251">
        <f t="shared" si="17"/>
        <v>1.3320025550942189</v>
      </c>
      <c r="E460" s="251">
        <v>1.7573933160520687E-2</v>
      </c>
      <c r="G460" s="251">
        <v>451</v>
      </c>
      <c r="H460" s="251">
        <f t="shared" ca="1" si="18"/>
        <v>7.5139267931500255E-3</v>
      </c>
    </row>
    <row r="461" spans="2:8">
      <c r="B461" s="252">
        <v>44337</v>
      </c>
      <c r="C461" s="251">
        <v>313.10000000000002</v>
      </c>
      <c r="D461" s="251">
        <f t="shared" si="17"/>
        <v>-0.58341094760371481</v>
      </c>
      <c r="E461" s="251">
        <v>1.7549561260968589E-2</v>
      </c>
      <c r="G461" s="251">
        <v>452</v>
      </c>
      <c r="H461" s="251">
        <f t="shared" ca="1" si="18"/>
        <v>9.6345290749810641E-3</v>
      </c>
    </row>
    <row r="462" spans="2:8">
      <c r="B462" s="252">
        <v>45288</v>
      </c>
      <c r="C462" s="251">
        <v>751.58</v>
      </c>
      <c r="D462" s="251">
        <f t="shared" si="17"/>
        <v>3.369651162790698</v>
      </c>
      <c r="E462" s="251">
        <v>1.7546234870434101E-2</v>
      </c>
      <c r="G462" s="251">
        <v>453</v>
      </c>
      <c r="H462" s="251">
        <f t="shared" ca="1" si="18"/>
        <v>-1.0454411239792691E-2</v>
      </c>
    </row>
    <row r="463" spans="2:8">
      <c r="B463" s="252">
        <v>43780</v>
      </c>
      <c r="C463" s="251">
        <v>172</v>
      </c>
      <c r="D463" s="251">
        <f t="shared" si="17"/>
        <v>1.0342992312241277</v>
      </c>
      <c r="E463" s="251">
        <v>1.7450458444247197E-2</v>
      </c>
      <c r="G463" s="251">
        <v>454</v>
      </c>
      <c r="H463" s="251">
        <f t="shared" ca="1" si="18"/>
        <v>4.8367476675555666E-2</v>
      </c>
    </row>
    <row r="464" spans="2:8">
      <c r="B464" s="252">
        <v>43978</v>
      </c>
      <c r="C464" s="251">
        <v>84.55</v>
      </c>
      <c r="D464" s="251">
        <f t="shared" si="17"/>
        <v>-0.75894511760513184</v>
      </c>
      <c r="E464" s="251">
        <v>1.7448856799037338E-2</v>
      </c>
      <c r="G464" s="251">
        <v>455</v>
      </c>
      <c r="H464" s="251">
        <f t="shared" ca="1" si="18"/>
        <v>1.9617420500146844E-2</v>
      </c>
    </row>
    <row r="465" spans="2:8">
      <c r="B465" s="252">
        <v>44358</v>
      </c>
      <c r="C465" s="251">
        <v>350.75</v>
      </c>
      <c r="D465" s="251">
        <f t="shared" si="17"/>
        <v>-0.36692296585084105</v>
      </c>
      <c r="E465" s="251">
        <v>1.7403915881073241E-2</v>
      </c>
      <c r="G465" s="251">
        <v>456</v>
      </c>
      <c r="H465" s="251">
        <f t="shared" ca="1" si="18"/>
        <v>2.9317605337468352E-2</v>
      </c>
    </row>
    <row r="466" spans="2:8">
      <c r="B466" s="252">
        <v>45083</v>
      </c>
      <c r="C466" s="251">
        <v>554.04</v>
      </c>
      <c r="D466" s="251">
        <f t="shared" si="17"/>
        <v>1.0789493433395871</v>
      </c>
      <c r="E466" s="251">
        <v>1.7389867234698778E-2</v>
      </c>
      <c r="G466" s="251">
        <v>457</v>
      </c>
      <c r="H466" s="251">
        <f t="shared" ca="1" si="18"/>
        <v>3.8778507043939175E-2</v>
      </c>
    </row>
    <row r="467" spans="2:8">
      <c r="B467" s="252">
        <v>43348</v>
      </c>
      <c r="C467" s="251">
        <v>266.5</v>
      </c>
      <c r="D467" s="251">
        <f t="shared" si="17"/>
        <v>-0.58714814642685631</v>
      </c>
      <c r="E467" s="251">
        <v>1.7369727047146444E-2</v>
      </c>
      <c r="G467" s="251">
        <v>458</v>
      </c>
      <c r="H467" s="251">
        <f t="shared" ca="1" si="18"/>
        <v>8.9698295038950066E-4</v>
      </c>
    </row>
    <row r="468" spans="2:8">
      <c r="B468" s="252">
        <v>45233</v>
      </c>
      <c r="C468" s="251">
        <v>645.51</v>
      </c>
      <c r="D468" s="251">
        <f t="shared" si="17"/>
        <v>-0.10445338512763591</v>
      </c>
      <c r="E468" s="251">
        <v>1.7368280035934342E-2</v>
      </c>
      <c r="G468" s="251">
        <v>459</v>
      </c>
      <c r="H468" s="251">
        <f t="shared" ca="1" si="18"/>
        <v>-8.1811467306610128E-3</v>
      </c>
    </row>
    <row r="469" spans="2:8">
      <c r="B469" s="252">
        <v>45789</v>
      </c>
      <c r="C469" s="251">
        <v>720.8</v>
      </c>
      <c r="D469" s="251">
        <f t="shared" si="17"/>
        <v>0.55060772292137228</v>
      </c>
      <c r="E469" s="251">
        <v>1.7360621030345736E-2</v>
      </c>
      <c r="G469" s="251">
        <v>460</v>
      </c>
      <c r="H469" s="251">
        <f t="shared" ca="1" si="18"/>
        <v>6.5767555350772861E-2</v>
      </c>
    </row>
    <row r="470" spans="2:8">
      <c r="B470" s="252">
        <v>42696</v>
      </c>
      <c r="C470" s="251">
        <v>464.85</v>
      </c>
      <c r="D470" s="251">
        <f t="shared" si="17"/>
        <v>-7.2618453865336607E-2</v>
      </c>
      <c r="E470" s="251">
        <v>1.7288543604333153E-2</v>
      </c>
      <c r="G470" s="251">
        <v>461</v>
      </c>
      <c r="H470" s="251">
        <f t="shared" ca="1" si="18"/>
        <v>-4.3915637407784848E-3</v>
      </c>
    </row>
    <row r="471" spans="2:8">
      <c r="B471" s="252">
        <v>44601</v>
      </c>
      <c r="C471" s="251">
        <v>501.25</v>
      </c>
      <c r="D471" s="251">
        <f t="shared" si="17"/>
        <v>1.7383228626058451</v>
      </c>
      <c r="E471" s="251">
        <v>1.7250126839167934E-2</v>
      </c>
      <c r="G471" s="251">
        <v>462</v>
      </c>
      <c r="H471" s="251">
        <f t="shared" ca="1" si="18"/>
        <v>2.4273035469289843E-3</v>
      </c>
    </row>
    <row r="472" spans="2:8">
      <c r="B472" s="252">
        <v>43474</v>
      </c>
      <c r="C472" s="251">
        <v>183.05</v>
      </c>
      <c r="D472" s="251">
        <f t="shared" si="17"/>
        <v>-0.65556496377834228</v>
      </c>
      <c r="E472" s="251">
        <v>1.722700750208404E-2</v>
      </c>
      <c r="G472" s="251">
        <v>463</v>
      </c>
      <c r="H472" s="251">
        <f t="shared" ca="1" si="18"/>
        <v>-1.9559895714876412E-2</v>
      </c>
    </row>
    <row r="473" spans="2:8">
      <c r="B473" s="252">
        <v>42754</v>
      </c>
      <c r="C473" s="251">
        <v>531.45000000000005</v>
      </c>
      <c r="D473" s="251">
        <f t="shared" si="17"/>
        <v>-0.21383136094674549</v>
      </c>
      <c r="E473" s="251">
        <v>1.7226528854435829E-2</v>
      </c>
      <c r="G473" s="251">
        <v>464</v>
      </c>
      <c r="H473" s="251">
        <f t="shared" ca="1" si="18"/>
        <v>-5.2011412572979168E-3</v>
      </c>
    </row>
    <row r="474" spans="2:8">
      <c r="B474" s="252">
        <v>45887</v>
      </c>
      <c r="C474" s="251">
        <v>676</v>
      </c>
      <c r="D474" s="251">
        <f t="shared" si="17"/>
        <v>0.76524350437393918</v>
      </c>
      <c r="E474" s="251">
        <v>1.7153174842010198E-2</v>
      </c>
      <c r="G474" s="251">
        <v>465</v>
      </c>
      <c r="H474" s="251">
        <f t="shared" ca="1" si="18"/>
        <v>3.3457503721200633E-2</v>
      </c>
    </row>
    <row r="475" spans="2:8">
      <c r="B475" s="252">
        <v>44477</v>
      </c>
      <c r="C475" s="251">
        <v>382.95</v>
      </c>
      <c r="D475" s="251">
        <f t="shared" si="17"/>
        <v>-0.13192791567494047</v>
      </c>
      <c r="E475" s="251">
        <v>1.7131474103585627E-2</v>
      </c>
      <c r="G475" s="251">
        <v>466</v>
      </c>
      <c r="H475" s="251">
        <f t="shared" ca="1" si="18"/>
        <v>-1.7573883639341283E-2</v>
      </c>
    </row>
    <row r="476" spans="2:8">
      <c r="B476" s="252">
        <v>44652</v>
      </c>
      <c r="C476" s="251">
        <v>441.15</v>
      </c>
      <c r="D476" s="251">
        <f t="shared" si="17"/>
        <v>3.2255747126436778</v>
      </c>
      <c r="E476" s="251">
        <v>1.7060518731988421E-2</v>
      </c>
      <c r="G476" s="251">
        <v>467</v>
      </c>
      <c r="H476" s="251">
        <f t="shared" ca="1" si="18"/>
        <v>1.4685514047871053E-2</v>
      </c>
    </row>
    <row r="477" spans="2:8">
      <c r="B477" s="252">
        <v>44005</v>
      </c>
      <c r="C477" s="251">
        <v>104.4</v>
      </c>
      <c r="D477" s="251">
        <f t="shared" si="17"/>
        <v>-0.72785569052708421</v>
      </c>
      <c r="E477" s="251">
        <v>1.7048222113979543E-2</v>
      </c>
      <c r="G477" s="251">
        <v>468</v>
      </c>
      <c r="H477" s="251">
        <f t="shared" ca="1" si="18"/>
        <v>8.7726334988849491E-3</v>
      </c>
    </row>
    <row r="478" spans="2:8">
      <c r="B478" s="252">
        <v>44921</v>
      </c>
      <c r="C478" s="251">
        <v>383.62</v>
      </c>
      <c r="D478" s="251">
        <f t="shared" si="17"/>
        <v>-0.14380091507644238</v>
      </c>
      <c r="E478" s="251">
        <v>1.704711153530053E-2</v>
      </c>
      <c r="G478" s="251">
        <v>469</v>
      </c>
      <c r="H478" s="251">
        <f t="shared" ca="1" si="18"/>
        <v>2.6555997138357931E-2</v>
      </c>
    </row>
    <row r="479" spans="2:8">
      <c r="B479" s="252">
        <v>44672</v>
      </c>
      <c r="C479" s="251">
        <v>448.05</v>
      </c>
      <c r="D479" s="251">
        <f t="shared" si="17"/>
        <v>0.17923410975128312</v>
      </c>
      <c r="E479" s="251">
        <v>1.7024174327545112E-2</v>
      </c>
      <c r="G479" s="251">
        <v>470</v>
      </c>
      <c r="H479" s="251">
        <f t="shared" ca="1" si="18"/>
        <v>-3.0022218139167924E-2</v>
      </c>
    </row>
    <row r="480" spans="2:8">
      <c r="B480" s="252">
        <v>42970</v>
      </c>
      <c r="C480" s="251">
        <v>379.95</v>
      </c>
      <c r="D480" s="251">
        <f t="shared" si="17"/>
        <v>-0.37643602704654378</v>
      </c>
      <c r="E480" s="251">
        <v>1.6996788008565217E-2</v>
      </c>
      <c r="G480" s="251">
        <v>471</v>
      </c>
      <c r="H480" s="251">
        <f t="shared" ca="1" si="18"/>
        <v>-3.045569493830888E-2</v>
      </c>
    </row>
    <row r="481" spans="2:8">
      <c r="B481" s="252">
        <v>45170</v>
      </c>
      <c r="C481" s="251">
        <v>609.32000000000005</v>
      </c>
      <c r="D481" s="251">
        <f t="shared" si="17"/>
        <v>0.10795526866078735</v>
      </c>
      <c r="E481" s="251">
        <v>1.6974046565968577E-2</v>
      </c>
      <c r="G481" s="251">
        <v>472</v>
      </c>
      <c r="H481" s="251">
        <f t="shared" ca="1" si="18"/>
        <v>1.0022391913854685E-2</v>
      </c>
    </row>
    <row r="482" spans="2:8">
      <c r="B482" s="252">
        <v>42647</v>
      </c>
      <c r="C482" s="251">
        <v>549.95000000000005</v>
      </c>
      <c r="D482" s="251">
        <f t="shared" si="17"/>
        <v>3.0737512885390485E-2</v>
      </c>
      <c r="E482" s="251">
        <v>1.6919378698225022E-2</v>
      </c>
      <c r="G482" s="251">
        <v>473</v>
      </c>
      <c r="H482" s="251">
        <f t="shared" ca="1" si="18"/>
        <v>6.9895014485290763E-3</v>
      </c>
    </row>
    <row r="483" spans="2:8">
      <c r="B483" s="252">
        <v>45078</v>
      </c>
      <c r="C483" s="251">
        <v>533.54999999999995</v>
      </c>
      <c r="D483" s="251">
        <f t="shared" si="17"/>
        <v>-0.34656411889336586</v>
      </c>
      <c r="E483" s="251">
        <v>1.6905542425859583E-2</v>
      </c>
      <c r="G483" s="251">
        <v>474</v>
      </c>
      <c r="H483" s="251">
        <f t="shared" ca="1" si="18"/>
        <v>-1.1021287812412474E-2</v>
      </c>
    </row>
    <row r="484" spans="2:8">
      <c r="B484" s="252">
        <v>45309</v>
      </c>
      <c r="C484" s="251">
        <v>816.53</v>
      </c>
      <c r="D484" s="251">
        <f t="shared" si="17"/>
        <v>3.8937968234941565</v>
      </c>
      <c r="E484" s="251">
        <v>1.6760680887095671E-2</v>
      </c>
      <c r="G484" s="251">
        <v>475</v>
      </c>
      <c r="H484" s="251">
        <f t="shared" ca="1" si="18"/>
        <v>3.7673538850666599E-2</v>
      </c>
    </row>
    <row r="485" spans="2:8">
      <c r="B485" s="252">
        <v>43447</v>
      </c>
      <c r="C485" s="251">
        <v>166.85</v>
      </c>
      <c r="D485" s="251">
        <f t="shared" si="17"/>
        <v>1.1982872200263501</v>
      </c>
      <c r="E485" s="251">
        <v>1.6758074344911639E-2</v>
      </c>
      <c r="G485" s="251">
        <v>476</v>
      </c>
      <c r="H485" s="251">
        <f t="shared" ca="1" si="18"/>
        <v>1.7407453829884331E-2</v>
      </c>
    </row>
    <row r="486" spans="2:8">
      <c r="B486" s="252">
        <v>43943</v>
      </c>
      <c r="C486" s="251">
        <v>75.900000000000006</v>
      </c>
      <c r="D486" s="251">
        <f t="shared" si="17"/>
        <v>-0.79851340589328368</v>
      </c>
      <c r="E486" s="251">
        <v>1.6744809109176154E-2</v>
      </c>
      <c r="G486" s="251">
        <v>477</v>
      </c>
      <c r="H486" s="251">
        <f t="shared" ca="1" si="18"/>
        <v>-5.1628398668544318E-4</v>
      </c>
    </row>
    <row r="487" spans="2:8">
      <c r="B487" s="252">
        <v>42466</v>
      </c>
      <c r="C487" s="251">
        <v>376.7</v>
      </c>
      <c r="D487" s="251">
        <f t="shared" si="17"/>
        <v>0.31162952646239556</v>
      </c>
      <c r="E487" s="251">
        <v>1.6734143049932492E-2</v>
      </c>
      <c r="G487" s="251">
        <v>478</v>
      </c>
      <c r="H487" s="251">
        <f t="shared" ca="1" si="18"/>
        <v>-2.5077187531138542E-3</v>
      </c>
    </row>
    <row r="488" spans="2:8">
      <c r="B488" s="252">
        <v>43252</v>
      </c>
      <c r="C488" s="251">
        <v>287.2</v>
      </c>
      <c r="D488" s="251">
        <f t="shared" si="17"/>
        <v>-0.35924322877158543</v>
      </c>
      <c r="E488" s="251">
        <v>1.6637168141592881E-2</v>
      </c>
      <c r="G488" s="251">
        <v>479</v>
      </c>
      <c r="H488" s="251">
        <f t="shared" ca="1" si="18"/>
        <v>9.3582874354809133E-3</v>
      </c>
    </row>
    <row r="489" spans="2:8">
      <c r="B489" s="252">
        <v>44771</v>
      </c>
      <c r="C489" s="251">
        <v>448.22</v>
      </c>
      <c r="D489" s="251">
        <f t="shared" si="17"/>
        <v>-1.6522216127262693E-2</v>
      </c>
      <c r="E489" s="251">
        <v>1.6625462133412056E-2</v>
      </c>
      <c r="G489" s="251">
        <v>480</v>
      </c>
      <c r="H489" s="251">
        <f t="shared" ca="1" si="18"/>
        <v>-6.0756622440545402E-2</v>
      </c>
    </row>
    <row r="490" spans="2:8">
      <c r="B490" s="252">
        <v>42902</v>
      </c>
      <c r="C490" s="251">
        <v>455.75</v>
      </c>
      <c r="D490" s="251">
        <f t="shared" si="17"/>
        <v>8.7579047846319022E-2</v>
      </c>
      <c r="E490" s="251">
        <v>1.6618335935757279E-2</v>
      </c>
      <c r="G490" s="251">
        <v>481</v>
      </c>
      <c r="H490" s="251">
        <f t="shared" ca="1" si="18"/>
        <v>2.3078611520645428E-2</v>
      </c>
    </row>
    <row r="491" spans="2:8">
      <c r="B491" s="252">
        <v>42486</v>
      </c>
      <c r="C491" s="251">
        <v>419.05</v>
      </c>
      <c r="D491" s="251">
        <f t="shared" si="17"/>
        <v>-0.22620256670667518</v>
      </c>
      <c r="E491" s="251">
        <v>1.661814653081034E-2</v>
      </c>
      <c r="G491" s="251">
        <v>482</v>
      </c>
      <c r="H491" s="251">
        <f t="shared" ca="1" si="18"/>
        <v>4.0774025584713073E-3</v>
      </c>
    </row>
    <row r="492" spans="2:8">
      <c r="B492" s="252">
        <v>42759</v>
      </c>
      <c r="C492" s="251">
        <v>541.54999999999995</v>
      </c>
      <c r="D492" s="251">
        <f t="shared" si="17"/>
        <v>3.3117038216560504</v>
      </c>
      <c r="E492" s="251">
        <v>1.6613478505725376E-2</v>
      </c>
      <c r="G492" s="251">
        <v>483</v>
      </c>
      <c r="H492" s="251">
        <f t="shared" ca="1" si="18"/>
        <v>2.2033418270713916E-2</v>
      </c>
    </row>
    <row r="493" spans="2:8">
      <c r="B493" s="252">
        <v>44061</v>
      </c>
      <c r="C493" s="251">
        <v>125.6</v>
      </c>
      <c r="D493" s="251">
        <f t="shared" si="17"/>
        <v>-0.61742308863844053</v>
      </c>
      <c r="E493" s="251">
        <v>1.6592472683124217E-2</v>
      </c>
      <c r="G493" s="251">
        <v>484</v>
      </c>
      <c r="H493" s="251">
        <f t="shared" ca="1" si="18"/>
        <v>-1.6016362944395464E-2</v>
      </c>
    </row>
    <row r="494" spans="2:8">
      <c r="B494" s="252">
        <v>44256</v>
      </c>
      <c r="C494" s="251">
        <v>328.3</v>
      </c>
      <c r="D494" s="251">
        <f t="shared" si="17"/>
        <v>-9.3969918587001544E-2</v>
      </c>
      <c r="E494" s="251">
        <v>1.6566031893482033E-2</v>
      </c>
      <c r="G494" s="251">
        <v>485</v>
      </c>
      <c r="H494" s="251">
        <f t="shared" ca="1" si="18"/>
        <v>-5.2308821064944236E-2</v>
      </c>
    </row>
    <row r="495" spans="2:8">
      <c r="B495" s="252">
        <v>42289</v>
      </c>
      <c r="C495" s="251">
        <v>362.35</v>
      </c>
      <c r="D495" s="251">
        <f t="shared" si="17"/>
        <v>2.2865208186309167E-2</v>
      </c>
      <c r="E495" s="251">
        <v>1.6552111095525415E-2</v>
      </c>
      <c r="G495" s="251">
        <v>486</v>
      </c>
      <c r="H495" s="251">
        <f t="shared" ca="1" si="18"/>
        <v>2.6363401781919642E-2</v>
      </c>
    </row>
    <row r="496" spans="2:8">
      <c r="B496" s="252">
        <v>42440</v>
      </c>
      <c r="C496" s="251">
        <v>354.25</v>
      </c>
      <c r="D496" s="251">
        <f t="shared" si="17"/>
        <v>-0.25010584250635054</v>
      </c>
      <c r="E496" s="251">
        <v>1.6499282639885222E-2</v>
      </c>
      <c r="G496" s="251">
        <v>487</v>
      </c>
      <c r="H496" s="251">
        <f t="shared" ca="1" si="18"/>
        <v>1.8172797476007294E-2</v>
      </c>
    </row>
    <row r="497" spans="2:8">
      <c r="B497" s="252">
        <v>42822</v>
      </c>
      <c r="C497" s="251">
        <v>472.4</v>
      </c>
      <c r="D497" s="251">
        <f t="shared" si="17"/>
        <v>-7.3089375061316589E-2</v>
      </c>
      <c r="E497" s="251">
        <v>1.6460462614308721E-2</v>
      </c>
      <c r="G497" s="251">
        <v>488</v>
      </c>
      <c r="H497" s="251">
        <f t="shared" ca="1" si="18"/>
        <v>-2.2704617822277107E-2</v>
      </c>
    </row>
    <row r="498" spans="2:8">
      <c r="B498" s="252">
        <v>44509</v>
      </c>
      <c r="C498" s="251">
        <v>509.65</v>
      </c>
      <c r="D498" s="251">
        <f t="shared" si="17"/>
        <v>-5.2166635670448325E-2</v>
      </c>
      <c r="E498" s="251">
        <v>1.6453928998803352E-2</v>
      </c>
      <c r="G498" s="251">
        <v>489</v>
      </c>
      <c r="H498" s="251">
        <f t="shared" ca="1" si="18"/>
        <v>1.6849822276698893E-2</v>
      </c>
    </row>
    <row r="499" spans="2:8">
      <c r="B499" s="252">
        <v>42613</v>
      </c>
      <c r="C499" s="251">
        <v>537.70000000000005</v>
      </c>
      <c r="D499" s="251">
        <f t="shared" si="17"/>
        <v>0.89064697609001442</v>
      </c>
      <c r="E499" s="251">
        <v>1.6446124763705189E-2</v>
      </c>
      <c r="G499" s="251">
        <v>490</v>
      </c>
      <c r="H499" s="251">
        <f t="shared" ca="1" si="18"/>
        <v>2.4834313172135469E-2</v>
      </c>
    </row>
    <row r="500" spans="2:8">
      <c r="B500" s="252">
        <v>44433</v>
      </c>
      <c r="C500" s="251">
        <v>284.39999999999998</v>
      </c>
      <c r="D500" s="251">
        <f t="shared" si="17"/>
        <v>-0.67624793670669936</v>
      </c>
      <c r="E500" s="251">
        <v>1.6440314510364422E-2</v>
      </c>
      <c r="G500" s="251">
        <v>491</v>
      </c>
      <c r="H500" s="251">
        <f t="shared" ca="1" si="18"/>
        <v>3.4349680992709755E-2</v>
      </c>
    </row>
    <row r="501" spans="2:8">
      <c r="B501" s="252">
        <v>45593</v>
      </c>
      <c r="C501" s="251">
        <v>878.45</v>
      </c>
      <c r="D501" s="251">
        <f t="shared" si="17"/>
        <v>0.8654703758759823</v>
      </c>
      <c r="E501" s="251">
        <v>1.6371630220988188E-2</v>
      </c>
      <c r="G501" s="251">
        <v>492</v>
      </c>
      <c r="H501" s="251">
        <f t="shared" ca="1" si="18"/>
        <v>2.1581273958834961E-2</v>
      </c>
    </row>
    <row r="502" spans="2:8">
      <c r="B502" s="252">
        <v>42733</v>
      </c>
      <c r="C502" s="251">
        <v>470.9</v>
      </c>
      <c r="D502" s="251">
        <f t="shared" si="17"/>
        <v>0.53838614831754306</v>
      </c>
      <c r="E502" s="251">
        <v>1.6294377900075437E-2</v>
      </c>
      <c r="G502" s="251">
        <v>493</v>
      </c>
      <c r="H502" s="251">
        <f t="shared" ca="1" si="18"/>
        <v>-2.7619078937259088E-2</v>
      </c>
    </row>
    <row r="503" spans="2:8">
      <c r="B503" s="252">
        <v>44453</v>
      </c>
      <c r="C503" s="251">
        <v>306.10000000000002</v>
      </c>
      <c r="D503" s="251">
        <f t="shared" si="17"/>
        <v>-0.38036437246963556</v>
      </c>
      <c r="E503" s="251">
        <v>1.6268260292164789E-2</v>
      </c>
      <c r="G503" s="251">
        <v>494</v>
      </c>
      <c r="H503" s="251">
        <f t="shared" ca="1" si="18"/>
        <v>9.9919488452038518E-3</v>
      </c>
    </row>
    <row r="504" spans="2:8">
      <c r="B504" s="252">
        <v>42566</v>
      </c>
      <c r="C504" s="251">
        <v>494</v>
      </c>
      <c r="D504" s="251">
        <f t="shared" si="17"/>
        <v>-7.6376554174067537E-2</v>
      </c>
      <c r="E504" s="251">
        <v>1.6251800041143748E-2</v>
      </c>
      <c r="G504" s="251">
        <v>495</v>
      </c>
      <c r="H504" s="251">
        <f t="shared" ca="1" si="18"/>
        <v>-2.626320355352034E-2</v>
      </c>
    </row>
    <row r="505" spans="2:8">
      <c r="B505" s="252">
        <v>42643</v>
      </c>
      <c r="C505" s="251">
        <v>534.85</v>
      </c>
      <c r="D505" s="251">
        <f t="shared" si="17"/>
        <v>0.64316436251920128</v>
      </c>
      <c r="E505" s="251">
        <v>1.6245487364621069E-2</v>
      </c>
      <c r="G505" s="251">
        <v>496</v>
      </c>
      <c r="H505" s="251">
        <f t="shared" ca="1" si="18"/>
        <v>-2.9785953888256868E-2</v>
      </c>
    </row>
    <row r="506" spans="2:8">
      <c r="B506" s="252">
        <v>42404</v>
      </c>
      <c r="C506" s="251">
        <v>325.5</v>
      </c>
      <c r="D506" s="251">
        <f t="shared" si="17"/>
        <v>0.76136363636363624</v>
      </c>
      <c r="E506" s="251">
        <v>1.6234779893849478E-2</v>
      </c>
      <c r="G506" s="251">
        <v>497</v>
      </c>
      <c r="H506" s="251">
        <f t="shared" ca="1" si="18"/>
        <v>1.6274781563176755E-3</v>
      </c>
    </row>
    <row r="507" spans="2:8">
      <c r="B507" s="252">
        <v>43536</v>
      </c>
      <c r="C507" s="251">
        <v>184.8</v>
      </c>
      <c r="D507" s="251">
        <f t="shared" si="17"/>
        <v>-0.71010855242517412</v>
      </c>
      <c r="E507" s="251">
        <v>1.6222161121803778E-2</v>
      </c>
      <c r="G507" s="251">
        <v>498</v>
      </c>
      <c r="H507" s="251">
        <f t="shared" ca="1" si="18"/>
        <v>1.0734861332859721E-3</v>
      </c>
    </row>
    <row r="508" spans="2:8">
      <c r="B508" s="252">
        <v>45132</v>
      </c>
      <c r="C508" s="251">
        <v>637.48</v>
      </c>
      <c r="D508" s="251">
        <f t="shared" si="17"/>
        <v>2.4393309954140814</v>
      </c>
      <c r="E508" s="251">
        <v>1.6212080151759217E-2</v>
      </c>
      <c r="G508" s="251">
        <v>499</v>
      </c>
      <c r="H508" s="251">
        <f t="shared" ca="1" si="18"/>
        <v>-5.025677444487802E-2</v>
      </c>
    </row>
    <row r="509" spans="2:8">
      <c r="B509" s="252">
        <v>43480</v>
      </c>
      <c r="C509" s="251">
        <v>185.35</v>
      </c>
      <c r="D509" s="251">
        <f t="shared" si="17"/>
        <v>0.36688790560471979</v>
      </c>
      <c r="E509" s="251">
        <v>1.6173245614035024E-2</v>
      </c>
      <c r="G509" s="251">
        <v>500</v>
      </c>
      <c r="H509" s="251">
        <f t="shared" ca="1" si="18"/>
        <v>1.1805044954244909E-3</v>
      </c>
    </row>
    <row r="510" spans="2:8">
      <c r="B510" s="252">
        <v>43677</v>
      </c>
      <c r="C510" s="251">
        <v>135.6</v>
      </c>
      <c r="D510" s="251">
        <f t="shared" si="17"/>
        <v>-0.24792013311148095</v>
      </c>
      <c r="E510" s="251">
        <v>1.6110902959910123E-2</v>
      </c>
      <c r="G510" s="251">
        <v>501</v>
      </c>
      <c r="H510" s="251">
        <f t="shared" ca="1" si="18"/>
        <v>1.0909247567348856E-2</v>
      </c>
    </row>
    <row r="511" spans="2:8">
      <c r="B511" s="252">
        <v>43525</v>
      </c>
      <c r="C511" s="251">
        <v>180.3</v>
      </c>
      <c r="D511" s="251">
        <f t="shared" si="17"/>
        <v>1.7207334273624888E-2</v>
      </c>
      <c r="E511" s="251">
        <v>1.6060862214708496E-2</v>
      </c>
      <c r="G511" s="251">
        <v>502</v>
      </c>
      <c r="H511" s="251">
        <f t="shared" ca="1" si="18"/>
        <v>1.8761473852430492E-3</v>
      </c>
    </row>
    <row r="512" spans="2:8">
      <c r="B512" s="252">
        <v>43433</v>
      </c>
      <c r="C512" s="251">
        <v>177.25</v>
      </c>
      <c r="D512" s="251">
        <f t="shared" si="17"/>
        <v>-0.82985361171106309</v>
      </c>
      <c r="E512" s="251">
        <v>1.6050444253367793E-2</v>
      </c>
      <c r="G512" s="251">
        <v>503</v>
      </c>
      <c r="H512" s="251">
        <f t="shared" ca="1" si="18"/>
        <v>-1.6078437706803343E-3</v>
      </c>
    </row>
    <row r="513" spans="2:8">
      <c r="B513" s="252">
        <v>45512</v>
      </c>
      <c r="C513" s="267">
        <v>1041.75</v>
      </c>
      <c r="D513" s="251">
        <f t="shared" si="17"/>
        <v>2.9075393848462112</v>
      </c>
      <c r="E513" s="251">
        <v>1.6044084658148879E-2</v>
      </c>
      <c r="G513" s="251">
        <v>504</v>
      </c>
      <c r="H513" s="251">
        <f t="shared" ca="1" si="18"/>
        <v>-3.9911395614374248E-2</v>
      </c>
    </row>
    <row r="514" spans="2:8">
      <c r="B514" s="252">
        <v>43357</v>
      </c>
      <c r="C514" s="251">
        <v>266.60000000000002</v>
      </c>
      <c r="D514" s="251">
        <f t="shared" si="17"/>
        <v>-0.11663353214049035</v>
      </c>
      <c r="E514" s="251">
        <v>1.6006097560975784E-2</v>
      </c>
      <c r="G514" s="251">
        <v>505</v>
      </c>
      <c r="H514" s="251">
        <f t="shared" ca="1" si="18"/>
        <v>-3.2993439164470978E-2</v>
      </c>
    </row>
    <row r="515" spans="2:8">
      <c r="B515" s="252">
        <v>44286</v>
      </c>
      <c r="C515" s="251">
        <v>301.8</v>
      </c>
      <c r="D515" s="251">
        <f t="shared" si="17"/>
        <v>0.89453860640301308</v>
      </c>
      <c r="E515" s="251">
        <v>1.5990573977444873E-2</v>
      </c>
      <c r="G515" s="251">
        <v>506</v>
      </c>
      <c r="H515" s="251">
        <f t="shared" ca="1" si="18"/>
        <v>-8.2298857160867898E-3</v>
      </c>
    </row>
    <row r="516" spans="2:8">
      <c r="B516" s="252">
        <v>43658</v>
      </c>
      <c r="C516" s="251">
        <v>159.30000000000001</v>
      </c>
      <c r="D516" s="251">
        <f t="shared" si="17"/>
        <v>-0.74575865426049759</v>
      </c>
      <c r="E516" s="251">
        <v>1.5943877551020409E-2</v>
      </c>
      <c r="G516" s="251">
        <v>507</v>
      </c>
      <c r="H516" s="251">
        <f t="shared" ca="1" si="18"/>
        <v>-5.5312101456650234E-3</v>
      </c>
    </row>
    <row r="517" spans="2:8">
      <c r="B517" s="252">
        <v>45118</v>
      </c>
      <c r="C517" s="251">
        <v>626.57000000000005</v>
      </c>
      <c r="D517" s="251">
        <f t="shared" si="17"/>
        <v>-0.3995093106389504</v>
      </c>
      <c r="E517" s="251">
        <v>1.5922172679367734E-2</v>
      </c>
      <c r="G517" s="251">
        <v>508</v>
      </c>
      <c r="H517" s="251">
        <f t="shared" ca="1" si="18"/>
        <v>-4.0779275976870755E-2</v>
      </c>
    </row>
    <row r="518" spans="2:8">
      <c r="B518" s="252">
        <v>45422</v>
      </c>
      <c r="C518" s="267">
        <v>1043.43</v>
      </c>
      <c r="D518" s="251">
        <f t="shared" si="17"/>
        <v>1.1695186609834702</v>
      </c>
      <c r="E518" s="251">
        <v>1.5869461509253894E-2</v>
      </c>
      <c r="G518" s="251">
        <v>509</v>
      </c>
      <c r="H518" s="251">
        <f t="shared" ca="1" si="18"/>
        <v>-1.4317981646293231E-2</v>
      </c>
    </row>
    <row r="519" spans="2:8">
      <c r="B519" s="252">
        <v>42810</v>
      </c>
      <c r="C519" s="251">
        <v>480.95</v>
      </c>
      <c r="D519" s="251">
        <f t="shared" si="17"/>
        <v>1.1823364820230166E-2</v>
      </c>
      <c r="E519" s="251">
        <v>1.5841165909810963E-2</v>
      </c>
      <c r="G519" s="251">
        <v>510</v>
      </c>
      <c r="H519" s="251">
        <f t="shared" ca="1" si="18"/>
        <v>1.1542898894246138E-2</v>
      </c>
    </row>
    <row r="520" spans="2:8">
      <c r="B520" s="252">
        <v>45036</v>
      </c>
      <c r="C520" s="251">
        <v>475.33</v>
      </c>
      <c r="D520" s="251">
        <f t="shared" si="17"/>
        <v>-0.19278254224335575</v>
      </c>
      <c r="E520" s="251">
        <v>1.5749209334131133E-2</v>
      </c>
      <c r="G520" s="251">
        <v>511</v>
      </c>
      <c r="H520" s="251">
        <f t="shared" ca="1" si="18"/>
        <v>-4.4051853357926218E-2</v>
      </c>
    </row>
    <row r="521" spans="2:8">
      <c r="B521" s="252">
        <v>45755</v>
      </c>
      <c r="C521" s="251">
        <v>588.85</v>
      </c>
      <c r="D521" s="251">
        <f t="shared" si="17"/>
        <v>-0.38622458020200334</v>
      </c>
      <c r="E521" s="251">
        <v>1.5696420871065153E-2</v>
      </c>
      <c r="G521" s="251">
        <v>512</v>
      </c>
      <c r="H521" s="251">
        <f t="shared" ca="1" si="18"/>
        <v>2.886095748017593E-2</v>
      </c>
    </row>
    <row r="522" spans="2:8">
      <c r="B522" s="252">
        <v>45435</v>
      </c>
      <c r="C522" s="251">
        <v>959.39</v>
      </c>
      <c r="D522" s="251">
        <f t="shared" ref="D522:D585" si="19">(C522-C523)/C523</f>
        <v>-0.11589181219186297</v>
      </c>
      <c r="E522" s="251">
        <v>1.5668173493261578E-2</v>
      </c>
      <c r="G522" s="251">
        <v>513</v>
      </c>
      <c r="H522" s="251">
        <f t="shared" ca="1" si="18"/>
        <v>-4.6214044672867403E-2</v>
      </c>
    </row>
    <row r="523" spans="2:8">
      <c r="B523" s="252">
        <v>45527</v>
      </c>
      <c r="C523" s="267">
        <v>1085.1500000000001</v>
      </c>
      <c r="D523" s="251">
        <f t="shared" si="19"/>
        <v>1.2889113881330554</v>
      </c>
      <c r="E523" s="251">
        <v>1.5630118395807052E-2</v>
      </c>
      <c r="G523" s="251">
        <v>514</v>
      </c>
      <c r="H523" s="251">
        <f t="shared" ref="H523:H586" ca="1" si="20">_xlfn.NORM.INV(RAND(),N$12,N$13)</f>
        <v>2.8056555481263429E-2</v>
      </c>
    </row>
    <row r="524" spans="2:8">
      <c r="B524" s="252">
        <v>44783</v>
      </c>
      <c r="C524" s="251">
        <v>474.09</v>
      </c>
      <c r="D524" s="251">
        <f t="shared" si="19"/>
        <v>5.0664107485604593</v>
      </c>
      <c r="E524" s="251">
        <v>1.5595210042629705E-2</v>
      </c>
      <c r="G524" s="251">
        <v>515</v>
      </c>
      <c r="H524" s="251">
        <f t="shared" ca="1" si="20"/>
        <v>6.3548633487335246E-4</v>
      </c>
    </row>
    <row r="525" spans="2:8">
      <c r="B525" s="252">
        <v>43950</v>
      </c>
      <c r="C525" s="251">
        <v>78.150000000000006</v>
      </c>
      <c r="D525" s="251">
        <f t="shared" si="19"/>
        <v>-0.82746440004415489</v>
      </c>
      <c r="E525" s="251">
        <v>1.559454191033142E-2</v>
      </c>
      <c r="G525" s="251">
        <v>516</v>
      </c>
      <c r="H525" s="251">
        <f t="shared" ca="1" si="20"/>
        <v>5.6819257980908373E-2</v>
      </c>
    </row>
    <row r="526" spans="2:8">
      <c r="B526" s="252">
        <v>42783</v>
      </c>
      <c r="C526" s="251">
        <v>452.95</v>
      </c>
      <c r="D526" s="251">
        <f t="shared" si="19"/>
        <v>1.274455002794855E-2</v>
      </c>
      <c r="E526" s="251">
        <v>1.558295964125558E-2</v>
      </c>
      <c r="G526" s="251">
        <v>517</v>
      </c>
      <c r="H526" s="251">
        <f t="shared" ca="1" si="20"/>
        <v>-1.6684303190670061E-2</v>
      </c>
    </row>
    <row r="527" spans="2:8">
      <c r="B527" s="252">
        <v>42550</v>
      </c>
      <c r="C527" s="251">
        <v>447.25</v>
      </c>
      <c r="D527" s="251">
        <f t="shared" si="19"/>
        <v>-0.19912257140299047</v>
      </c>
      <c r="E527" s="251">
        <v>1.5554041780199871E-2</v>
      </c>
      <c r="G527" s="251">
        <v>518</v>
      </c>
      <c r="H527" s="251">
        <f t="shared" ca="1" si="20"/>
        <v>-2.0485038327931328E-2</v>
      </c>
    </row>
    <row r="528" spans="2:8">
      <c r="B528" s="252">
        <v>42635</v>
      </c>
      <c r="C528" s="251">
        <v>558.45000000000005</v>
      </c>
      <c r="D528" s="251">
        <f t="shared" si="19"/>
        <v>0.27923491009048224</v>
      </c>
      <c r="E528" s="251">
        <v>1.5548281505728439E-2</v>
      </c>
      <c r="G528" s="251">
        <v>519</v>
      </c>
      <c r="H528" s="251">
        <f t="shared" ca="1" si="20"/>
        <v>2.5598356066938055E-2</v>
      </c>
    </row>
    <row r="529" spans="2:8">
      <c r="B529" s="252">
        <v>43038</v>
      </c>
      <c r="C529" s="251">
        <v>436.55</v>
      </c>
      <c r="D529" s="251">
        <f t="shared" si="19"/>
        <v>1.5551653497219786</v>
      </c>
      <c r="E529" s="251">
        <v>1.5468713654338299E-2</v>
      </c>
      <c r="G529" s="251">
        <v>520</v>
      </c>
      <c r="H529" s="251">
        <f t="shared" ca="1" si="20"/>
        <v>-1.2954759667488368E-2</v>
      </c>
    </row>
    <row r="530" spans="2:8">
      <c r="B530" s="252">
        <v>43462</v>
      </c>
      <c r="C530" s="251">
        <v>170.85</v>
      </c>
      <c r="D530" s="251">
        <f t="shared" si="19"/>
        <v>-0.72979598291950021</v>
      </c>
      <c r="E530" s="251">
        <v>1.5453194650817202E-2</v>
      </c>
      <c r="G530" s="251">
        <v>521</v>
      </c>
      <c r="H530" s="251">
        <f t="shared" ca="1" si="20"/>
        <v>-4.2112587230662003E-2</v>
      </c>
    </row>
    <row r="531" spans="2:8">
      <c r="B531" s="252">
        <v>45184</v>
      </c>
      <c r="C531" s="251">
        <v>632.29999999999995</v>
      </c>
      <c r="D531" s="251">
        <f t="shared" si="19"/>
        <v>-0.35267560069206277</v>
      </c>
      <c r="E531" s="251">
        <v>1.5449347979700658E-2</v>
      </c>
      <c r="G531" s="251">
        <v>522</v>
      </c>
      <c r="H531" s="251">
        <f t="shared" ca="1" si="20"/>
        <v>-1.0584364043746197E-2</v>
      </c>
    </row>
    <row r="532" spans="2:8">
      <c r="B532" s="252">
        <v>45373</v>
      </c>
      <c r="C532" s="251">
        <v>976.79</v>
      </c>
      <c r="D532" s="251">
        <f t="shared" si="19"/>
        <v>2.0241176470588234</v>
      </c>
      <c r="E532" s="251">
        <v>1.544810952979948E-2</v>
      </c>
      <c r="G532" s="251">
        <v>523</v>
      </c>
      <c r="H532" s="251">
        <f t="shared" ca="1" si="20"/>
        <v>-3.3253177395132776E-2</v>
      </c>
    </row>
    <row r="533" spans="2:8">
      <c r="B533" s="252">
        <v>44349</v>
      </c>
      <c r="C533" s="251">
        <v>323</v>
      </c>
      <c r="D533" s="251">
        <f t="shared" si="19"/>
        <v>-0.67277884712795055</v>
      </c>
      <c r="E533" s="251">
        <v>1.5403961018547553E-2</v>
      </c>
      <c r="G533" s="251">
        <v>524</v>
      </c>
      <c r="H533" s="251">
        <f t="shared" ca="1" si="20"/>
        <v>-2.5016041657798433E-2</v>
      </c>
    </row>
    <row r="534" spans="2:8">
      <c r="B534" s="252">
        <v>45454</v>
      </c>
      <c r="C534" s="251">
        <v>987.1</v>
      </c>
      <c r="D534" s="251">
        <f t="shared" si="19"/>
        <v>4.5299719887955181</v>
      </c>
      <c r="E534" s="251">
        <v>1.5378285244046748E-2</v>
      </c>
      <c r="G534" s="251">
        <v>525</v>
      </c>
      <c r="H534" s="251">
        <f t="shared" ca="1" si="20"/>
        <v>5.097732285706031E-2</v>
      </c>
    </row>
    <row r="535" spans="2:8">
      <c r="B535" s="252">
        <v>43502</v>
      </c>
      <c r="C535" s="251">
        <v>178.5</v>
      </c>
      <c r="D535" s="251">
        <f t="shared" si="19"/>
        <v>7.5949367088607556E-2</v>
      </c>
      <c r="E535" s="251">
        <v>1.5358361774743961E-2</v>
      </c>
      <c r="G535" s="251">
        <v>526</v>
      </c>
      <c r="H535" s="251">
        <f t="shared" ca="1" si="20"/>
        <v>6.0863286606162607E-5</v>
      </c>
    </row>
    <row r="536" spans="2:8">
      <c r="B536" s="252">
        <v>43796</v>
      </c>
      <c r="C536" s="251">
        <v>165.9</v>
      </c>
      <c r="D536" s="251">
        <f t="shared" si="19"/>
        <v>-0.5981396700821161</v>
      </c>
      <c r="E536" s="251">
        <v>1.5299877600979192E-2</v>
      </c>
      <c r="G536" s="251">
        <v>527</v>
      </c>
      <c r="H536" s="251">
        <f t="shared" ca="1" si="20"/>
        <v>-2.529863036806371E-2</v>
      </c>
    </row>
    <row r="537" spans="2:8">
      <c r="B537" s="252">
        <v>44840</v>
      </c>
      <c r="C537" s="251">
        <v>412.83</v>
      </c>
      <c r="D537" s="251">
        <f t="shared" si="19"/>
        <v>-0.59558189655172422</v>
      </c>
      <c r="E537" s="251">
        <v>1.5222309659649809E-2</v>
      </c>
      <c r="G537" s="251">
        <v>528</v>
      </c>
      <c r="H537" s="251">
        <f t="shared" ca="1" si="20"/>
        <v>-3.3245892987661813E-2</v>
      </c>
    </row>
    <row r="538" spans="2:8">
      <c r="B538" s="252">
        <v>45484</v>
      </c>
      <c r="C538" s="267">
        <v>1020.8</v>
      </c>
      <c r="D538" s="251">
        <f t="shared" si="19"/>
        <v>8.5446470313230467</v>
      </c>
      <c r="E538" s="251">
        <v>1.5216310293386329E-2</v>
      </c>
      <c r="G538" s="251">
        <v>529</v>
      </c>
      <c r="H538" s="251">
        <f t="shared" ca="1" si="20"/>
        <v>2.6377851616479153E-2</v>
      </c>
    </row>
    <row r="539" spans="2:8">
      <c r="B539" s="252">
        <v>44021</v>
      </c>
      <c r="C539" s="251">
        <v>106.95</v>
      </c>
      <c r="D539" s="251">
        <f t="shared" si="19"/>
        <v>-0.81986458263154349</v>
      </c>
      <c r="E539" s="251">
        <v>1.518747033697208E-2</v>
      </c>
      <c r="G539" s="251">
        <v>530</v>
      </c>
      <c r="H539" s="251">
        <f t="shared" ca="1" si="20"/>
        <v>-3.3487522073019298E-2</v>
      </c>
    </row>
    <row r="540" spans="2:8">
      <c r="B540" s="252">
        <v>45107</v>
      </c>
      <c r="C540" s="251">
        <v>593.72</v>
      </c>
      <c r="D540" s="251">
        <f t="shared" si="19"/>
        <v>9.9481481481481532E-2</v>
      </c>
      <c r="E540" s="251">
        <v>1.5183639969906291E-2</v>
      </c>
      <c r="G540" s="251">
        <v>531</v>
      </c>
      <c r="H540" s="251">
        <f t="shared" ca="1" si="20"/>
        <v>-5.3280948553359547E-2</v>
      </c>
    </row>
    <row r="541" spans="2:8">
      <c r="B541" s="252">
        <v>42641</v>
      </c>
      <c r="C541" s="251">
        <v>540</v>
      </c>
      <c r="D541" s="251">
        <f t="shared" si="19"/>
        <v>1.8662420382165605</v>
      </c>
      <c r="E541" s="251">
        <v>1.5133001221919266E-2</v>
      </c>
      <c r="G541" s="251">
        <v>532</v>
      </c>
      <c r="H541" s="251">
        <f t="shared" ca="1" si="20"/>
        <v>1.7636748785584223E-2</v>
      </c>
    </row>
    <row r="542" spans="2:8">
      <c r="B542" s="252">
        <v>43853</v>
      </c>
      <c r="C542" s="251">
        <v>188.4</v>
      </c>
      <c r="D542" s="251">
        <f t="shared" si="19"/>
        <v>-0.73104925053533198</v>
      </c>
      <c r="E542" s="251">
        <v>1.5086206896551786E-2</v>
      </c>
      <c r="G542" s="251">
        <v>533</v>
      </c>
      <c r="H542" s="251">
        <f t="shared" ca="1" si="20"/>
        <v>-1.5626820693355595E-2</v>
      </c>
    </row>
    <row r="543" spans="2:8">
      <c r="B543" s="252">
        <v>45862</v>
      </c>
      <c r="C543" s="251">
        <v>700.5</v>
      </c>
      <c r="D543" s="251">
        <f t="shared" si="19"/>
        <v>-1.8220042046250877E-2</v>
      </c>
      <c r="E543" s="251">
        <v>1.5070279669613065E-2</v>
      </c>
      <c r="G543" s="251">
        <v>534</v>
      </c>
      <c r="H543" s="251">
        <f t="shared" ca="1" si="20"/>
        <v>-4.9432374180140622E-3</v>
      </c>
    </row>
    <row r="544" spans="2:8">
      <c r="B544" s="252">
        <v>45740</v>
      </c>
      <c r="C544" s="251">
        <v>713.5</v>
      </c>
      <c r="D544" s="251">
        <f t="shared" si="19"/>
        <v>1.2657986662432519</v>
      </c>
      <c r="E544" s="251">
        <v>1.5008179813642442E-2</v>
      </c>
      <c r="G544" s="251">
        <v>535</v>
      </c>
      <c r="H544" s="251">
        <f t="shared" ca="1" si="20"/>
        <v>-3.8230447374297157E-3</v>
      </c>
    </row>
    <row r="545" spans="2:8">
      <c r="B545" s="252">
        <v>43237</v>
      </c>
      <c r="C545" s="251">
        <v>314.89999999999998</v>
      </c>
      <c r="D545" s="251">
        <f t="shared" si="19"/>
        <v>-0.56803840877914957</v>
      </c>
      <c r="E545" s="251">
        <v>1.4987912973408467E-2</v>
      </c>
      <c r="G545" s="251">
        <v>536</v>
      </c>
      <c r="H545" s="251">
        <f t="shared" ca="1" si="20"/>
        <v>-1.5180292255096012E-2</v>
      </c>
    </row>
    <row r="546" spans="2:8">
      <c r="B546" s="252">
        <v>45803</v>
      </c>
      <c r="C546" s="251">
        <v>729</v>
      </c>
      <c r="D546" s="251">
        <f t="shared" si="19"/>
        <v>1.1463271014279406</v>
      </c>
      <c r="E546" s="251">
        <v>1.4966933518969718E-2</v>
      </c>
      <c r="G546" s="251">
        <v>537</v>
      </c>
      <c r="H546" s="251">
        <f t="shared" ca="1" si="20"/>
        <v>5.6607114141412097E-3</v>
      </c>
    </row>
    <row r="547" spans="2:8">
      <c r="B547" s="252">
        <v>44372</v>
      </c>
      <c r="C547" s="251">
        <v>339.65</v>
      </c>
      <c r="D547" s="251">
        <f t="shared" si="19"/>
        <v>9.5821906759154668E-2</v>
      </c>
      <c r="E547" s="251">
        <v>1.494098311668908E-2</v>
      </c>
      <c r="G547" s="251">
        <v>538</v>
      </c>
      <c r="H547" s="251">
        <f t="shared" ca="1" si="20"/>
        <v>1.8599895989815887E-2</v>
      </c>
    </row>
    <row r="548" spans="2:8">
      <c r="B548" s="252">
        <v>43259</v>
      </c>
      <c r="C548" s="251">
        <v>309.95</v>
      </c>
      <c r="D548" s="251">
        <f t="shared" si="19"/>
        <v>-0.33210507035576531</v>
      </c>
      <c r="E548" s="251">
        <v>1.4898493778650988E-2</v>
      </c>
      <c r="G548" s="251">
        <v>539</v>
      </c>
      <c r="H548" s="251">
        <f t="shared" ca="1" si="20"/>
        <v>-1.4701401112850442E-2</v>
      </c>
    </row>
    <row r="549" spans="2:8">
      <c r="B549" s="252">
        <v>45028</v>
      </c>
      <c r="C549" s="251">
        <v>464.07</v>
      </c>
      <c r="D549" s="251">
        <f t="shared" si="19"/>
        <v>0.30375052675937636</v>
      </c>
      <c r="E549" s="251">
        <v>1.4826477727481406E-2</v>
      </c>
      <c r="G549" s="251">
        <v>540</v>
      </c>
      <c r="H549" s="251">
        <f t="shared" ca="1" si="20"/>
        <v>1.329634660691067E-2</v>
      </c>
    </row>
    <row r="550" spans="2:8">
      <c r="B550" s="252">
        <v>44361</v>
      </c>
      <c r="C550" s="251">
        <v>355.95</v>
      </c>
      <c r="D550" s="251">
        <f t="shared" si="19"/>
        <v>-0.18973366719781476</v>
      </c>
      <c r="E550" s="251">
        <v>1.4825374198146796E-2</v>
      </c>
      <c r="G550" s="251">
        <v>541</v>
      </c>
      <c r="H550" s="251">
        <f t="shared" ca="1" si="20"/>
        <v>-2.8997082369596892E-2</v>
      </c>
    </row>
    <row r="551" spans="2:8">
      <c r="B551" s="252">
        <v>42709</v>
      </c>
      <c r="C551" s="251">
        <v>439.3</v>
      </c>
      <c r="D551" s="251">
        <f t="shared" si="19"/>
        <v>-0.33815442561205272</v>
      </c>
      <c r="E551" s="251">
        <v>1.4784014784014863E-2</v>
      </c>
      <c r="G551" s="251">
        <v>542</v>
      </c>
      <c r="H551" s="251">
        <f t="shared" ca="1" si="20"/>
        <v>-3.4377441236348803E-2</v>
      </c>
    </row>
    <row r="552" spans="2:8">
      <c r="B552" s="252">
        <v>45882</v>
      </c>
      <c r="C552" s="251">
        <v>663.75</v>
      </c>
      <c r="D552" s="251">
        <f t="shared" si="19"/>
        <v>2.5733512786002692</v>
      </c>
      <c r="E552" s="251">
        <v>1.4753095856902579E-2</v>
      </c>
      <c r="G552" s="251">
        <v>543</v>
      </c>
      <c r="H552" s="251">
        <f t="shared" ca="1" si="20"/>
        <v>-2.6166898031440233E-2</v>
      </c>
    </row>
    <row r="553" spans="2:8">
      <c r="B553" s="252">
        <v>43475</v>
      </c>
      <c r="C553" s="251">
        <v>185.75</v>
      </c>
      <c r="D553" s="251">
        <f t="shared" si="19"/>
        <v>-0.72859438924605491</v>
      </c>
      <c r="E553" s="251">
        <v>1.4750068287353119E-2</v>
      </c>
      <c r="G553" s="251">
        <v>544</v>
      </c>
      <c r="H553" s="251">
        <f t="shared" ca="1" si="20"/>
        <v>1.733137111315549E-2</v>
      </c>
    </row>
    <row r="554" spans="2:8">
      <c r="B554" s="252">
        <v>45853</v>
      </c>
      <c r="C554" s="251">
        <v>684.4</v>
      </c>
      <c r="D554" s="251">
        <f t="shared" si="19"/>
        <v>0.50881834215167532</v>
      </c>
      <c r="E554" s="251">
        <v>1.4677538917716794E-2</v>
      </c>
      <c r="G554" s="251">
        <v>545</v>
      </c>
      <c r="H554" s="251">
        <f t="shared" ca="1" si="20"/>
        <v>-2.9473270288694606E-2</v>
      </c>
    </row>
    <row r="555" spans="2:8">
      <c r="B555" s="252">
        <v>44551</v>
      </c>
      <c r="C555" s="251">
        <v>453.6</v>
      </c>
      <c r="D555" s="251">
        <f t="shared" si="19"/>
        <v>-0.31433754062429137</v>
      </c>
      <c r="E555" s="251">
        <v>1.4651604965887509E-2</v>
      </c>
      <c r="G555" s="251">
        <v>546</v>
      </c>
      <c r="H555" s="251">
        <f t="shared" ca="1" si="20"/>
        <v>2.0299018067196709E-2</v>
      </c>
    </row>
    <row r="556" spans="2:8">
      <c r="B556" s="252">
        <v>45782</v>
      </c>
      <c r="C556" s="251">
        <v>661.55</v>
      </c>
      <c r="D556" s="251">
        <f t="shared" si="19"/>
        <v>0.16860978625684495</v>
      </c>
      <c r="E556" s="251">
        <v>1.4647239263803612E-2</v>
      </c>
      <c r="G556" s="251">
        <v>547</v>
      </c>
      <c r="H556" s="251">
        <f t="shared" ca="1" si="20"/>
        <v>5.0780065213239254E-3</v>
      </c>
    </row>
    <row r="557" spans="2:8">
      <c r="B557" s="252">
        <v>45103</v>
      </c>
      <c r="C557" s="251">
        <v>566.1</v>
      </c>
      <c r="D557" s="251">
        <f t="shared" si="19"/>
        <v>-0.27719611848825332</v>
      </c>
      <c r="E557" s="251">
        <v>1.4643414048357452E-2</v>
      </c>
      <c r="G557" s="251">
        <v>548</v>
      </c>
      <c r="H557" s="251">
        <f t="shared" ca="1" si="20"/>
        <v>1.036122276855324E-3</v>
      </c>
    </row>
    <row r="558" spans="2:8">
      <c r="B558" s="252">
        <v>45615</v>
      </c>
      <c r="C558" s="251">
        <v>783.2</v>
      </c>
      <c r="D558" s="251">
        <f t="shared" si="19"/>
        <v>1.5603138280483821</v>
      </c>
      <c r="E558" s="251">
        <v>1.4639201969167079E-2</v>
      </c>
      <c r="G558" s="251">
        <v>549</v>
      </c>
      <c r="H558" s="251">
        <f t="shared" ca="1" si="20"/>
        <v>1.6771623752869867E-2</v>
      </c>
    </row>
    <row r="559" spans="2:8">
      <c r="B559" s="252">
        <v>44314</v>
      </c>
      <c r="C559" s="251">
        <v>305.89999999999998</v>
      </c>
      <c r="D559" s="251">
        <f t="shared" si="19"/>
        <v>1.2550681901953555</v>
      </c>
      <c r="E559" s="251">
        <v>1.4593698175787652E-2</v>
      </c>
      <c r="G559" s="251">
        <v>550</v>
      </c>
      <c r="H559" s="251">
        <f t="shared" ca="1" si="20"/>
        <v>6.0206827604581868E-2</v>
      </c>
    </row>
    <row r="560" spans="2:8">
      <c r="B560" s="252">
        <v>44131</v>
      </c>
      <c r="C560" s="251">
        <v>135.65</v>
      </c>
      <c r="D560" s="251">
        <f t="shared" si="19"/>
        <v>-0.22263610315186244</v>
      </c>
      <c r="E560" s="251">
        <v>1.4584891548242463E-2</v>
      </c>
      <c r="G560" s="251">
        <v>551</v>
      </c>
      <c r="H560" s="251">
        <f t="shared" ca="1" si="20"/>
        <v>7.1333282084890927E-3</v>
      </c>
    </row>
    <row r="561" spans="2:8">
      <c r="B561" s="252">
        <v>43775</v>
      </c>
      <c r="C561" s="251">
        <v>174.5</v>
      </c>
      <c r="D561" s="251">
        <f t="shared" si="19"/>
        <v>-0.66741632995349542</v>
      </c>
      <c r="E561" s="251">
        <v>1.4534883720930232E-2</v>
      </c>
      <c r="G561" s="251">
        <v>552</v>
      </c>
      <c r="H561" s="251">
        <f t="shared" ca="1" si="20"/>
        <v>4.1372217784211053E-2</v>
      </c>
    </row>
    <row r="562" spans="2:8">
      <c r="B562" s="252">
        <v>45077</v>
      </c>
      <c r="C562" s="251">
        <v>524.67999999999995</v>
      </c>
      <c r="D562" s="251">
        <f t="shared" si="19"/>
        <v>-0.46988633493306398</v>
      </c>
      <c r="E562" s="251">
        <v>1.4462490332559752E-2</v>
      </c>
      <c r="G562" s="251">
        <v>553</v>
      </c>
      <c r="H562" s="251">
        <f t="shared" ca="1" si="20"/>
        <v>2.4382955611738023E-2</v>
      </c>
    </row>
    <row r="563" spans="2:8">
      <c r="B563" s="252">
        <v>45379</v>
      </c>
      <c r="C563" s="251">
        <v>989.75</v>
      </c>
      <c r="D563" s="251">
        <f t="shared" si="19"/>
        <v>1.1492942453854507</v>
      </c>
      <c r="E563" s="251">
        <v>1.4462301668648286E-2</v>
      </c>
      <c r="G563" s="251">
        <v>554</v>
      </c>
      <c r="H563" s="251">
        <f t="shared" ca="1" si="20"/>
        <v>-3.8900217395074183E-2</v>
      </c>
    </row>
    <row r="564" spans="2:8">
      <c r="B564" s="252">
        <v>42527</v>
      </c>
      <c r="C564" s="251">
        <v>460.5</v>
      </c>
      <c r="D564" s="251">
        <f t="shared" si="19"/>
        <v>5.1249857322223466E-2</v>
      </c>
      <c r="E564" s="251">
        <v>1.442890186143851E-2</v>
      </c>
      <c r="G564" s="251">
        <v>555</v>
      </c>
      <c r="H564" s="251">
        <f t="shared" ca="1" si="20"/>
        <v>-1.4418079901599804E-2</v>
      </c>
    </row>
    <row r="565" spans="2:8">
      <c r="B565" s="252">
        <v>44895</v>
      </c>
      <c r="C565" s="251">
        <v>438.05</v>
      </c>
      <c r="D565" s="251">
        <f t="shared" si="19"/>
        <v>-0.2295312637410957</v>
      </c>
      <c r="E565" s="251">
        <v>1.4427307674494044E-2</v>
      </c>
      <c r="G565" s="251">
        <v>556</v>
      </c>
      <c r="H565" s="251">
        <f t="shared" ca="1" si="20"/>
        <v>6.9570463132163848E-3</v>
      </c>
    </row>
    <row r="566" spans="2:8">
      <c r="B566" s="252">
        <v>45091</v>
      </c>
      <c r="C566" s="251">
        <v>568.54999999999995</v>
      </c>
      <c r="D566" s="251">
        <f t="shared" si="19"/>
        <v>2.0485254691689008</v>
      </c>
      <c r="E566" s="251">
        <v>1.4416471889663902E-2</v>
      </c>
      <c r="G566" s="251">
        <v>557</v>
      </c>
      <c r="H566" s="251">
        <f t="shared" ca="1" si="20"/>
        <v>7.558059320950509E-4</v>
      </c>
    </row>
    <row r="567" spans="2:8">
      <c r="B567" s="252">
        <v>44197</v>
      </c>
      <c r="C567" s="251">
        <v>186.5</v>
      </c>
      <c r="D567" s="251">
        <f t="shared" si="19"/>
        <v>0.32269503546099293</v>
      </c>
      <c r="E567" s="251">
        <v>1.4413924394887168E-2</v>
      </c>
      <c r="G567" s="251">
        <v>558</v>
      </c>
      <c r="H567" s="251">
        <f t="shared" ca="1" si="20"/>
        <v>-3.1919985815753886E-2</v>
      </c>
    </row>
    <row r="568" spans="2:8">
      <c r="B568" s="252">
        <v>44144</v>
      </c>
      <c r="C568" s="251">
        <v>141</v>
      </c>
      <c r="D568" s="251">
        <f t="shared" si="19"/>
        <v>-0.20068027210884357</v>
      </c>
      <c r="E568" s="251">
        <v>1.4388489208633094E-2</v>
      </c>
      <c r="G568" s="251">
        <v>559</v>
      </c>
      <c r="H568" s="251">
        <f t="shared" ca="1" si="20"/>
        <v>-2.4995781313259621E-2</v>
      </c>
    </row>
    <row r="569" spans="2:8">
      <c r="B569" s="252">
        <v>43454</v>
      </c>
      <c r="C569" s="251">
        <v>176.4</v>
      </c>
      <c r="D569" s="251">
        <f t="shared" si="19"/>
        <v>-0.42615484710474943</v>
      </c>
      <c r="E569" s="251">
        <v>1.437607820586544E-2</v>
      </c>
      <c r="G569" s="251">
        <v>560</v>
      </c>
      <c r="H569" s="251">
        <f t="shared" ca="1" si="20"/>
        <v>-1.8847202891557346E-2</v>
      </c>
    </row>
    <row r="570" spans="2:8">
      <c r="B570" s="252">
        <v>44278</v>
      </c>
      <c r="C570" s="251">
        <v>307.39999999999998</v>
      </c>
      <c r="D570" s="251">
        <f t="shared" si="19"/>
        <v>-0.6889765771234887</v>
      </c>
      <c r="E570" s="251">
        <v>1.4354066985645821E-2</v>
      </c>
      <c r="G570" s="251">
        <v>561</v>
      </c>
      <c r="H570" s="251">
        <f t="shared" ca="1" si="20"/>
        <v>2.4802472638764075E-2</v>
      </c>
    </row>
    <row r="571" spans="2:8">
      <c r="B571" s="252">
        <v>45353</v>
      </c>
      <c r="C571" s="251">
        <v>988.35</v>
      </c>
      <c r="D571" s="251">
        <f t="shared" si="19"/>
        <v>1.0961823966065749</v>
      </c>
      <c r="E571" s="251">
        <v>1.43269122220056E-2</v>
      </c>
      <c r="G571" s="251">
        <v>562</v>
      </c>
      <c r="H571" s="251">
        <f t="shared" ca="1" si="20"/>
        <v>1.3623084673171554E-2</v>
      </c>
    </row>
    <row r="572" spans="2:8">
      <c r="B572" s="252">
        <v>42697</v>
      </c>
      <c r="C572" s="251">
        <v>471.5</v>
      </c>
      <c r="D572" s="251">
        <f t="shared" si="19"/>
        <v>0.28807539953558253</v>
      </c>
      <c r="E572" s="251">
        <v>1.4305690007529261E-2</v>
      </c>
      <c r="G572" s="251">
        <v>563</v>
      </c>
      <c r="H572" s="251">
        <f t="shared" ca="1" si="20"/>
        <v>-8.8595122670621761E-3</v>
      </c>
    </row>
    <row r="573" spans="2:8">
      <c r="B573" s="252">
        <v>42447</v>
      </c>
      <c r="C573" s="251">
        <v>366.05</v>
      </c>
      <c r="D573" s="251">
        <f t="shared" si="19"/>
        <v>3.4749388753056234</v>
      </c>
      <c r="E573" s="251">
        <v>1.4269880853422096E-2</v>
      </c>
      <c r="G573" s="251">
        <v>564</v>
      </c>
      <c r="H573" s="251">
        <f t="shared" ca="1" si="20"/>
        <v>-2.0188651771675021E-2</v>
      </c>
    </row>
    <row r="574" spans="2:8">
      <c r="B574" s="252">
        <v>43970</v>
      </c>
      <c r="C574" s="251">
        <v>81.8</v>
      </c>
      <c r="D574" s="251">
        <f t="shared" si="19"/>
        <v>-0.81808072945624366</v>
      </c>
      <c r="E574" s="251">
        <v>1.4259144451332813E-2</v>
      </c>
      <c r="G574" s="251">
        <v>565</v>
      </c>
      <c r="H574" s="251">
        <f t="shared" ca="1" si="20"/>
        <v>-1.6835526821081994E-2</v>
      </c>
    </row>
    <row r="575" spans="2:8">
      <c r="B575" s="252">
        <v>42877</v>
      </c>
      <c r="C575" s="251">
        <v>449.65</v>
      </c>
      <c r="D575" s="251">
        <f t="shared" si="19"/>
        <v>6.5647588576845578E-2</v>
      </c>
      <c r="E575" s="251">
        <v>1.4209992105559838E-2</v>
      </c>
      <c r="G575" s="251">
        <v>566</v>
      </c>
      <c r="H575" s="251">
        <f t="shared" ca="1" si="20"/>
        <v>-1.8491720255182253E-2</v>
      </c>
    </row>
    <row r="576" spans="2:8">
      <c r="B576" s="252">
        <v>43033</v>
      </c>
      <c r="C576" s="251">
        <v>421.95</v>
      </c>
      <c r="D576" s="251">
        <f t="shared" si="19"/>
        <v>-0.47338533541341654</v>
      </c>
      <c r="E576" s="251">
        <v>1.4180987862035758E-2</v>
      </c>
      <c r="G576" s="251">
        <v>567</v>
      </c>
      <c r="H576" s="251">
        <f t="shared" ca="1" si="20"/>
        <v>1.737430536645046E-2</v>
      </c>
    </row>
    <row r="577" spans="2:8">
      <c r="B577" s="252">
        <v>45629</v>
      </c>
      <c r="C577" s="251">
        <v>801.25</v>
      </c>
      <c r="D577" s="251">
        <f t="shared" si="19"/>
        <v>0.24743118694731589</v>
      </c>
      <c r="E577" s="251">
        <v>1.4176317954559897E-2</v>
      </c>
      <c r="G577" s="251">
        <v>568</v>
      </c>
      <c r="H577" s="251">
        <f t="shared" ca="1" si="20"/>
        <v>-1.69629152401841E-2</v>
      </c>
    </row>
    <row r="578" spans="2:8">
      <c r="B578" s="252">
        <v>45138</v>
      </c>
      <c r="C578" s="251">
        <v>642.32000000000005</v>
      </c>
      <c r="D578" s="251">
        <f t="shared" si="19"/>
        <v>7.5358139534883728</v>
      </c>
      <c r="E578" s="251">
        <v>1.4162785189863468E-2</v>
      </c>
      <c r="G578" s="251">
        <v>569</v>
      </c>
      <c r="H578" s="251">
        <f t="shared" ca="1" si="20"/>
        <v>1.0354715564899756E-2</v>
      </c>
    </row>
    <row r="579" spans="2:8">
      <c r="B579" s="252">
        <v>43948</v>
      </c>
      <c r="C579" s="251">
        <v>75.25</v>
      </c>
      <c r="D579" s="251">
        <f t="shared" si="19"/>
        <v>-0.70507544581618653</v>
      </c>
      <c r="E579" s="251">
        <v>1.4150943396226376E-2</v>
      </c>
      <c r="G579" s="251">
        <v>570</v>
      </c>
      <c r="H579" s="251">
        <f t="shared" ca="1" si="20"/>
        <v>3.9862362438728469E-2</v>
      </c>
    </row>
    <row r="580" spans="2:8">
      <c r="B580" s="252">
        <v>43320</v>
      </c>
      <c r="C580" s="251">
        <v>255.15</v>
      </c>
      <c r="D580" s="251">
        <f t="shared" si="19"/>
        <v>-0.46272899557801639</v>
      </c>
      <c r="E580" s="251">
        <v>1.410969793322739E-2</v>
      </c>
      <c r="G580" s="251">
        <v>571</v>
      </c>
      <c r="H580" s="251">
        <f t="shared" ca="1" si="20"/>
        <v>5.4054274236781715E-4</v>
      </c>
    </row>
    <row r="581" spans="2:8">
      <c r="B581" s="252">
        <v>42835</v>
      </c>
      <c r="C581" s="251">
        <v>474.9</v>
      </c>
      <c r="D581" s="251">
        <f t="shared" si="19"/>
        <v>-0.38671143539743014</v>
      </c>
      <c r="E581" s="251">
        <v>1.409352978859698E-2</v>
      </c>
      <c r="G581" s="251">
        <v>572</v>
      </c>
      <c r="H581" s="251">
        <f t="shared" ca="1" si="20"/>
        <v>6.5674492044177579E-2</v>
      </c>
    </row>
    <row r="582" spans="2:8">
      <c r="B582" s="252">
        <v>45673</v>
      </c>
      <c r="C582" s="251">
        <v>774.35</v>
      </c>
      <c r="D582" s="251">
        <f t="shared" si="19"/>
        <v>-7.3356070125052297E-2</v>
      </c>
      <c r="E582" s="251">
        <v>1.4078051335777894E-2</v>
      </c>
      <c r="G582" s="251">
        <v>573</v>
      </c>
      <c r="H582" s="251">
        <f t="shared" ca="1" si="20"/>
        <v>-1.6208175719531415E-2</v>
      </c>
    </row>
    <row r="583" spans="2:8">
      <c r="B583" s="252">
        <v>45601</v>
      </c>
      <c r="C583" s="251">
        <v>835.65</v>
      </c>
      <c r="D583" s="251">
        <f t="shared" si="19"/>
        <v>0.31704203375939727</v>
      </c>
      <c r="E583" s="251">
        <v>1.4015289406625353E-2</v>
      </c>
      <c r="G583" s="251">
        <v>574</v>
      </c>
      <c r="H583" s="251">
        <f t="shared" ca="1" si="20"/>
        <v>-2.0467844919739579E-2</v>
      </c>
    </row>
    <row r="584" spans="2:8">
      <c r="B584" s="252">
        <v>45232</v>
      </c>
      <c r="C584" s="251">
        <v>634.49</v>
      </c>
      <c r="D584" s="251">
        <f t="shared" si="19"/>
        <v>2.5537829930983132E-2</v>
      </c>
      <c r="E584" s="251">
        <v>1.3934832286622924E-2</v>
      </c>
      <c r="G584" s="251">
        <v>575</v>
      </c>
      <c r="H584" s="251">
        <f t="shared" ca="1" si="20"/>
        <v>9.0821263457211074E-3</v>
      </c>
    </row>
    <row r="585" spans="2:8">
      <c r="B585" s="252">
        <v>45126</v>
      </c>
      <c r="C585" s="251">
        <v>618.69000000000005</v>
      </c>
      <c r="D585" s="251">
        <f t="shared" si="19"/>
        <v>-0.10639127608868341</v>
      </c>
      <c r="E585" s="251">
        <v>1.3880239913473874E-2</v>
      </c>
      <c r="G585" s="251">
        <v>576</v>
      </c>
      <c r="H585" s="251">
        <f t="shared" ca="1" si="20"/>
        <v>3.742098483080188E-4</v>
      </c>
    </row>
    <row r="586" spans="2:8">
      <c r="B586" s="252">
        <v>45867</v>
      </c>
      <c r="C586" s="251">
        <v>692.35</v>
      </c>
      <c r="D586" s="251">
        <f t="shared" ref="D586:D649" si="21">(C586-C587)/C587</f>
        <v>-0.26083103794333051</v>
      </c>
      <c r="E586" s="251">
        <v>1.3838043637428681E-2</v>
      </c>
      <c r="G586" s="251">
        <v>577</v>
      </c>
      <c r="H586" s="251">
        <f t="shared" ca="1" si="20"/>
        <v>-1.7286382735789191E-3</v>
      </c>
    </row>
    <row r="587" spans="2:8">
      <c r="B587" s="252">
        <v>45328</v>
      </c>
      <c r="C587" s="251">
        <v>936.66</v>
      </c>
      <c r="D587" s="251">
        <f t="shared" si="21"/>
        <v>0.96777310924369742</v>
      </c>
      <c r="E587" s="251">
        <v>1.3756155636127412E-2</v>
      </c>
      <c r="G587" s="251">
        <v>578</v>
      </c>
      <c r="H587" s="251">
        <f t="shared" ref="H587:H650" ca="1" si="22">_xlfn.NORM.INV(RAND(),N$12,N$13)</f>
        <v>-4.2640234274986637E-3</v>
      </c>
    </row>
    <row r="588" spans="2:8">
      <c r="B588" s="252">
        <v>42880</v>
      </c>
      <c r="C588" s="251">
        <v>476</v>
      </c>
      <c r="D588" s="251">
        <f t="shared" si="21"/>
        <v>0.38271604938271603</v>
      </c>
      <c r="E588" s="251">
        <v>1.3736556277286739E-2</v>
      </c>
      <c r="G588" s="251">
        <v>579</v>
      </c>
      <c r="H588" s="251">
        <f t="shared" ca="1" si="22"/>
        <v>1.1741561903499917E-2</v>
      </c>
    </row>
    <row r="589" spans="2:8">
      <c r="B589" s="252">
        <v>44378</v>
      </c>
      <c r="C589" s="251">
        <v>344.25</v>
      </c>
      <c r="D589" s="251">
        <f t="shared" si="21"/>
        <v>-0.45361479247678754</v>
      </c>
      <c r="E589" s="251">
        <v>1.3692579505300286E-2</v>
      </c>
      <c r="G589" s="251">
        <v>580</v>
      </c>
      <c r="H589" s="251">
        <f t="shared" ca="1" si="22"/>
        <v>2.1313874924202961E-2</v>
      </c>
    </row>
    <row r="590" spans="2:8">
      <c r="B590" s="252">
        <v>45768</v>
      </c>
      <c r="C590" s="251">
        <v>630.04999999999995</v>
      </c>
      <c r="D590" s="251">
        <f t="shared" si="21"/>
        <v>0.34885463498180247</v>
      </c>
      <c r="E590" s="251">
        <v>1.3675488697610812E-2</v>
      </c>
      <c r="G590" s="251">
        <v>581</v>
      </c>
      <c r="H590" s="251">
        <f t="shared" ca="1" si="22"/>
        <v>7.6013753792582468E-3</v>
      </c>
    </row>
    <row r="591" spans="2:8">
      <c r="B591" s="252">
        <v>42895</v>
      </c>
      <c r="C591" s="251">
        <v>467.1</v>
      </c>
      <c r="D591" s="251">
        <f t="shared" si="21"/>
        <v>-0.40736135605262819</v>
      </c>
      <c r="E591" s="251">
        <v>1.3671875000000024E-2</v>
      </c>
      <c r="G591" s="251">
        <v>582</v>
      </c>
      <c r="H591" s="251">
        <f t="shared" ca="1" si="22"/>
        <v>2.1175893265820141E-2</v>
      </c>
    </row>
    <row r="592" spans="2:8">
      <c r="B592" s="252">
        <v>45292</v>
      </c>
      <c r="C592" s="251">
        <v>788.17</v>
      </c>
      <c r="D592" s="251">
        <f t="shared" si="21"/>
        <v>0.54512840619486358</v>
      </c>
      <c r="E592" s="251">
        <v>1.365828564079481E-2</v>
      </c>
      <c r="G592" s="251">
        <v>583</v>
      </c>
      <c r="H592" s="251">
        <f t="shared" ca="1" si="22"/>
        <v>-3.8945277380145853E-2</v>
      </c>
    </row>
    <row r="593" spans="2:8">
      <c r="B593" s="252">
        <v>42578</v>
      </c>
      <c r="C593" s="251">
        <v>510.1</v>
      </c>
      <c r="D593" s="251">
        <f t="shared" si="21"/>
        <v>0.35358896112511606</v>
      </c>
      <c r="E593" s="251">
        <v>1.3611525086934969E-2</v>
      </c>
      <c r="G593" s="251">
        <v>584</v>
      </c>
      <c r="H593" s="251">
        <f t="shared" ca="1" si="22"/>
        <v>7.3204659921904617E-3</v>
      </c>
    </row>
    <row r="594" spans="2:8">
      <c r="B594" s="252">
        <v>43145</v>
      </c>
      <c r="C594" s="251">
        <v>376.85</v>
      </c>
      <c r="D594" s="251">
        <f t="shared" si="21"/>
        <v>-0.31344507196210597</v>
      </c>
      <c r="E594" s="251">
        <v>1.3582571274878998E-2</v>
      </c>
      <c r="G594" s="251">
        <v>585</v>
      </c>
      <c r="H594" s="251">
        <f t="shared" ca="1" si="22"/>
        <v>-5.7334995190008791E-3</v>
      </c>
    </row>
    <row r="595" spans="2:8">
      <c r="B595" s="252">
        <v>42760</v>
      </c>
      <c r="C595" s="251">
        <v>548.9</v>
      </c>
      <c r="D595" s="251">
        <f t="shared" si="21"/>
        <v>-0.44201602081893226</v>
      </c>
      <c r="E595" s="251">
        <v>1.357215400240056E-2</v>
      </c>
      <c r="G595" s="251">
        <v>586</v>
      </c>
      <c r="H595" s="251">
        <f t="shared" ca="1" si="22"/>
        <v>-4.1240353507928477E-2</v>
      </c>
    </row>
    <row r="596" spans="2:8">
      <c r="B596" s="252">
        <v>45405</v>
      </c>
      <c r="C596" s="251">
        <v>983.72</v>
      </c>
      <c r="D596" s="251">
        <f t="shared" si="21"/>
        <v>0.23375222615195523</v>
      </c>
      <c r="E596" s="251">
        <v>1.3569625470094352E-2</v>
      </c>
      <c r="G596" s="251">
        <v>587</v>
      </c>
      <c r="H596" s="251">
        <f t="shared" ca="1" si="22"/>
        <v>3.1271900399084937E-2</v>
      </c>
    </row>
    <row r="597" spans="2:8">
      <c r="B597" s="252">
        <v>45300</v>
      </c>
      <c r="C597" s="251">
        <v>797.34</v>
      </c>
      <c r="D597" s="251">
        <f t="shared" si="21"/>
        <v>1.5057825267127594</v>
      </c>
      <c r="E597" s="251">
        <v>1.3563501849568527E-2</v>
      </c>
      <c r="G597" s="251">
        <v>588</v>
      </c>
      <c r="H597" s="251">
        <f t="shared" ca="1" si="22"/>
        <v>2.0349718278705325E-2</v>
      </c>
    </row>
    <row r="598" spans="2:8">
      <c r="B598" s="252">
        <v>44295</v>
      </c>
      <c r="C598" s="251">
        <v>318.2</v>
      </c>
      <c r="D598" s="251">
        <f t="shared" si="21"/>
        <v>-0.50917784976091318</v>
      </c>
      <c r="E598" s="251">
        <v>1.353718745023093E-2</v>
      </c>
      <c r="G598" s="251">
        <v>589</v>
      </c>
      <c r="H598" s="251">
        <f t="shared" ca="1" si="22"/>
        <v>1.7661126884813298E-2</v>
      </c>
    </row>
    <row r="599" spans="2:8">
      <c r="B599" s="252">
        <v>45723</v>
      </c>
      <c r="C599" s="251">
        <v>648.29999999999995</v>
      </c>
      <c r="D599" s="251">
        <f t="shared" si="21"/>
        <v>0.48675610595115226</v>
      </c>
      <c r="E599" s="251">
        <v>1.3523020401782189E-2</v>
      </c>
      <c r="G599" s="251">
        <v>590</v>
      </c>
      <c r="H599" s="251">
        <f t="shared" ca="1" si="22"/>
        <v>1.1948760497903051E-2</v>
      </c>
    </row>
    <row r="600" spans="2:8">
      <c r="B600" s="252">
        <v>44679</v>
      </c>
      <c r="C600" s="251">
        <v>436.05</v>
      </c>
      <c r="D600" s="251">
        <f t="shared" si="21"/>
        <v>2.2086092715231787</v>
      </c>
      <c r="E600" s="251">
        <v>1.3480534572922746E-2</v>
      </c>
      <c r="G600" s="251">
        <v>591</v>
      </c>
      <c r="H600" s="251">
        <f t="shared" ca="1" si="22"/>
        <v>-2.5521877951251406E-2</v>
      </c>
    </row>
    <row r="601" spans="2:8">
      <c r="B601" s="252">
        <v>44139</v>
      </c>
      <c r="C601" s="251">
        <v>135.9</v>
      </c>
      <c r="D601" s="251">
        <f t="shared" si="21"/>
        <v>-0.21784172661870499</v>
      </c>
      <c r="E601" s="251">
        <v>1.3422818791946393E-2</v>
      </c>
      <c r="G601" s="251">
        <v>592</v>
      </c>
      <c r="H601" s="251">
        <f t="shared" ca="1" si="22"/>
        <v>-7.0937919369290555E-3</v>
      </c>
    </row>
    <row r="602" spans="2:8">
      <c r="B602" s="252">
        <v>44161</v>
      </c>
      <c r="C602" s="251">
        <v>173.75</v>
      </c>
      <c r="D602" s="251">
        <f t="shared" si="21"/>
        <v>-0.58948611931482575</v>
      </c>
      <c r="E602" s="251">
        <v>1.3414989792942617E-2</v>
      </c>
      <c r="G602" s="251">
        <v>593</v>
      </c>
      <c r="H602" s="251">
        <f t="shared" ca="1" si="22"/>
        <v>-9.8893205472132283E-4</v>
      </c>
    </row>
    <row r="603" spans="2:8">
      <c r="B603" s="252">
        <v>42338</v>
      </c>
      <c r="C603" s="251">
        <v>423.25</v>
      </c>
      <c r="D603" s="251">
        <f t="shared" si="21"/>
        <v>-0.15222834251377065</v>
      </c>
      <c r="E603" s="251">
        <v>1.3408356279181188E-2</v>
      </c>
      <c r="G603" s="251">
        <v>594</v>
      </c>
      <c r="H603" s="251">
        <f t="shared" ca="1" si="22"/>
        <v>-1.7140223885655351E-2</v>
      </c>
    </row>
    <row r="604" spans="2:8">
      <c r="B604" s="252">
        <v>42570</v>
      </c>
      <c r="C604" s="251">
        <v>499.25</v>
      </c>
      <c r="D604" s="251">
        <f t="shared" si="21"/>
        <v>0.48123423824358397</v>
      </c>
      <c r="E604" s="251">
        <v>1.3396934943672025E-2</v>
      </c>
      <c r="G604" s="251">
        <v>595</v>
      </c>
      <c r="H604" s="251">
        <f t="shared" ca="1" si="22"/>
        <v>9.6678913215066664E-3</v>
      </c>
    </row>
    <row r="605" spans="2:8">
      <c r="B605" s="252">
        <v>42396</v>
      </c>
      <c r="C605" s="251">
        <v>337.05</v>
      </c>
      <c r="D605" s="251">
        <f t="shared" si="21"/>
        <v>5.9239472030169778E-2</v>
      </c>
      <c r="E605" s="251">
        <v>1.3379434756464186E-2</v>
      </c>
      <c r="G605" s="251">
        <v>596</v>
      </c>
      <c r="H605" s="251">
        <f t="shared" ca="1" si="22"/>
        <v>-2.6266304122770555E-2</v>
      </c>
    </row>
    <row r="606" spans="2:8">
      <c r="B606" s="252">
        <v>42419</v>
      </c>
      <c r="C606" s="251">
        <v>318.2</v>
      </c>
      <c r="D606" s="251">
        <f t="shared" si="21"/>
        <v>-0.23693045563549164</v>
      </c>
      <c r="E606" s="251">
        <v>1.3375796178343913E-2</v>
      </c>
      <c r="G606" s="251">
        <v>597</v>
      </c>
      <c r="H606" s="251">
        <f t="shared" ca="1" si="22"/>
        <v>1.905493447096052E-2</v>
      </c>
    </row>
    <row r="607" spans="2:8">
      <c r="B607" s="252">
        <v>42482</v>
      </c>
      <c r="C607" s="251">
        <v>417</v>
      </c>
      <c r="D607" s="251">
        <f t="shared" si="21"/>
        <v>-0.58430942531027263</v>
      </c>
      <c r="E607" s="251">
        <v>1.3365735115431349E-2</v>
      </c>
      <c r="G607" s="251">
        <v>598</v>
      </c>
      <c r="H607" s="251">
        <f t="shared" ca="1" si="22"/>
        <v>-2.9024584203285048E-2</v>
      </c>
    </row>
    <row r="608" spans="2:8">
      <c r="B608" s="252">
        <v>45495</v>
      </c>
      <c r="C608" s="267">
        <v>1003.15</v>
      </c>
      <c r="D608" s="251">
        <f t="shared" si="21"/>
        <v>0.47889607996343864</v>
      </c>
      <c r="E608" s="251">
        <v>1.3282828282828259E-2</v>
      </c>
      <c r="G608" s="251">
        <v>599</v>
      </c>
      <c r="H608" s="251">
        <f t="shared" ca="1" si="22"/>
        <v>1.482082709581325E-2</v>
      </c>
    </row>
    <row r="609" spans="2:8">
      <c r="B609" s="252">
        <v>45246</v>
      </c>
      <c r="C609" s="251">
        <v>678.31</v>
      </c>
      <c r="D609" s="251">
        <f t="shared" si="21"/>
        <v>1.349125541125541</v>
      </c>
      <c r="E609" s="251">
        <v>1.3189340981059818E-2</v>
      </c>
      <c r="G609" s="251">
        <v>600</v>
      </c>
      <c r="H609" s="251">
        <f t="shared" ca="1" si="22"/>
        <v>-5.3368154914746014E-3</v>
      </c>
    </row>
    <row r="610" spans="2:8">
      <c r="B610" s="252">
        <v>42276</v>
      </c>
      <c r="C610" s="251">
        <v>288.75</v>
      </c>
      <c r="D610" s="251">
        <f t="shared" si="21"/>
        <v>0.7846106304079109</v>
      </c>
      <c r="E610" s="251">
        <v>1.3157894736842105E-2</v>
      </c>
      <c r="G610" s="251">
        <v>601</v>
      </c>
      <c r="H610" s="251">
        <f t="shared" ca="1" si="22"/>
        <v>-3.5320528490009606E-3</v>
      </c>
    </row>
    <row r="611" spans="2:8">
      <c r="B611" s="252">
        <v>43810</v>
      </c>
      <c r="C611" s="251">
        <v>161.80000000000001</v>
      </c>
      <c r="D611" s="251">
        <f t="shared" si="21"/>
        <v>-0.78498338870431905</v>
      </c>
      <c r="E611" s="251">
        <v>1.3149655604258128E-2</v>
      </c>
      <c r="G611" s="251">
        <v>602</v>
      </c>
      <c r="H611" s="251">
        <f t="shared" ca="1" si="22"/>
        <v>-1.2473787151455538E-3</v>
      </c>
    </row>
    <row r="612" spans="2:8">
      <c r="B612" s="252">
        <v>45680</v>
      </c>
      <c r="C612" s="251">
        <v>752.5</v>
      </c>
      <c r="D612" s="251">
        <f t="shared" si="21"/>
        <v>2.6648900732844771E-3</v>
      </c>
      <c r="E612" s="251">
        <v>1.3126893301918546E-2</v>
      </c>
      <c r="G612" s="251">
        <v>603</v>
      </c>
      <c r="H612" s="251">
        <f t="shared" ca="1" si="22"/>
        <v>1.123034885738583E-2</v>
      </c>
    </row>
    <row r="613" spans="2:8">
      <c r="B613" s="252">
        <v>45653</v>
      </c>
      <c r="C613" s="251">
        <v>750.5</v>
      </c>
      <c r="D613" s="251">
        <f t="shared" si="21"/>
        <v>-7.1634442918815905E-2</v>
      </c>
      <c r="E613" s="251">
        <v>1.3093952483801357E-2</v>
      </c>
      <c r="G613" s="251">
        <v>604</v>
      </c>
      <c r="H613" s="251">
        <f t="shared" ca="1" si="22"/>
        <v>3.1135638957105836E-2</v>
      </c>
    </row>
    <row r="614" spans="2:8">
      <c r="B614" s="252">
        <v>45315</v>
      </c>
      <c r="C614" s="251">
        <v>808.41</v>
      </c>
      <c r="D614" s="251">
        <f t="shared" si="21"/>
        <v>1.3903311649911294</v>
      </c>
      <c r="E614" s="251">
        <v>1.3057807741951602E-2</v>
      </c>
      <c r="G614" s="251">
        <v>605</v>
      </c>
      <c r="H614" s="251">
        <f t="shared" ca="1" si="22"/>
        <v>1.5699069349010299E-2</v>
      </c>
    </row>
    <row r="615" spans="2:8">
      <c r="B615" s="252">
        <v>43181</v>
      </c>
      <c r="C615" s="251">
        <v>338.2</v>
      </c>
      <c r="D615" s="251">
        <f t="shared" si="21"/>
        <v>-0.16932750405266001</v>
      </c>
      <c r="E615" s="251">
        <v>1.3029803804103537E-2</v>
      </c>
      <c r="G615" s="251">
        <v>606</v>
      </c>
      <c r="H615" s="251">
        <f t="shared" ca="1" si="22"/>
        <v>-9.8220390422914926E-3</v>
      </c>
    </row>
    <row r="616" spans="2:8">
      <c r="B616" s="252">
        <v>44949</v>
      </c>
      <c r="C616" s="251">
        <v>407.14</v>
      </c>
      <c r="D616" s="251">
        <f t="shared" si="21"/>
        <v>1.273255164712451</v>
      </c>
      <c r="E616" s="251">
        <v>1.3012863576422486E-2</v>
      </c>
      <c r="G616" s="251">
        <v>607</v>
      </c>
      <c r="H616" s="251">
        <f t="shared" ca="1" si="22"/>
        <v>3.5630360236915064E-2</v>
      </c>
    </row>
    <row r="617" spans="2:8">
      <c r="B617" s="252">
        <v>43607</v>
      </c>
      <c r="C617" s="251">
        <v>179.1</v>
      </c>
      <c r="D617" s="251">
        <f t="shared" si="21"/>
        <v>-0.33654380440822373</v>
      </c>
      <c r="E617" s="251">
        <v>1.300904977375556E-2</v>
      </c>
      <c r="G617" s="251">
        <v>608</v>
      </c>
      <c r="H617" s="251">
        <f t="shared" ca="1" si="22"/>
        <v>-2.9189851944217689E-2</v>
      </c>
    </row>
    <row r="618" spans="2:8">
      <c r="B618" s="252">
        <v>43349</v>
      </c>
      <c r="C618" s="251">
        <v>269.95</v>
      </c>
      <c r="D618" s="251">
        <f t="shared" si="21"/>
        <v>0.76842450049131983</v>
      </c>
      <c r="E618" s="251">
        <v>1.2945590994371439E-2</v>
      </c>
      <c r="G618" s="251">
        <v>609</v>
      </c>
      <c r="H618" s="251">
        <f t="shared" ca="1" si="22"/>
        <v>-2.3900133505926433E-3</v>
      </c>
    </row>
    <row r="619" spans="2:8">
      <c r="B619" s="252">
        <v>43507</v>
      </c>
      <c r="C619" s="251">
        <v>152.65</v>
      </c>
      <c r="D619" s="251">
        <f t="shared" si="21"/>
        <v>-0.77870397216584519</v>
      </c>
      <c r="E619" s="251">
        <v>1.2939615129396266E-2</v>
      </c>
      <c r="G619" s="251">
        <v>610</v>
      </c>
      <c r="H619" s="251">
        <f t="shared" ca="1" si="22"/>
        <v>3.8114363223317E-3</v>
      </c>
    </row>
    <row r="620" spans="2:8">
      <c r="B620" s="252">
        <v>45708</v>
      </c>
      <c r="C620" s="251">
        <v>689.8</v>
      </c>
      <c r="D620" s="251">
        <f t="shared" si="21"/>
        <v>1.6653786707882532</v>
      </c>
      <c r="E620" s="251">
        <v>1.2922173274596115E-2</v>
      </c>
      <c r="G620" s="251">
        <v>611</v>
      </c>
      <c r="H620" s="251">
        <f t="shared" ca="1" si="22"/>
        <v>-4.4834411646475936E-3</v>
      </c>
    </row>
    <row r="621" spans="2:8">
      <c r="B621" s="252">
        <v>43339</v>
      </c>
      <c r="C621" s="251">
        <v>258.8</v>
      </c>
      <c r="D621" s="251">
        <f t="shared" si="21"/>
        <v>-0.40134166088364559</v>
      </c>
      <c r="E621" s="251">
        <v>1.2915851272015701E-2</v>
      </c>
      <c r="G621" s="251">
        <v>612</v>
      </c>
      <c r="H621" s="251">
        <f t="shared" ca="1" si="22"/>
        <v>-8.4963763910077868E-3</v>
      </c>
    </row>
    <row r="622" spans="2:8">
      <c r="B622" s="252">
        <v>42865</v>
      </c>
      <c r="C622" s="251">
        <v>432.3</v>
      </c>
      <c r="D622" s="251">
        <f t="shared" si="21"/>
        <v>2.1405739193606972</v>
      </c>
      <c r="E622" s="251">
        <v>1.2886597938144329E-2</v>
      </c>
      <c r="G622" s="251">
        <v>613</v>
      </c>
      <c r="H622" s="251">
        <f t="shared" ca="1" si="22"/>
        <v>-3.7890903556383512E-2</v>
      </c>
    </row>
    <row r="623" spans="2:8">
      <c r="B623" s="252">
        <v>44140</v>
      </c>
      <c r="C623" s="251">
        <v>137.65</v>
      </c>
      <c r="D623" s="251">
        <f t="shared" si="21"/>
        <v>-0.70012853190423285</v>
      </c>
      <c r="E623" s="251">
        <v>1.2877115526122147E-2</v>
      </c>
      <c r="G623" s="251">
        <v>614</v>
      </c>
      <c r="H623" s="251">
        <f t="shared" ca="1" si="22"/>
        <v>3.6007924880666037E-2</v>
      </c>
    </row>
    <row r="624" spans="2:8">
      <c r="B624" s="252">
        <v>44796</v>
      </c>
      <c r="C624" s="251">
        <v>459.03</v>
      </c>
      <c r="D624" s="251">
        <f t="shared" si="21"/>
        <v>7.9931487296602613E-3</v>
      </c>
      <c r="E624" s="251">
        <v>1.2864077669902878E-2</v>
      </c>
      <c r="G624" s="251">
        <v>615</v>
      </c>
      <c r="H624" s="251">
        <f t="shared" ca="1" si="22"/>
        <v>7.6121033745774835E-2</v>
      </c>
    </row>
    <row r="625" spans="2:8">
      <c r="B625" s="252">
        <v>44817</v>
      </c>
      <c r="C625" s="251">
        <v>455.39</v>
      </c>
      <c r="D625" s="251">
        <f t="shared" si="21"/>
        <v>0.17915587778353184</v>
      </c>
      <c r="E625" s="251">
        <v>1.2855585952269684E-2</v>
      </c>
      <c r="G625" s="251">
        <v>616</v>
      </c>
      <c r="H625" s="251">
        <f t="shared" ca="1" si="22"/>
        <v>-4.0966698888866511E-2</v>
      </c>
    </row>
    <row r="626" spans="2:8">
      <c r="B626" s="252">
        <v>42293</v>
      </c>
      <c r="C626" s="251">
        <v>386.2</v>
      </c>
      <c r="D626" s="251">
        <f t="shared" si="21"/>
        <v>-7.3660981986519949E-2</v>
      </c>
      <c r="E626" s="251">
        <v>1.2850773669026953E-2</v>
      </c>
      <c r="G626" s="251">
        <v>617</v>
      </c>
      <c r="H626" s="251">
        <f t="shared" ca="1" si="22"/>
        <v>-3.1635402061367373E-3</v>
      </c>
    </row>
    <row r="627" spans="2:8">
      <c r="B627" s="252">
        <v>44937</v>
      </c>
      <c r="C627" s="251">
        <v>416.91</v>
      </c>
      <c r="D627" s="251">
        <f t="shared" si="21"/>
        <v>-0.37621006957432479</v>
      </c>
      <c r="E627" s="251">
        <v>1.2827053421762335E-2</v>
      </c>
      <c r="G627" s="251">
        <v>618</v>
      </c>
      <c r="H627" s="251">
        <f t="shared" ca="1" si="22"/>
        <v>-2.1340783641290061E-2</v>
      </c>
    </row>
    <row r="628" spans="2:8">
      <c r="B628" s="252">
        <v>45771</v>
      </c>
      <c r="C628" s="251">
        <v>668.35</v>
      </c>
      <c r="D628" s="251">
        <f t="shared" si="21"/>
        <v>0.19241748438893849</v>
      </c>
      <c r="E628" s="251">
        <v>1.2804970450068261E-2</v>
      </c>
      <c r="G628" s="251">
        <v>619</v>
      </c>
      <c r="H628" s="251">
        <f t="shared" ca="1" si="22"/>
        <v>1.8264393003749785E-2</v>
      </c>
    </row>
    <row r="629" spans="2:8">
      <c r="B629" s="252">
        <v>42627</v>
      </c>
      <c r="C629" s="251">
        <v>560.5</v>
      </c>
      <c r="D629" s="251">
        <f t="shared" si="21"/>
        <v>0.20896423795349639</v>
      </c>
      <c r="E629" s="251">
        <v>1.2738278073899998E-2</v>
      </c>
      <c r="G629" s="251">
        <v>620</v>
      </c>
      <c r="H629" s="251">
        <f t="shared" ca="1" si="22"/>
        <v>-2.2417289580613977E-2</v>
      </c>
    </row>
    <row r="630" spans="2:8">
      <c r="B630" s="252">
        <v>44799</v>
      </c>
      <c r="C630" s="251">
        <v>463.62</v>
      </c>
      <c r="D630" s="251">
        <f t="shared" si="21"/>
        <v>0.11850422195416165</v>
      </c>
      <c r="E630" s="251">
        <v>1.2735096878481364E-2</v>
      </c>
      <c r="G630" s="251">
        <v>621</v>
      </c>
      <c r="H630" s="251">
        <f t="shared" ca="1" si="22"/>
        <v>-1.3196476634635969E-2</v>
      </c>
    </row>
    <row r="631" spans="2:8">
      <c r="B631" s="252">
        <v>44739</v>
      </c>
      <c r="C631" s="251">
        <v>414.5</v>
      </c>
      <c r="D631" s="251">
        <f t="shared" si="21"/>
        <v>-7.218802462227196E-2</v>
      </c>
      <c r="E631" s="251">
        <v>1.2704617639872925E-2</v>
      </c>
      <c r="G631" s="251">
        <v>622</v>
      </c>
      <c r="H631" s="251">
        <f t="shared" ca="1" si="22"/>
        <v>-1.8860784793466034E-2</v>
      </c>
    </row>
    <row r="632" spans="2:8">
      <c r="B632" s="252">
        <v>44655</v>
      </c>
      <c r="C632" s="251">
        <v>446.75</v>
      </c>
      <c r="D632" s="251">
        <f t="shared" si="21"/>
        <v>0.14199897750511251</v>
      </c>
      <c r="E632" s="251">
        <v>1.2694094979032127E-2</v>
      </c>
      <c r="G632" s="251">
        <v>623</v>
      </c>
      <c r="H632" s="251">
        <f t="shared" ca="1" si="22"/>
        <v>1.67185180658522E-2</v>
      </c>
    </row>
    <row r="633" spans="2:8">
      <c r="B633" s="252">
        <v>42306</v>
      </c>
      <c r="C633" s="251">
        <v>391.2</v>
      </c>
      <c r="D633" s="251">
        <f t="shared" si="21"/>
        <v>-7.8857519602533635E-2</v>
      </c>
      <c r="E633" s="251">
        <v>1.2684442143411797E-2</v>
      </c>
      <c r="G633" s="251">
        <v>624</v>
      </c>
      <c r="H633" s="251">
        <f t="shared" ca="1" si="22"/>
        <v>7.4275210148737059E-3</v>
      </c>
    </row>
    <row r="634" spans="2:8">
      <c r="B634" s="252">
        <v>44986</v>
      </c>
      <c r="C634" s="251">
        <v>424.69</v>
      </c>
      <c r="D634" s="251">
        <f t="shared" si="21"/>
        <v>-0.53609621287426135</v>
      </c>
      <c r="E634" s="251">
        <v>1.258911327817642E-2</v>
      </c>
      <c r="G634" s="251">
        <v>625</v>
      </c>
      <c r="H634" s="251">
        <f t="shared" ca="1" si="22"/>
        <v>7.3131545412922017E-3</v>
      </c>
    </row>
    <row r="635" spans="2:8">
      <c r="B635" s="252">
        <v>45336</v>
      </c>
      <c r="C635" s="251">
        <v>915.47</v>
      </c>
      <c r="D635" s="251">
        <f t="shared" si="21"/>
        <v>2.0622846629871217</v>
      </c>
      <c r="E635" s="251">
        <v>1.256484277355633E-2</v>
      </c>
      <c r="G635" s="251">
        <v>626</v>
      </c>
      <c r="H635" s="251">
        <f t="shared" ca="1" si="22"/>
        <v>-2.1980039832529847E-2</v>
      </c>
    </row>
    <row r="636" spans="2:8">
      <c r="B636" s="252">
        <v>44448</v>
      </c>
      <c r="C636" s="251">
        <v>298.95</v>
      </c>
      <c r="D636" s="251">
        <f t="shared" si="21"/>
        <v>1.3076032419915087</v>
      </c>
      <c r="E636" s="251">
        <v>1.2531752751905127E-2</v>
      </c>
      <c r="G636" s="251">
        <v>627</v>
      </c>
      <c r="H636" s="251">
        <f t="shared" ca="1" si="22"/>
        <v>-6.2331316828200915E-3</v>
      </c>
    </row>
    <row r="637" spans="2:8">
      <c r="B637" s="252">
        <v>43721</v>
      </c>
      <c r="C637" s="251">
        <v>129.55000000000001</v>
      </c>
      <c r="D637" s="251">
        <f t="shared" si="21"/>
        <v>-0.28916323731138538</v>
      </c>
      <c r="E637" s="251">
        <v>1.2504884720594049E-2</v>
      </c>
      <c r="G637" s="251">
        <v>628</v>
      </c>
      <c r="H637" s="251">
        <f t="shared" ca="1" si="22"/>
        <v>-3.318384757204694E-2</v>
      </c>
    </row>
    <row r="638" spans="2:8">
      <c r="B638" s="252">
        <v>43542</v>
      </c>
      <c r="C638" s="251">
        <v>182.25</v>
      </c>
      <c r="D638" s="251">
        <f t="shared" si="21"/>
        <v>-0.81803386716721915</v>
      </c>
      <c r="E638" s="251">
        <v>1.2500000000000001E-2</v>
      </c>
      <c r="G638" s="251">
        <v>629</v>
      </c>
      <c r="H638" s="251">
        <f t="shared" ca="1" si="22"/>
        <v>-1.0081105539084751E-2</v>
      </c>
    </row>
    <row r="639" spans="2:8">
      <c r="B639" s="252">
        <v>45384</v>
      </c>
      <c r="C639" s="267">
        <v>1001.56</v>
      </c>
      <c r="D639" s="251">
        <f t="shared" si="21"/>
        <v>1.4914427860696515</v>
      </c>
      <c r="E639" s="251">
        <v>1.2494945410432572E-2</v>
      </c>
      <c r="G639" s="251">
        <v>630</v>
      </c>
      <c r="H639" s="251">
        <f t="shared" ca="1" si="22"/>
        <v>2.2309329817044827E-2</v>
      </c>
    </row>
    <row r="640" spans="2:8">
      <c r="B640" s="252">
        <v>43076</v>
      </c>
      <c r="C640" s="251">
        <v>402</v>
      </c>
      <c r="D640" s="251">
        <f t="shared" si="21"/>
        <v>-0.59882241405119507</v>
      </c>
      <c r="E640" s="251">
        <v>1.2466943709860191E-2</v>
      </c>
      <c r="G640" s="251">
        <v>631</v>
      </c>
      <c r="H640" s="251">
        <f t="shared" ca="1" si="22"/>
        <v>-2.631191811722184E-2</v>
      </c>
    </row>
    <row r="641" spans="2:8">
      <c r="B641" s="252">
        <v>45474</v>
      </c>
      <c r="C641" s="267">
        <v>1002.05</v>
      </c>
      <c r="D641" s="251">
        <f t="shared" si="21"/>
        <v>2.1912420382165605</v>
      </c>
      <c r="E641" s="251">
        <v>1.242738065167967E-2</v>
      </c>
      <c r="G641" s="251">
        <v>632</v>
      </c>
      <c r="H641" s="251">
        <f t="shared" ca="1" si="22"/>
        <v>8.8262165802935224E-4</v>
      </c>
    </row>
    <row r="642" spans="2:8">
      <c r="B642" s="252">
        <v>42418</v>
      </c>
      <c r="C642" s="251">
        <v>314</v>
      </c>
      <c r="D642" s="251">
        <f t="shared" si="21"/>
        <v>-0.28162891786776484</v>
      </c>
      <c r="E642" s="251">
        <v>1.2413348379816292E-2</v>
      </c>
      <c r="G642" s="251">
        <v>633</v>
      </c>
      <c r="H642" s="251">
        <f t="shared" ca="1" si="22"/>
        <v>3.910356528243987E-2</v>
      </c>
    </row>
    <row r="643" spans="2:8">
      <c r="B643" s="252">
        <v>42922</v>
      </c>
      <c r="C643" s="251">
        <v>437.1</v>
      </c>
      <c r="D643" s="251">
        <f t="shared" si="21"/>
        <v>0.12611103954656716</v>
      </c>
      <c r="E643" s="251">
        <v>1.2391430225825183E-2</v>
      </c>
      <c r="G643" s="251">
        <v>634</v>
      </c>
      <c r="H643" s="251">
        <f t="shared" ca="1" si="22"/>
        <v>-2.5102849513665947E-2</v>
      </c>
    </row>
    <row r="644" spans="2:8">
      <c r="B644" s="252">
        <v>42983</v>
      </c>
      <c r="C644" s="251">
        <v>388.15</v>
      </c>
      <c r="D644" s="251">
        <f t="shared" si="21"/>
        <v>-0.1122927387078331</v>
      </c>
      <c r="E644" s="251">
        <v>1.2389149713093376E-2</v>
      </c>
      <c r="G644" s="251">
        <v>635</v>
      </c>
      <c r="H644" s="251">
        <f t="shared" ca="1" si="22"/>
        <v>1.2670048309462851E-2</v>
      </c>
    </row>
    <row r="645" spans="2:8">
      <c r="B645" s="252">
        <v>42871</v>
      </c>
      <c r="C645" s="251">
        <v>437.25</v>
      </c>
      <c r="D645" s="251">
        <f t="shared" si="21"/>
        <v>-0.13833875258646169</v>
      </c>
      <c r="E645" s="251">
        <v>1.2387126649687481E-2</v>
      </c>
      <c r="G645" s="251">
        <v>636</v>
      </c>
      <c r="H645" s="251">
        <f t="shared" ca="1" si="22"/>
        <v>-1.0945955189432813E-2</v>
      </c>
    </row>
    <row r="646" spans="2:8">
      <c r="B646" s="252">
        <v>44602</v>
      </c>
      <c r="C646" s="251">
        <v>507.45</v>
      </c>
      <c r="D646" s="251">
        <f t="shared" si="21"/>
        <v>-1.091511548582003E-2</v>
      </c>
      <c r="E646" s="251">
        <v>1.2369077306733145E-2</v>
      </c>
      <c r="G646" s="251">
        <v>637</v>
      </c>
      <c r="H646" s="251">
        <f t="shared" ca="1" si="22"/>
        <v>1.0537393536165538E-2</v>
      </c>
    </row>
    <row r="647" spans="2:8">
      <c r="B647" s="252">
        <v>42774</v>
      </c>
      <c r="C647" s="251">
        <v>513.04999999999995</v>
      </c>
      <c r="D647" s="251">
        <f t="shared" si="21"/>
        <v>0.15721213488214714</v>
      </c>
      <c r="E647" s="251">
        <v>1.2332280978689707E-2</v>
      </c>
      <c r="G647" s="251">
        <v>638</v>
      </c>
      <c r="H647" s="251">
        <f t="shared" ca="1" si="22"/>
        <v>-2.385401720549489E-2</v>
      </c>
    </row>
    <row r="648" spans="2:8">
      <c r="B648" s="252">
        <v>42874</v>
      </c>
      <c r="C648" s="251">
        <v>443.35</v>
      </c>
      <c r="D648" s="251">
        <f t="shared" si="21"/>
        <v>-0.56318045223902657</v>
      </c>
      <c r="E648" s="251">
        <v>1.2330174677474676E-2</v>
      </c>
      <c r="G648" s="251">
        <v>639</v>
      </c>
      <c r="H648" s="251">
        <f t="shared" ca="1" si="22"/>
        <v>-7.4964649795457193E-3</v>
      </c>
    </row>
    <row r="649" spans="2:8">
      <c r="B649" s="252">
        <v>45482</v>
      </c>
      <c r="C649" s="267">
        <v>1014.95</v>
      </c>
      <c r="D649" s="251">
        <f t="shared" si="21"/>
        <v>0.35462128795462133</v>
      </c>
      <c r="E649" s="251">
        <v>1.2317973269499325E-2</v>
      </c>
      <c r="G649" s="251">
        <v>640</v>
      </c>
      <c r="H649" s="251">
        <f t="shared" ca="1" si="22"/>
        <v>1.6504704711720868E-2</v>
      </c>
    </row>
    <row r="650" spans="2:8">
      <c r="B650" s="252">
        <v>45658</v>
      </c>
      <c r="C650" s="251">
        <v>749.25</v>
      </c>
      <c r="D650" s="251">
        <f t="shared" ref="D650:D713" si="23">(C650-C651)/C651</f>
        <v>3.7799043062200957</v>
      </c>
      <c r="E650" s="251">
        <v>1.2294805107072922E-2</v>
      </c>
      <c r="G650" s="251">
        <v>641</v>
      </c>
      <c r="H650" s="251">
        <f t="shared" ca="1" si="22"/>
        <v>-2.4357161184982642E-3</v>
      </c>
    </row>
    <row r="651" spans="2:8">
      <c r="B651" s="252">
        <v>43668</v>
      </c>
      <c r="C651" s="251">
        <v>156.75</v>
      </c>
      <c r="D651" s="251">
        <f t="shared" si="23"/>
        <v>-0.6275395033860045</v>
      </c>
      <c r="E651" s="251">
        <v>1.2269938650306785E-2</v>
      </c>
      <c r="G651" s="251">
        <v>642</v>
      </c>
      <c r="H651" s="251">
        <f t="shared" ref="H651:H714" ca="1" si="24">_xlfn.NORM.INV(RAND(),N$12,N$13)</f>
        <v>6.191548584154382E-2</v>
      </c>
    </row>
    <row r="652" spans="2:8">
      <c r="B652" s="252">
        <v>44481</v>
      </c>
      <c r="C652" s="251">
        <v>420.85</v>
      </c>
      <c r="D652" s="251">
        <f t="shared" si="23"/>
        <v>-0.24068561118628773</v>
      </c>
      <c r="E652" s="251">
        <v>1.2266987372218936E-2</v>
      </c>
      <c r="G652" s="251">
        <v>643</v>
      </c>
      <c r="H652" s="251">
        <f t="shared" ca="1" si="24"/>
        <v>-1.3156257131636427E-2</v>
      </c>
    </row>
    <row r="653" spans="2:8">
      <c r="B653" s="252">
        <v>42661</v>
      </c>
      <c r="C653" s="251">
        <v>554.25</v>
      </c>
      <c r="D653" s="251">
        <f t="shared" si="23"/>
        <v>-0.18820944708897841</v>
      </c>
      <c r="E653" s="251">
        <v>1.2236325449730702E-2</v>
      </c>
      <c r="G653" s="251">
        <v>644</v>
      </c>
      <c r="H653" s="251">
        <f t="shared" ca="1" si="24"/>
        <v>-1.9182586552988472E-2</v>
      </c>
    </row>
    <row r="654" spans="2:8">
      <c r="B654" s="252">
        <v>45834</v>
      </c>
      <c r="C654" s="251">
        <v>682.75</v>
      </c>
      <c r="D654" s="251">
        <f t="shared" si="23"/>
        <v>-0.26540998246236935</v>
      </c>
      <c r="E654" s="251">
        <v>1.2231282431430689E-2</v>
      </c>
      <c r="G654" s="251">
        <v>645</v>
      </c>
      <c r="H654" s="251">
        <f t="shared" ca="1" si="24"/>
        <v>-1.6692218098797239E-2</v>
      </c>
    </row>
    <row r="655" spans="2:8">
      <c r="B655" s="252">
        <v>45344</v>
      </c>
      <c r="C655" s="251">
        <v>929.43</v>
      </c>
      <c r="D655" s="251">
        <f t="shared" si="23"/>
        <v>5.9724681170292557</v>
      </c>
      <c r="E655" s="251">
        <v>1.2208403214915731E-2</v>
      </c>
      <c r="G655" s="251">
        <v>646</v>
      </c>
      <c r="H655" s="251">
        <f t="shared" ca="1" si="24"/>
        <v>2.1234789499481231E-2</v>
      </c>
    </row>
    <row r="656" spans="2:8">
      <c r="B656" s="252">
        <v>44104</v>
      </c>
      <c r="C656" s="251">
        <v>133.30000000000001</v>
      </c>
      <c r="D656" s="251">
        <f t="shared" si="23"/>
        <v>0.14126712328767135</v>
      </c>
      <c r="E656" s="251">
        <v>1.2148823082764031E-2</v>
      </c>
      <c r="G656" s="251">
        <v>647</v>
      </c>
      <c r="H656" s="251">
        <f t="shared" ca="1" si="24"/>
        <v>4.1868256732189968E-2</v>
      </c>
    </row>
    <row r="657" spans="2:8">
      <c r="B657" s="252">
        <v>44049</v>
      </c>
      <c r="C657" s="251">
        <v>116.8</v>
      </c>
      <c r="D657" s="251">
        <f t="shared" si="23"/>
        <v>-0.81545267814820677</v>
      </c>
      <c r="E657" s="251">
        <v>1.2131715771230428E-2</v>
      </c>
      <c r="G657" s="251">
        <v>648</v>
      </c>
      <c r="H657" s="251">
        <f t="shared" ca="1" si="24"/>
        <v>2.8491945423751167E-2</v>
      </c>
    </row>
    <row r="658" spans="2:8">
      <c r="B658" s="252">
        <v>45180</v>
      </c>
      <c r="C658" s="251">
        <v>632.9</v>
      </c>
      <c r="D658" s="251">
        <f t="shared" si="23"/>
        <v>1.0970841616964875</v>
      </c>
      <c r="E658" s="251">
        <v>1.2121793641655354E-2</v>
      </c>
      <c r="G658" s="251">
        <v>649</v>
      </c>
      <c r="H658" s="251">
        <f t="shared" ca="1" si="24"/>
        <v>-2.5864552646094167E-2</v>
      </c>
    </row>
    <row r="659" spans="2:8">
      <c r="B659" s="252">
        <v>42426</v>
      </c>
      <c r="C659" s="251">
        <v>301.8</v>
      </c>
      <c r="D659" s="251">
        <f t="shared" si="23"/>
        <v>-0.53711656441717792</v>
      </c>
      <c r="E659" s="251">
        <v>1.2072434607645953E-2</v>
      </c>
      <c r="G659" s="251">
        <v>650</v>
      </c>
      <c r="H659" s="251">
        <f t="shared" ca="1" si="24"/>
        <v>1.322128411876102E-2</v>
      </c>
    </row>
    <row r="660" spans="2:8">
      <c r="B660" s="252">
        <v>45779</v>
      </c>
      <c r="C660" s="251">
        <v>652</v>
      </c>
      <c r="D660" s="251">
        <f t="shared" si="23"/>
        <v>0.61526074569552835</v>
      </c>
      <c r="E660" s="251">
        <v>1.2029491656965464E-2</v>
      </c>
      <c r="G660" s="251">
        <v>651</v>
      </c>
      <c r="H660" s="251">
        <f t="shared" ca="1" si="24"/>
        <v>-7.7036065698092718E-3</v>
      </c>
    </row>
    <row r="661" spans="2:8">
      <c r="B661" s="252">
        <v>43073</v>
      </c>
      <c r="C661" s="251">
        <v>403.65</v>
      </c>
      <c r="D661" s="251">
        <f t="shared" si="23"/>
        <v>-0.20423854115327753</v>
      </c>
      <c r="E661" s="251">
        <v>1.1907746302331412E-2</v>
      </c>
      <c r="G661" s="251">
        <v>652</v>
      </c>
      <c r="H661" s="251">
        <f t="shared" ca="1" si="24"/>
        <v>-6.2750962848767211E-3</v>
      </c>
    </row>
    <row r="662" spans="2:8">
      <c r="B662" s="252">
        <v>44573</v>
      </c>
      <c r="C662" s="251">
        <v>507.25</v>
      </c>
      <c r="D662" s="251">
        <f t="shared" si="23"/>
        <v>0.54226208574034673</v>
      </c>
      <c r="E662" s="251">
        <v>1.1869140235387968E-2</v>
      </c>
      <c r="G662" s="251">
        <v>653</v>
      </c>
      <c r="H662" s="251">
        <f t="shared" ca="1" si="24"/>
        <v>-5.4323811280977347E-3</v>
      </c>
    </row>
    <row r="663" spans="2:8">
      <c r="B663" s="252">
        <v>44237</v>
      </c>
      <c r="C663" s="251">
        <v>328.9</v>
      </c>
      <c r="D663" s="251">
        <f t="shared" si="23"/>
        <v>-0.65522302007442745</v>
      </c>
      <c r="E663" s="251">
        <v>1.184433164128585E-2</v>
      </c>
      <c r="G663" s="251">
        <v>654</v>
      </c>
      <c r="H663" s="251">
        <f t="shared" ca="1" si="24"/>
        <v>-6.6787585116997077E-3</v>
      </c>
    </row>
    <row r="664" spans="2:8">
      <c r="B664" s="252">
        <v>45430</v>
      </c>
      <c r="C664" s="251">
        <v>953.95</v>
      </c>
      <c r="D664" s="251">
        <f t="shared" si="23"/>
        <v>1.8219198343440322</v>
      </c>
      <c r="E664" s="251">
        <v>1.1837206588954149E-2</v>
      </c>
      <c r="G664" s="251">
        <v>655</v>
      </c>
      <c r="H664" s="251">
        <f t="shared" ca="1" si="24"/>
        <v>4.8831615329482186E-2</v>
      </c>
    </row>
    <row r="665" spans="2:8">
      <c r="B665" s="252">
        <v>42263</v>
      </c>
      <c r="C665" s="251">
        <v>338.05</v>
      </c>
      <c r="D665" s="251">
        <f t="shared" si="23"/>
        <v>1.7152610441767069</v>
      </c>
      <c r="E665" s="251">
        <v>1.1822807542651866E-2</v>
      </c>
      <c r="G665" s="251">
        <v>656</v>
      </c>
      <c r="H665" s="251">
        <f t="shared" ca="1" si="24"/>
        <v>-1.3707107930851059E-2</v>
      </c>
    </row>
    <row r="666" spans="2:8">
      <c r="B666" s="252">
        <v>43734</v>
      </c>
      <c r="C666" s="251">
        <v>124.5</v>
      </c>
      <c r="D666" s="251">
        <f t="shared" si="23"/>
        <v>-0.6750619861672974</v>
      </c>
      <c r="E666" s="251">
        <v>1.1783827712312091E-2</v>
      </c>
      <c r="G666" s="251">
        <v>657</v>
      </c>
      <c r="H666" s="251">
        <f t="shared" ca="1" si="24"/>
        <v>-4.1979577278971142E-2</v>
      </c>
    </row>
    <row r="667" spans="2:8">
      <c r="B667" s="252">
        <v>42297</v>
      </c>
      <c r="C667" s="251">
        <v>383.15</v>
      </c>
      <c r="D667" s="251">
        <f t="shared" si="23"/>
        <v>-8.838924577682615E-2</v>
      </c>
      <c r="E667" s="251">
        <v>1.1750726168471056E-2</v>
      </c>
      <c r="G667" s="251">
        <v>658</v>
      </c>
      <c r="H667" s="251">
        <f t="shared" ca="1" si="24"/>
        <v>-1.8501968014113544E-2</v>
      </c>
    </row>
    <row r="668" spans="2:8">
      <c r="B668" s="252">
        <v>44911</v>
      </c>
      <c r="C668" s="251">
        <v>420.3</v>
      </c>
      <c r="D668" s="251">
        <f t="shared" si="23"/>
        <v>1.6567904220582956E-2</v>
      </c>
      <c r="E668" s="251">
        <v>1.1747147465215914E-2</v>
      </c>
      <c r="G668" s="251">
        <v>659</v>
      </c>
      <c r="H668" s="251">
        <f t="shared" ca="1" si="24"/>
        <v>1.6944683223476349E-5</v>
      </c>
    </row>
    <row r="669" spans="2:8">
      <c r="B669" s="252">
        <v>43055</v>
      </c>
      <c r="C669" s="251">
        <v>413.45</v>
      </c>
      <c r="D669" s="251">
        <f t="shared" si="23"/>
        <v>2.5040287591421757E-2</v>
      </c>
      <c r="E669" s="251">
        <v>1.1745992903462649E-2</v>
      </c>
      <c r="G669" s="251">
        <v>660</v>
      </c>
      <c r="H669" s="251">
        <f t="shared" ca="1" si="24"/>
        <v>3.4061202394525085E-2</v>
      </c>
    </row>
    <row r="670" spans="2:8">
      <c r="B670" s="252">
        <v>42499</v>
      </c>
      <c r="C670" s="251">
        <v>403.35</v>
      </c>
      <c r="D670" s="251">
        <f t="shared" si="23"/>
        <v>1.2113486842105263</v>
      </c>
      <c r="E670" s="251">
        <v>1.1662904439428228E-2</v>
      </c>
      <c r="G670" s="251">
        <v>661</v>
      </c>
      <c r="H670" s="251">
        <f t="shared" ca="1" si="24"/>
        <v>-2.1561943833910699E-4</v>
      </c>
    </row>
    <row r="671" spans="2:8">
      <c r="B671" s="252">
        <v>43479</v>
      </c>
      <c r="C671" s="251">
        <v>182.4</v>
      </c>
      <c r="D671" s="251">
        <f t="shared" si="23"/>
        <v>-0.54840307006684819</v>
      </c>
      <c r="E671" s="251">
        <v>1.1647254575707122E-2</v>
      </c>
      <c r="G671" s="251">
        <v>662</v>
      </c>
      <c r="H671" s="251">
        <f t="shared" ca="1" si="24"/>
        <v>-4.332391118690284E-2</v>
      </c>
    </row>
    <row r="672" spans="2:8">
      <c r="B672" s="252">
        <v>42517</v>
      </c>
      <c r="C672" s="251">
        <v>403.9</v>
      </c>
      <c r="D672" s="251">
        <f t="shared" si="23"/>
        <v>0.17720781113378009</v>
      </c>
      <c r="E672" s="251">
        <v>1.1646837820914158E-2</v>
      </c>
      <c r="G672" s="251">
        <v>663</v>
      </c>
      <c r="H672" s="251">
        <f t="shared" ca="1" si="24"/>
        <v>2.4252363576976769E-3</v>
      </c>
    </row>
    <row r="673" spans="2:8">
      <c r="B673" s="252">
        <v>43193</v>
      </c>
      <c r="C673" s="251">
        <v>343.1</v>
      </c>
      <c r="D673" s="251">
        <f t="shared" si="23"/>
        <v>-0.3245132203256354</v>
      </c>
      <c r="E673" s="251">
        <v>1.1646763968745527E-2</v>
      </c>
      <c r="G673" s="251">
        <v>664</v>
      </c>
      <c r="H673" s="251">
        <f t="shared" ca="1" si="24"/>
        <v>9.3337642421322132E-3</v>
      </c>
    </row>
    <row r="674" spans="2:8">
      <c r="B674" s="252">
        <v>45056</v>
      </c>
      <c r="C674" s="251">
        <v>507.93</v>
      </c>
      <c r="D674" s="251">
        <f t="shared" si="23"/>
        <v>4.8248853211009175</v>
      </c>
      <c r="E674" s="251">
        <v>1.161123282214695E-2</v>
      </c>
      <c r="G674" s="251">
        <v>665</v>
      </c>
      <c r="H674" s="251">
        <f t="shared" ca="1" si="24"/>
        <v>9.2433432034051168E-3</v>
      </c>
    </row>
    <row r="675" spans="2:8">
      <c r="B675" s="252">
        <v>43964</v>
      </c>
      <c r="C675" s="251">
        <v>87.2</v>
      </c>
      <c r="D675" s="251">
        <f t="shared" si="23"/>
        <v>-0.8065661047027507</v>
      </c>
      <c r="E675" s="251">
        <v>1.1600928074245939E-2</v>
      </c>
      <c r="G675" s="251">
        <v>666</v>
      </c>
      <c r="H675" s="251">
        <f t="shared" ca="1" si="24"/>
        <v>1.8378074290610912E-2</v>
      </c>
    </row>
    <row r="676" spans="2:8">
      <c r="B676" s="252">
        <v>42851</v>
      </c>
      <c r="C676" s="251">
        <v>450.8</v>
      </c>
      <c r="D676" s="251">
        <f t="shared" si="23"/>
        <v>-7.3666906400904078E-2</v>
      </c>
      <c r="E676" s="251">
        <v>1.1556153932458284E-2</v>
      </c>
      <c r="G676" s="251">
        <v>667</v>
      </c>
      <c r="H676" s="251">
        <f t="shared" ca="1" si="24"/>
        <v>-1.9473652398640295E-2</v>
      </c>
    </row>
    <row r="677" spans="2:8">
      <c r="B677" s="252">
        <v>42739</v>
      </c>
      <c r="C677" s="251">
        <v>486.65</v>
      </c>
      <c r="D677" s="251">
        <f t="shared" si="23"/>
        <v>-7.6337616489836252E-2</v>
      </c>
      <c r="E677" s="251">
        <v>1.1536063188526199E-2</v>
      </c>
      <c r="G677" s="251">
        <v>668</v>
      </c>
      <c r="H677" s="251">
        <f t="shared" ca="1" si="24"/>
        <v>9.6542655531477051E-3</v>
      </c>
    </row>
    <row r="678" spans="2:8">
      <c r="B678" s="252">
        <v>45069</v>
      </c>
      <c r="C678" s="251">
        <v>526.87</v>
      </c>
      <c r="D678" s="251">
        <f t="shared" si="23"/>
        <v>-0.23647561770886161</v>
      </c>
      <c r="E678" s="251">
        <v>1.1480350937818001E-2</v>
      </c>
      <c r="G678" s="251">
        <v>669</v>
      </c>
      <c r="H678" s="251">
        <f t="shared" ca="1" si="24"/>
        <v>1.5940322747169142E-2</v>
      </c>
    </row>
    <row r="679" spans="2:8">
      <c r="B679" s="252">
        <v>45736</v>
      </c>
      <c r="C679" s="251">
        <v>690.05</v>
      </c>
      <c r="D679" s="251">
        <f t="shared" si="23"/>
        <v>0.53477458241587139</v>
      </c>
      <c r="E679" s="251">
        <v>1.1432759252473368E-2</v>
      </c>
      <c r="G679" s="251">
        <v>670</v>
      </c>
      <c r="H679" s="251">
        <f t="shared" ca="1" si="24"/>
        <v>3.3796010707454974E-3</v>
      </c>
    </row>
    <row r="680" spans="2:8">
      <c r="B680" s="252">
        <v>44816</v>
      </c>
      <c r="C680" s="251">
        <v>449.61</v>
      </c>
      <c r="D680" s="251">
        <f t="shared" si="23"/>
        <v>-0.18230426479949077</v>
      </c>
      <c r="E680" s="251">
        <v>1.1427800148471511E-2</v>
      </c>
      <c r="G680" s="251">
        <v>671</v>
      </c>
      <c r="H680" s="251">
        <f t="shared" ca="1" si="24"/>
        <v>-1.6411554945838281E-2</v>
      </c>
    </row>
    <row r="681" spans="2:8">
      <c r="B681" s="252">
        <v>42615</v>
      </c>
      <c r="C681" s="251">
        <v>549.85</v>
      </c>
      <c r="D681" s="251">
        <f t="shared" si="23"/>
        <v>-0.46371793621379104</v>
      </c>
      <c r="E681" s="251">
        <v>1.1404396210797472E-2</v>
      </c>
      <c r="G681" s="251">
        <v>672</v>
      </c>
      <c r="H681" s="251">
        <f t="shared" ca="1" si="24"/>
        <v>-7.3880778043897829E-3</v>
      </c>
    </row>
    <row r="682" spans="2:8">
      <c r="B682" s="252">
        <v>45511</v>
      </c>
      <c r="C682" s="267">
        <v>1025.3</v>
      </c>
      <c r="D682" s="251">
        <f t="shared" si="23"/>
        <v>4.2471852610030707</v>
      </c>
      <c r="E682" s="251">
        <v>1.1393341553637439E-2</v>
      </c>
      <c r="G682" s="251">
        <v>673</v>
      </c>
      <c r="H682" s="251">
        <f t="shared" ca="1" si="24"/>
        <v>4.5208323461649005E-2</v>
      </c>
    </row>
    <row r="683" spans="2:8">
      <c r="B683" s="252">
        <v>44202</v>
      </c>
      <c r="C683" s="251">
        <v>195.4</v>
      </c>
      <c r="D683" s="251">
        <f t="shared" si="23"/>
        <v>-0.37160315163209517</v>
      </c>
      <c r="E683" s="251">
        <v>1.1387163561076694E-2</v>
      </c>
      <c r="G683" s="251">
        <v>674</v>
      </c>
      <c r="H683" s="251">
        <f t="shared" ca="1" si="24"/>
        <v>-1.3047779130652406E-2</v>
      </c>
    </row>
    <row r="684" spans="2:8">
      <c r="B684" s="252">
        <v>44390</v>
      </c>
      <c r="C684" s="251">
        <v>310.95</v>
      </c>
      <c r="D684" s="251">
        <f t="shared" si="23"/>
        <v>-0.2797915460335843</v>
      </c>
      <c r="E684" s="251">
        <v>1.1383964872336966E-2</v>
      </c>
      <c r="G684" s="251">
        <v>675</v>
      </c>
      <c r="H684" s="251">
        <f t="shared" ca="1" si="24"/>
        <v>-3.3713463472591139E-2</v>
      </c>
    </row>
    <row r="685" spans="2:8">
      <c r="B685" s="252">
        <v>42921</v>
      </c>
      <c r="C685" s="251">
        <v>431.75</v>
      </c>
      <c r="D685" s="251">
        <f t="shared" si="23"/>
        <v>-6.1106882679134548E-2</v>
      </c>
      <c r="E685" s="251">
        <v>1.1360974467088366E-2</v>
      </c>
      <c r="G685" s="251">
        <v>676</v>
      </c>
      <c r="H685" s="251">
        <f t="shared" ca="1" si="24"/>
        <v>-7.6560113653666552E-4</v>
      </c>
    </row>
    <row r="686" spans="2:8">
      <c r="B686" s="252">
        <v>42703</v>
      </c>
      <c r="C686" s="251">
        <v>459.85</v>
      </c>
      <c r="D686" s="251">
        <f t="shared" si="23"/>
        <v>1.7751961375980692</v>
      </c>
      <c r="E686" s="251">
        <v>1.1326149109302913E-2</v>
      </c>
      <c r="G686" s="251">
        <v>677</v>
      </c>
      <c r="H686" s="251">
        <f t="shared" ca="1" si="24"/>
        <v>2.2858338569331553E-2</v>
      </c>
    </row>
    <row r="687" spans="2:8">
      <c r="B687" s="252">
        <v>43865</v>
      </c>
      <c r="C687" s="251">
        <v>165.7</v>
      </c>
      <c r="D687" s="251">
        <f t="shared" si="23"/>
        <v>-0.80354496413539622</v>
      </c>
      <c r="E687" s="251">
        <v>1.1290814769606312E-2</v>
      </c>
      <c r="G687" s="251">
        <v>678</v>
      </c>
      <c r="H687" s="251">
        <f t="shared" ca="1" si="24"/>
        <v>-2.1276911179593299E-3</v>
      </c>
    </row>
    <row r="688" spans="2:8">
      <c r="B688" s="252">
        <v>45597</v>
      </c>
      <c r="C688" s="251">
        <v>843.45</v>
      </c>
      <c r="D688" s="251">
        <f t="shared" si="23"/>
        <v>4.2177544076708946</v>
      </c>
      <c r="E688" s="251">
        <v>1.1270307535519563E-2</v>
      </c>
      <c r="G688" s="251">
        <v>679</v>
      </c>
      <c r="H688" s="251">
        <f t="shared" ca="1" si="24"/>
        <v>4.8387812306251499E-2</v>
      </c>
    </row>
    <row r="689" spans="2:8">
      <c r="B689" s="252">
        <v>43511</v>
      </c>
      <c r="C689" s="251">
        <v>161.65</v>
      </c>
      <c r="D689" s="251">
        <f t="shared" si="23"/>
        <v>-0.61525645602760926</v>
      </c>
      <c r="E689" s="251">
        <v>1.1260556771973797E-2</v>
      </c>
      <c r="G689" s="251">
        <v>680</v>
      </c>
      <c r="H689" s="251">
        <f t="shared" ca="1" si="24"/>
        <v>7.3860644003174748E-3</v>
      </c>
    </row>
    <row r="690" spans="2:8">
      <c r="B690" s="252">
        <v>43020</v>
      </c>
      <c r="C690" s="251">
        <v>420.15</v>
      </c>
      <c r="D690" s="251">
        <f t="shared" si="23"/>
        <v>-0.2230954142011834</v>
      </c>
      <c r="E690" s="251">
        <v>1.1191335740072148E-2</v>
      </c>
      <c r="G690" s="251">
        <v>681</v>
      </c>
      <c r="H690" s="251">
        <f t="shared" ca="1" si="24"/>
        <v>-3.0065488938133177E-2</v>
      </c>
    </row>
    <row r="691" spans="2:8">
      <c r="B691" s="252">
        <v>42646</v>
      </c>
      <c r="C691" s="251">
        <v>540.79999999999995</v>
      </c>
      <c r="D691" s="251">
        <f t="shared" si="23"/>
        <v>0.27306967984934072</v>
      </c>
      <c r="E691" s="251">
        <v>1.1124614377862824E-2</v>
      </c>
      <c r="G691" s="251">
        <v>682</v>
      </c>
      <c r="H691" s="251">
        <f t="shared" ca="1" si="24"/>
        <v>-9.1525071281400383E-4</v>
      </c>
    </row>
    <row r="692" spans="2:8">
      <c r="B692" s="252">
        <v>43021</v>
      </c>
      <c r="C692" s="251">
        <v>424.8</v>
      </c>
      <c r="D692" s="251">
        <f t="shared" si="23"/>
        <v>-0.21861491768601116</v>
      </c>
      <c r="E692" s="251">
        <v>1.1067475901463845E-2</v>
      </c>
      <c r="G692" s="251">
        <v>683</v>
      </c>
      <c r="H692" s="251">
        <f t="shared" ca="1" si="24"/>
        <v>-1.9873967972659834E-2</v>
      </c>
    </row>
    <row r="693" spans="2:8">
      <c r="B693" s="252">
        <v>42614</v>
      </c>
      <c r="C693" s="251">
        <v>543.65</v>
      </c>
      <c r="D693" s="251">
        <f t="shared" si="23"/>
        <v>0.4152023948978264</v>
      </c>
      <c r="E693" s="251">
        <v>1.1065649990701006E-2</v>
      </c>
      <c r="G693" s="251">
        <v>684</v>
      </c>
      <c r="H693" s="251">
        <f t="shared" ca="1" si="24"/>
        <v>1.0155142305488019E-2</v>
      </c>
    </row>
    <row r="694" spans="2:8">
      <c r="B694" s="252">
        <v>42971</v>
      </c>
      <c r="C694" s="251">
        <v>384.15</v>
      </c>
      <c r="D694" s="251">
        <f t="shared" si="23"/>
        <v>1.2014326647564468</v>
      </c>
      <c r="E694" s="251">
        <v>1.1054086063955753E-2</v>
      </c>
      <c r="G694" s="251">
        <v>685</v>
      </c>
      <c r="H694" s="251">
        <f t="shared" ca="1" si="24"/>
        <v>6.6099865894861509E-3</v>
      </c>
    </row>
    <row r="695" spans="2:8">
      <c r="B695" s="252">
        <v>43619</v>
      </c>
      <c r="C695" s="251">
        <v>174.5</v>
      </c>
      <c r="D695" s="251">
        <f t="shared" si="23"/>
        <v>-0.75990643918547052</v>
      </c>
      <c r="E695" s="251">
        <v>1.1008111239860983E-2</v>
      </c>
      <c r="G695" s="251">
        <v>686</v>
      </c>
      <c r="H695" s="251">
        <f t="shared" ca="1" si="24"/>
        <v>2.8827588860386697E-2</v>
      </c>
    </row>
    <row r="696" spans="2:8">
      <c r="B696" s="252">
        <v>45798</v>
      </c>
      <c r="C696" s="251">
        <v>726.8</v>
      </c>
      <c r="D696" s="251">
        <f t="shared" si="23"/>
        <v>6.94526191877574E-2</v>
      </c>
      <c r="E696" s="251">
        <v>1.0989010989010957E-2</v>
      </c>
      <c r="G696" s="251">
        <v>687</v>
      </c>
      <c r="H696" s="251">
        <f t="shared" ca="1" si="24"/>
        <v>-3.09936319048408E-2</v>
      </c>
    </row>
    <row r="697" spans="2:8">
      <c r="B697" s="252">
        <v>45251</v>
      </c>
      <c r="C697" s="251">
        <v>679.6</v>
      </c>
      <c r="D697" s="251">
        <f t="shared" si="23"/>
        <v>4.2418048592364057</v>
      </c>
      <c r="E697" s="251">
        <v>1.0963509513113078E-2</v>
      </c>
      <c r="G697" s="251">
        <v>688</v>
      </c>
      <c r="H697" s="251">
        <f t="shared" ca="1" si="24"/>
        <v>-1.5552963016496692E-2</v>
      </c>
    </row>
    <row r="698" spans="2:8">
      <c r="B698" s="252">
        <v>44124</v>
      </c>
      <c r="C698" s="251">
        <v>129.65</v>
      </c>
      <c r="D698" s="251">
        <f t="shared" si="23"/>
        <v>-0.58873909595559082</v>
      </c>
      <c r="E698" s="251">
        <v>1.0916179337232013E-2</v>
      </c>
      <c r="G698" s="251">
        <v>689</v>
      </c>
      <c r="H698" s="251">
        <f t="shared" ca="1" si="24"/>
        <v>3.9891271164248468E-2</v>
      </c>
    </row>
    <row r="699" spans="2:8">
      <c r="B699" s="252">
        <v>44341</v>
      </c>
      <c r="C699" s="251">
        <v>315.25</v>
      </c>
      <c r="D699" s="251">
        <f t="shared" si="23"/>
        <v>0.77856135401974613</v>
      </c>
      <c r="E699" s="251">
        <v>1.0902677569344162E-2</v>
      </c>
      <c r="G699" s="251">
        <v>690</v>
      </c>
      <c r="H699" s="251">
        <f t="shared" ca="1" si="24"/>
        <v>1.8808964646589991E-2</v>
      </c>
    </row>
    <row r="700" spans="2:8">
      <c r="B700" s="252">
        <v>43403</v>
      </c>
      <c r="C700" s="251">
        <v>177.25</v>
      </c>
      <c r="D700" s="251">
        <f t="shared" si="23"/>
        <v>2.6346265199768452E-2</v>
      </c>
      <c r="E700" s="251">
        <v>1.0835471913316257E-2</v>
      </c>
      <c r="G700" s="251">
        <v>691</v>
      </c>
      <c r="H700" s="251">
        <f t="shared" ca="1" si="24"/>
        <v>9.4930745092563253E-3</v>
      </c>
    </row>
    <row r="701" spans="2:8">
      <c r="B701" s="252">
        <v>43465</v>
      </c>
      <c r="C701" s="251">
        <v>172.7</v>
      </c>
      <c r="D701" s="251">
        <f t="shared" si="23"/>
        <v>0.15595716198125825</v>
      </c>
      <c r="E701" s="251">
        <v>1.0828211881767599E-2</v>
      </c>
      <c r="G701" s="251">
        <v>692</v>
      </c>
      <c r="H701" s="251">
        <f t="shared" ca="1" si="24"/>
        <v>-2.7741765895966462E-2</v>
      </c>
    </row>
    <row r="702" spans="2:8">
      <c r="B702" s="252">
        <v>44081</v>
      </c>
      <c r="C702" s="251">
        <v>149.4</v>
      </c>
      <c r="D702" s="251">
        <f t="shared" si="23"/>
        <v>-0.81463099905702518</v>
      </c>
      <c r="E702" s="251">
        <v>1.0825439783491165E-2</v>
      </c>
      <c r="G702" s="251">
        <v>693</v>
      </c>
      <c r="H702" s="251">
        <f t="shared" ca="1" si="24"/>
        <v>-7.781434859225572E-3</v>
      </c>
    </row>
    <row r="703" spans="2:8">
      <c r="B703" s="252">
        <v>45301</v>
      </c>
      <c r="C703" s="251">
        <v>805.96</v>
      </c>
      <c r="D703" s="251">
        <f t="shared" si="23"/>
        <v>1.3852027226990236</v>
      </c>
      <c r="E703" s="251">
        <v>1.0810946396769263E-2</v>
      </c>
      <c r="G703" s="251">
        <v>694</v>
      </c>
      <c r="H703" s="251">
        <f t="shared" ca="1" si="24"/>
        <v>3.1039752325593997E-2</v>
      </c>
    </row>
    <row r="704" spans="2:8">
      <c r="B704" s="252">
        <v>44369</v>
      </c>
      <c r="C704" s="251">
        <v>337.9</v>
      </c>
      <c r="D704" s="251">
        <f t="shared" si="23"/>
        <v>-0.65184689093812787</v>
      </c>
      <c r="E704" s="251">
        <v>1.0768770565360353E-2</v>
      </c>
      <c r="G704" s="251">
        <v>695</v>
      </c>
      <c r="H704" s="251">
        <f t="shared" ca="1" si="24"/>
        <v>2.2578678150245862E-2</v>
      </c>
    </row>
    <row r="705" spans="2:8">
      <c r="B705" s="252">
        <v>45404</v>
      </c>
      <c r="C705" s="251">
        <v>970.55</v>
      </c>
      <c r="D705" s="251">
        <f t="shared" si="23"/>
        <v>1.0173560590313862</v>
      </c>
      <c r="E705" s="251">
        <v>1.0736899108556137E-2</v>
      </c>
      <c r="G705" s="251">
        <v>696</v>
      </c>
      <c r="H705" s="251">
        <f t="shared" ca="1" si="24"/>
        <v>-1.6352173135134752E-2</v>
      </c>
    </row>
    <row r="706" spans="2:8">
      <c r="B706" s="252">
        <v>42881</v>
      </c>
      <c r="C706" s="251">
        <v>481.1</v>
      </c>
      <c r="D706" s="251">
        <f t="shared" si="23"/>
        <v>9.6524216524216583E-2</v>
      </c>
      <c r="E706" s="251">
        <v>1.0714285714285761E-2</v>
      </c>
      <c r="G706" s="251">
        <v>697</v>
      </c>
      <c r="H706" s="251">
        <f t="shared" ca="1" si="24"/>
        <v>4.4873119390422871E-2</v>
      </c>
    </row>
    <row r="707" spans="2:8">
      <c r="B707" s="252">
        <v>44965</v>
      </c>
      <c r="C707" s="251">
        <v>438.75</v>
      </c>
      <c r="D707" s="251">
        <f t="shared" si="23"/>
        <v>1.8288578921716515E-2</v>
      </c>
      <c r="E707" s="251">
        <v>1.0688535163898519E-2</v>
      </c>
      <c r="G707" s="251">
        <v>698</v>
      </c>
      <c r="H707" s="251">
        <f t="shared" ca="1" si="24"/>
        <v>2.0838645464968143E-2</v>
      </c>
    </row>
    <row r="708" spans="2:8">
      <c r="B708" s="252">
        <v>44826</v>
      </c>
      <c r="C708" s="251">
        <v>430.87</v>
      </c>
      <c r="D708" s="251">
        <f t="shared" si="23"/>
        <v>-0.37323441704851268</v>
      </c>
      <c r="E708" s="251">
        <v>1.0649027748457817E-2</v>
      </c>
      <c r="G708" s="251">
        <v>699</v>
      </c>
      <c r="H708" s="251">
        <f t="shared" ca="1" si="24"/>
        <v>-3.0584843838439825E-2</v>
      </c>
    </row>
    <row r="709" spans="2:8">
      <c r="B709" s="252">
        <v>45859</v>
      </c>
      <c r="C709" s="251">
        <v>687.45</v>
      </c>
      <c r="D709" s="251">
        <f t="shared" si="23"/>
        <v>6.1944852089287128E-2</v>
      </c>
      <c r="E709" s="251">
        <v>1.058434399117978E-2</v>
      </c>
      <c r="G709" s="251">
        <v>700</v>
      </c>
      <c r="H709" s="251">
        <f t="shared" ca="1" si="24"/>
        <v>-3.7444371806062181E-3</v>
      </c>
    </row>
    <row r="710" spans="2:8">
      <c r="B710" s="252">
        <v>45239</v>
      </c>
      <c r="C710" s="251">
        <v>647.35</v>
      </c>
      <c r="D710" s="251">
        <f t="shared" si="23"/>
        <v>0.56206264176439358</v>
      </c>
      <c r="E710" s="251">
        <v>1.0584323337027916E-2</v>
      </c>
      <c r="G710" s="251">
        <v>701</v>
      </c>
      <c r="H710" s="251">
        <f t="shared" ca="1" si="24"/>
        <v>-1.3847053379376738E-2</v>
      </c>
    </row>
    <row r="711" spans="2:8">
      <c r="B711" s="252">
        <v>45001</v>
      </c>
      <c r="C711" s="251">
        <v>414.42</v>
      </c>
      <c r="D711" s="251">
        <f t="shared" si="23"/>
        <v>0.60721349621873177</v>
      </c>
      <c r="E711" s="251">
        <v>1.0583300819352399E-2</v>
      </c>
      <c r="G711" s="251">
        <v>702</v>
      </c>
      <c r="H711" s="251">
        <f t="shared" ca="1" si="24"/>
        <v>1.5827136528715202E-2</v>
      </c>
    </row>
    <row r="712" spans="2:8">
      <c r="B712" s="252">
        <v>43321</v>
      </c>
      <c r="C712" s="251">
        <v>257.85000000000002</v>
      </c>
      <c r="D712" s="251">
        <f t="shared" si="23"/>
        <v>-0.37877948297877462</v>
      </c>
      <c r="E712" s="251">
        <v>1.0582010582010649E-2</v>
      </c>
      <c r="G712" s="251">
        <v>703</v>
      </c>
      <c r="H712" s="251">
        <f t="shared" ca="1" si="24"/>
        <v>3.4284386032583261E-4</v>
      </c>
    </row>
    <row r="713" spans="2:8">
      <c r="B713" s="252">
        <v>44748</v>
      </c>
      <c r="C713" s="251">
        <v>415.07</v>
      </c>
      <c r="D713" s="251">
        <f t="shared" si="23"/>
        <v>1.3978625072212594</v>
      </c>
      <c r="E713" s="251">
        <v>1.0566552236262204E-2</v>
      </c>
      <c r="G713" s="251">
        <v>704</v>
      </c>
      <c r="H713" s="251">
        <f t="shared" ca="1" si="24"/>
        <v>-7.6242970371248045E-3</v>
      </c>
    </row>
    <row r="714" spans="2:8">
      <c r="B714" s="252">
        <v>43550</v>
      </c>
      <c r="C714" s="251">
        <v>173.1</v>
      </c>
      <c r="D714" s="251">
        <f t="shared" ref="D714:D777" si="25">(C714-C715)/C715</f>
        <v>-0.58510102825915011</v>
      </c>
      <c r="E714" s="251">
        <v>1.0507880910682912E-2</v>
      </c>
      <c r="G714" s="251">
        <v>705</v>
      </c>
      <c r="H714" s="251">
        <f t="shared" ca="1" si="24"/>
        <v>1.0550129577994893E-2</v>
      </c>
    </row>
    <row r="715" spans="2:8">
      <c r="B715" s="252">
        <v>44908</v>
      </c>
      <c r="C715" s="251">
        <v>417.21</v>
      </c>
      <c r="D715" s="251">
        <f t="shared" si="25"/>
        <v>-0.2475245739020652</v>
      </c>
      <c r="E715" s="251">
        <v>1.0487308661112148E-2</v>
      </c>
      <c r="G715" s="251">
        <v>706</v>
      </c>
      <c r="H715" s="251">
        <f t="shared" ref="H715:H778" ca="1" si="26">_xlfn.NORM.INV(RAND(),N$12,N$13)</f>
        <v>-1.6869993659261166E-2</v>
      </c>
    </row>
    <row r="716" spans="2:8">
      <c r="B716" s="252">
        <v>42632</v>
      </c>
      <c r="C716" s="251">
        <v>554.45000000000005</v>
      </c>
      <c r="D716" s="251">
        <f t="shared" si="25"/>
        <v>0.44992154811715501</v>
      </c>
      <c r="E716" s="251">
        <v>1.0479314743940222E-2</v>
      </c>
      <c r="G716" s="251">
        <v>707</v>
      </c>
      <c r="H716" s="251">
        <f t="shared" ca="1" si="26"/>
        <v>-1.4310890356925503E-2</v>
      </c>
    </row>
    <row r="717" spans="2:8">
      <c r="B717" s="252">
        <v>42362</v>
      </c>
      <c r="C717" s="251">
        <v>382.4</v>
      </c>
      <c r="D717" s="251">
        <f t="shared" si="25"/>
        <v>1.1351200446677834</v>
      </c>
      <c r="E717" s="251">
        <v>1.0437310080591858E-2</v>
      </c>
      <c r="G717" s="251">
        <v>708</v>
      </c>
      <c r="H717" s="251">
        <f t="shared" ca="1" si="26"/>
        <v>4.2294691098899044E-2</v>
      </c>
    </row>
    <row r="718" spans="2:8">
      <c r="B718" s="252">
        <v>43404</v>
      </c>
      <c r="C718" s="251">
        <v>179.1</v>
      </c>
      <c r="D718" s="251">
        <f t="shared" si="25"/>
        <v>-0.63155729273811967</v>
      </c>
      <c r="E718" s="251">
        <v>1.0437235543018304E-2</v>
      </c>
      <c r="G718" s="251">
        <v>709</v>
      </c>
      <c r="H718" s="251">
        <f t="shared" ca="1" si="26"/>
        <v>1.5835856544003241E-2</v>
      </c>
    </row>
    <row r="719" spans="2:8">
      <c r="B719" s="252">
        <v>42565</v>
      </c>
      <c r="C719" s="251">
        <v>486.1</v>
      </c>
      <c r="D719" s="251">
        <f t="shared" si="25"/>
        <v>0.42802585193889559</v>
      </c>
      <c r="E719" s="251">
        <v>1.0392849719393056E-2</v>
      </c>
      <c r="G719" s="251">
        <v>710</v>
      </c>
      <c r="H719" s="251">
        <f t="shared" ca="1" si="26"/>
        <v>3.022078887644401E-2</v>
      </c>
    </row>
    <row r="720" spans="2:8">
      <c r="B720" s="252">
        <v>43220</v>
      </c>
      <c r="C720" s="251">
        <v>340.4</v>
      </c>
      <c r="D720" s="251">
        <f t="shared" si="25"/>
        <v>-0.30088313822140073</v>
      </c>
      <c r="E720" s="251">
        <v>1.0388839418224993E-2</v>
      </c>
      <c r="G720" s="251">
        <v>711</v>
      </c>
      <c r="H720" s="251">
        <f t="shared" ca="1" si="26"/>
        <v>1.4225348311311477E-2</v>
      </c>
    </row>
    <row r="721" spans="2:8">
      <c r="B721" s="252">
        <v>44489</v>
      </c>
      <c r="C721" s="251">
        <v>486.9</v>
      </c>
      <c r="D721" s="251">
        <f t="shared" si="25"/>
        <v>4.1274593669803149E-2</v>
      </c>
      <c r="E721" s="251">
        <v>1.0375596596804317E-2</v>
      </c>
      <c r="G721" s="251">
        <v>712</v>
      </c>
      <c r="H721" s="251">
        <f t="shared" ca="1" si="26"/>
        <v>1.9734391339710344E-3</v>
      </c>
    </row>
    <row r="722" spans="2:8">
      <c r="B722" s="252">
        <v>42803</v>
      </c>
      <c r="C722" s="251">
        <v>467.6</v>
      </c>
      <c r="D722" s="251">
        <f t="shared" si="25"/>
        <v>1.232513726426355</v>
      </c>
      <c r="E722" s="251">
        <v>1.0371650821089047E-2</v>
      </c>
      <c r="G722" s="251">
        <v>713</v>
      </c>
      <c r="H722" s="251">
        <f t="shared" ca="1" si="26"/>
        <v>1.3705181298652681E-2</v>
      </c>
    </row>
    <row r="723" spans="2:8">
      <c r="B723" s="252">
        <v>43588</v>
      </c>
      <c r="C723" s="251">
        <v>209.45</v>
      </c>
      <c r="D723" s="251">
        <f t="shared" si="25"/>
        <v>0.30133581857719793</v>
      </c>
      <c r="E723" s="251">
        <v>1.0371442354076109E-2</v>
      </c>
      <c r="G723" s="251">
        <v>714</v>
      </c>
      <c r="H723" s="251">
        <f t="shared" ca="1" si="26"/>
        <v>1.6436026623970132E-2</v>
      </c>
    </row>
    <row r="724" spans="2:8">
      <c r="B724" s="252">
        <v>43661</v>
      </c>
      <c r="C724" s="251">
        <v>160.94999999999999</v>
      </c>
      <c r="D724" s="251">
        <f t="shared" si="25"/>
        <v>5.9927560092196214E-2</v>
      </c>
      <c r="E724" s="251">
        <v>1.0357815442561062E-2</v>
      </c>
      <c r="G724" s="251">
        <v>715</v>
      </c>
      <c r="H724" s="251">
        <f t="shared" ca="1" si="26"/>
        <v>-9.0631639847399328E-5</v>
      </c>
    </row>
    <row r="725" spans="2:8">
      <c r="B725" s="252">
        <v>44077</v>
      </c>
      <c r="C725" s="251">
        <v>151.85</v>
      </c>
      <c r="D725" s="251">
        <f t="shared" si="25"/>
        <v>-0.43644460938949714</v>
      </c>
      <c r="E725" s="251">
        <v>1.0312707917498222E-2</v>
      </c>
      <c r="G725" s="251">
        <v>716</v>
      </c>
      <c r="H725" s="251">
        <f t="shared" ca="1" si="26"/>
        <v>1.7350114491482421E-2</v>
      </c>
    </row>
    <row r="726" spans="2:8">
      <c r="B726" s="252">
        <v>43284</v>
      </c>
      <c r="C726" s="251">
        <v>269.45</v>
      </c>
      <c r="D726" s="251">
        <f t="shared" si="25"/>
        <v>9.9347205222358195E-2</v>
      </c>
      <c r="E726" s="251">
        <v>1.0311211098612674E-2</v>
      </c>
      <c r="G726" s="251">
        <v>717</v>
      </c>
      <c r="H726" s="251">
        <f t="shared" ca="1" si="26"/>
        <v>-5.4076085745247401E-2</v>
      </c>
    </row>
    <row r="727" spans="2:8">
      <c r="B727" s="252">
        <v>44210</v>
      </c>
      <c r="C727" s="251">
        <v>245.1</v>
      </c>
      <c r="D727" s="251">
        <f t="shared" si="25"/>
        <v>-0.12401715511079348</v>
      </c>
      <c r="E727" s="251">
        <v>1.0305028854080791E-2</v>
      </c>
      <c r="G727" s="251">
        <v>718</v>
      </c>
      <c r="H727" s="251">
        <f t="shared" ca="1" si="26"/>
        <v>-5.1309904312629523E-2</v>
      </c>
    </row>
    <row r="728" spans="2:8">
      <c r="B728" s="252">
        <v>44432</v>
      </c>
      <c r="C728" s="251">
        <v>279.8</v>
      </c>
      <c r="D728" s="251">
        <f t="shared" si="25"/>
        <v>-0.34717685487634159</v>
      </c>
      <c r="E728" s="251">
        <v>1.0290666185232073E-2</v>
      </c>
      <c r="G728" s="251">
        <v>719</v>
      </c>
      <c r="H728" s="251">
        <f t="shared" ca="1" si="26"/>
        <v>-1.5797316958895316E-3</v>
      </c>
    </row>
    <row r="729" spans="2:8">
      <c r="B729" s="252">
        <v>43061</v>
      </c>
      <c r="C729" s="251">
        <v>428.6</v>
      </c>
      <c r="D729" s="251">
        <f t="shared" si="25"/>
        <v>6.69406928948919E-3</v>
      </c>
      <c r="E729" s="251">
        <v>1.0253388332351262E-2</v>
      </c>
      <c r="G729" s="251">
        <v>720</v>
      </c>
      <c r="H729" s="251">
        <f t="shared" ca="1" si="26"/>
        <v>5.9577601318484323E-2</v>
      </c>
    </row>
    <row r="730" spans="2:8">
      <c r="B730" s="252">
        <v>44705</v>
      </c>
      <c r="C730" s="251">
        <v>425.75</v>
      </c>
      <c r="D730" s="251">
        <f t="shared" si="25"/>
        <v>-6.50049412539805E-2</v>
      </c>
      <c r="E730" s="251">
        <v>1.0202871040455598E-2</v>
      </c>
      <c r="G730" s="251">
        <v>721</v>
      </c>
      <c r="H730" s="251">
        <f t="shared" ca="1" si="26"/>
        <v>-1.3886167827777383E-2</v>
      </c>
    </row>
    <row r="731" spans="2:8">
      <c r="B731" s="252">
        <v>42852</v>
      </c>
      <c r="C731" s="251">
        <v>455.35</v>
      </c>
      <c r="D731" s="251">
        <f t="shared" si="25"/>
        <v>-0.28704515563349398</v>
      </c>
      <c r="E731" s="251">
        <v>1.0093167701863378E-2</v>
      </c>
      <c r="G731" s="251">
        <v>722</v>
      </c>
      <c r="H731" s="251">
        <f t="shared" ca="1" si="26"/>
        <v>9.1030439223461716E-3</v>
      </c>
    </row>
    <row r="732" spans="2:8">
      <c r="B732" s="252">
        <v>45187</v>
      </c>
      <c r="C732" s="251">
        <v>638.67999999999995</v>
      </c>
      <c r="D732" s="251">
        <f t="shared" si="25"/>
        <v>-0.35235004816711457</v>
      </c>
      <c r="E732" s="251">
        <v>1.0090147082081283E-2</v>
      </c>
      <c r="G732" s="251">
        <v>723</v>
      </c>
      <c r="H732" s="251">
        <f t="shared" ca="1" si="26"/>
        <v>-1.1453435477910844E-2</v>
      </c>
    </row>
    <row r="733" spans="2:8">
      <c r="B733" s="252">
        <v>45547</v>
      </c>
      <c r="C733" s="251">
        <v>986.15</v>
      </c>
      <c r="D733" s="251">
        <f t="shared" si="25"/>
        <v>2.924194190210903</v>
      </c>
      <c r="E733" s="251">
        <v>1.0089111953293069E-2</v>
      </c>
      <c r="G733" s="251">
        <v>724</v>
      </c>
      <c r="H733" s="251">
        <f t="shared" ca="1" si="26"/>
        <v>-4.7375140835280001E-2</v>
      </c>
    </row>
    <row r="734" spans="2:8">
      <c r="B734" s="252">
        <v>43328</v>
      </c>
      <c r="C734" s="251">
        <v>251.3</v>
      </c>
      <c r="D734" s="251">
        <f t="shared" si="25"/>
        <v>-0.50555828824397442</v>
      </c>
      <c r="E734" s="251">
        <v>1.004823151125402E-2</v>
      </c>
      <c r="G734" s="251">
        <v>725</v>
      </c>
      <c r="H734" s="251">
        <f t="shared" ca="1" si="26"/>
        <v>2.6606725096917716E-3</v>
      </c>
    </row>
    <row r="735" spans="2:8">
      <c r="B735" s="252">
        <v>42583</v>
      </c>
      <c r="C735" s="251">
        <v>508.25</v>
      </c>
      <c r="D735" s="251">
        <f t="shared" si="25"/>
        <v>0.68322569961914226</v>
      </c>
      <c r="E735" s="251">
        <v>1.0035771065182853E-2</v>
      </c>
      <c r="G735" s="251">
        <v>726</v>
      </c>
      <c r="H735" s="251">
        <f t="shared" ca="1" si="26"/>
        <v>4.8928676569679488E-2</v>
      </c>
    </row>
    <row r="736" spans="2:8">
      <c r="B736" s="252">
        <v>44460</v>
      </c>
      <c r="C736" s="251">
        <v>301.95</v>
      </c>
      <c r="D736" s="251">
        <f t="shared" si="25"/>
        <v>2.1338868707836016</v>
      </c>
      <c r="E736" s="251">
        <v>1.0035122930255895E-2</v>
      </c>
      <c r="G736" s="251">
        <v>727</v>
      </c>
      <c r="H736" s="251">
        <f t="shared" ca="1" si="26"/>
        <v>1.9943825724408216E-3</v>
      </c>
    </row>
    <row r="737" spans="2:8">
      <c r="B737" s="252">
        <v>44000</v>
      </c>
      <c r="C737" s="251">
        <v>96.35</v>
      </c>
      <c r="D737" s="251">
        <f t="shared" si="25"/>
        <v>-0.55843263061411552</v>
      </c>
      <c r="E737" s="251">
        <v>9.9580712788258762E-3</v>
      </c>
      <c r="G737" s="251">
        <v>728</v>
      </c>
      <c r="H737" s="251">
        <f t="shared" ca="1" si="26"/>
        <v>-2.3476110123569895E-2</v>
      </c>
    </row>
    <row r="738" spans="2:8">
      <c r="B738" s="252">
        <v>43566</v>
      </c>
      <c r="C738" s="251">
        <v>218.2</v>
      </c>
      <c r="D738" s="251">
        <f t="shared" si="25"/>
        <v>0.12939958592132506</v>
      </c>
      <c r="E738" s="251">
        <v>9.9514001388566406E-3</v>
      </c>
      <c r="G738" s="251">
        <v>729</v>
      </c>
      <c r="H738" s="251">
        <f t="shared" ca="1" si="26"/>
        <v>-2.0117732898453578E-2</v>
      </c>
    </row>
    <row r="739" spans="2:8">
      <c r="B739" s="252">
        <v>44201</v>
      </c>
      <c r="C739" s="251">
        <v>193.2</v>
      </c>
      <c r="D739" s="251">
        <f t="shared" si="25"/>
        <v>-0.79507631604068774</v>
      </c>
      <c r="E739" s="251">
        <v>9.9320439100887455E-3</v>
      </c>
      <c r="G739" s="251">
        <v>730</v>
      </c>
      <c r="H739" s="251">
        <f t="shared" ca="1" si="26"/>
        <v>-2.5292545242489084E-2</v>
      </c>
    </row>
    <row r="740" spans="2:8">
      <c r="B740" s="252">
        <v>45429</v>
      </c>
      <c r="C740" s="251">
        <v>942.79</v>
      </c>
      <c r="D740" s="251">
        <f t="shared" si="25"/>
        <v>0.92523994282213595</v>
      </c>
      <c r="E740" s="251">
        <v>9.9301568257776831E-3</v>
      </c>
      <c r="G740" s="251">
        <v>731</v>
      </c>
      <c r="H740" s="251">
        <f t="shared" ca="1" si="26"/>
        <v>9.2295301640730222E-3</v>
      </c>
    </row>
    <row r="741" spans="2:8">
      <c r="B741" s="252">
        <v>44504</v>
      </c>
      <c r="C741" s="251">
        <v>489.7</v>
      </c>
      <c r="D741" s="251">
        <f t="shared" si="25"/>
        <v>0.64965470776486423</v>
      </c>
      <c r="E741" s="251">
        <v>9.8989482367498691E-3</v>
      </c>
      <c r="G741" s="251">
        <v>732</v>
      </c>
      <c r="H741" s="251">
        <f t="shared" ca="1" si="26"/>
        <v>3.7668883491010309E-2</v>
      </c>
    </row>
    <row r="742" spans="2:8">
      <c r="B742" s="252">
        <v>44410</v>
      </c>
      <c r="C742" s="251">
        <v>296.85000000000002</v>
      </c>
      <c r="D742" s="251">
        <f t="shared" si="25"/>
        <v>-0.37732049587817001</v>
      </c>
      <c r="E742" s="251">
        <v>9.8656234053411604E-3</v>
      </c>
      <c r="G742" s="251">
        <v>733</v>
      </c>
      <c r="H742" s="251">
        <f t="shared" ca="1" si="26"/>
        <v>-1.4298632185326019E-2</v>
      </c>
    </row>
    <row r="743" spans="2:8">
      <c r="B743" s="252">
        <v>45042</v>
      </c>
      <c r="C743" s="251">
        <v>476.73</v>
      </c>
      <c r="D743" s="251">
        <f t="shared" si="25"/>
        <v>0.49632768361581914</v>
      </c>
      <c r="E743" s="251">
        <v>9.8286343705650259E-3</v>
      </c>
      <c r="G743" s="251">
        <v>734</v>
      </c>
      <c r="H743" s="251">
        <f t="shared" ca="1" si="26"/>
        <v>-2.5019658850780235E-2</v>
      </c>
    </row>
    <row r="744" spans="2:8">
      <c r="B744" s="252">
        <v>44343</v>
      </c>
      <c r="C744" s="251">
        <v>318.60000000000002</v>
      </c>
      <c r="D744" s="251">
        <f t="shared" si="25"/>
        <v>-0.25351452671040298</v>
      </c>
      <c r="E744" s="251">
        <v>9.8256735340729717E-3</v>
      </c>
      <c r="G744" s="251">
        <v>735</v>
      </c>
      <c r="H744" s="251">
        <f t="shared" ca="1" si="26"/>
        <v>4.7388585144433459E-3</v>
      </c>
    </row>
    <row r="745" spans="2:8">
      <c r="B745" s="252">
        <v>42864</v>
      </c>
      <c r="C745" s="251">
        <v>426.8</v>
      </c>
      <c r="D745" s="251">
        <f t="shared" si="25"/>
        <v>2.0705035971223023</v>
      </c>
      <c r="E745" s="251">
        <v>9.818999171891718E-3</v>
      </c>
      <c r="G745" s="251">
        <v>736</v>
      </c>
      <c r="H745" s="251">
        <f t="shared" ca="1" si="26"/>
        <v>7.6009489650396391E-3</v>
      </c>
    </row>
    <row r="746" spans="2:8">
      <c r="B746" s="252">
        <v>44141</v>
      </c>
      <c r="C746" s="251">
        <v>139</v>
      </c>
      <c r="D746" s="251">
        <f t="shared" si="25"/>
        <v>-0.49177330895795246</v>
      </c>
      <c r="E746" s="251">
        <v>9.8074827460951277E-3</v>
      </c>
      <c r="G746" s="251">
        <v>737</v>
      </c>
      <c r="H746" s="251">
        <f t="shared" ca="1" si="26"/>
        <v>-2.0443297496768681E-2</v>
      </c>
    </row>
    <row r="747" spans="2:8">
      <c r="B747" s="252">
        <v>43290</v>
      </c>
      <c r="C747" s="251">
        <v>273.5</v>
      </c>
      <c r="D747" s="251">
        <f t="shared" si="25"/>
        <v>-0.39497843158942597</v>
      </c>
      <c r="E747" s="251">
        <v>9.7840132914896703E-3</v>
      </c>
      <c r="G747" s="251">
        <v>738</v>
      </c>
      <c r="H747" s="251">
        <f t="shared" ca="1" si="26"/>
        <v>-3.1682089676699748E-2</v>
      </c>
    </row>
    <row r="748" spans="2:8">
      <c r="B748" s="252">
        <v>44762</v>
      </c>
      <c r="C748" s="251">
        <v>452.05</v>
      </c>
      <c r="D748" s="251">
        <f t="shared" si="25"/>
        <v>-0.26816040408619213</v>
      </c>
      <c r="E748" s="251">
        <v>9.783992673174426E-3</v>
      </c>
      <c r="G748" s="251">
        <v>739</v>
      </c>
      <c r="H748" s="251">
        <f t="shared" ca="1" si="26"/>
        <v>-1.8927220422049749E-4</v>
      </c>
    </row>
    <row r="749" spans="2:8">
      <c r="B749" s="252">
        <v>45204</v>
      </c>
      <c r="C749" s="251">
        <v>617.69000000000005</v>
      </c>
      <c r="D749" s="251">
        <f t="shared" si="25"/>
        <v>0.31311649659863966</v>
      </c>
      <c r="E749" s="251">
        <v>9.7758741887495997E-3</v>
      </c>
      <c r="G749" s="251">
        <v>740</v>
      </c>
      <c r="H749" s="251">
        <f t="shared" ca="1" si="26"/>
        <v>4.8937177169844262E-2</v>
      </c>
    </row>
    <row r="750" spans="2:8">
      <c r="B750" s="252">
        <v>42828</v>
      </c>
      <c r="C750" s="251">
        <v>470.4</v>
      </c>
      <c r="D750" s="251">
        <f t="shared" si="25"/>
        <v>2.127659574468075E-2</v>
      </c>
      <c r="E750" s="251">
        <v>9.7670924117204128E-3</v>
      </c>
      <c r="G750" s="251">
        <v>741</v>
      </c>
      <c r="H750" s="251">
        <f t="shared" ca="1" si="26"/>
        <v>5.0316788779116481E-2</v>
      </c>
    </row>
    <row r="751" spans="2:8">
      <c r="B751" s="252">
        <v>42935</v>
      </c>
      <c r="C751" s="251">
        <v>460.6</v>
      </c>
      <c r="D751" s="251">
        <f t="shared" si="25"/>
        <v>-0.32695258274274858</v>
      </c>
      <c r="E751" s="251">
        <v>9.7555628630933804E-3</v>
      </c>
      <c r="G751" s="251">
        <v>742</v>
      </c>
      <c r="H751" s="251">
        <f t="shared" ca="1" si="26"/>
        <v>-6.8907551554803319E-3</v>
      </c>
    </row>
    <row r="752" spans="2:8">
      <c r="B752" s="252">
        <v>45700</v>
      </c>
      <c r="C752" s="251">
        <v>684.35</v>
      </c>
      <c r="D752" s="251">
        <f t="shared" si="25"/>
        <v>-0.31439534347856574</v>
      </c>
      <c r="E752" s="251">
        <v>9.7381040206566179E-3</v>
      </c>
      <c r="G752" s="251">
        <v>743</v>
      </c>
      <c r="H752" s="251">
        <f t="shared" ca="1" si="26"/>
        <v>-3.552612253528907E-2</v>
      </c>
    </row>
    <row r="753" spans="2:8">
      <c r="B753" s="252">
        <v>45407</v>
      </c>
      <c r="C753" s="251">
        <v>998.17</v>
      </c>
      <c r="D753" s="251">
        <f t="shared" si="25"/>
        <v>1.1484502798105896</v>
      </c>
      <c r="E753" s="251">
        <v>9.6803560590733723E-3</v>
      </c>
      <c r="G753" s="251">
        <v>744</v>
      </c>
      <c r="H753" s="251">
        <f t="shared" ca="1" si="26"/>
        <v>3.1896319480744992E-2</v>
      </c>
    </row>
    <row r="754" spans="2:8">
      <c r="B754" s="252">
        <v>42937</v>
      </c>
      <c r="C754" s="251">
        <v>464.6</v>
      </c>
      <c r="D754" s="251">
        <f t="shared" si="25"/>
        <v>3.4395604395604398</v>
      </c>
      <c r="E754" s="251">
        <v>9.67075953493436E-3</v>
      </c>
      <c r="G754" s="251">
        <v>745</v>
      </c>
      <c r="H754" s="251">
        <f t="shared" ca="1" si="26"/>
        <v>3.603692895221873E-2</v>
      </c>
    </row>
    <row r="755" spans="2:8">
      <c r="B755" s="252">
        <v>44043</v>
      </c>
      <c r="C755" s="251">
        <v>104.65</v>
      </c>
      <c r="D755" s="251">
        <f t="shared" si="25"/>
        <v>-0.76501627933086347</v>
      </c>
      <c r="E755" s="251">
        <v>9.6478533526290402E-3</v>
      </c>
      <c r="G755" s="251">
        <v>746</v>
      </c>
      <c r="H755" s="251">
        <f t="shared" ca="1" si="26"/>
        <v>2.0442752333834528E-2</v>
      </c>
    </row>
    <row r="756" spans="2:8">
      <c r="B756" s="252">
        <v>42711</v>
      </c>
      <c r="C756" s="251">
        <v>445.35</v>
      </c>
      <c r="D756" s="251">
        <f t="shared" si="25"/>
        <v>2.2382920110192835E-2</v>
      </c>
      <c r="E756" s="251">
        <v>9.6350034005894345E-3</v>
      </c>
      <c r="G756" s="251">
        <v>747</v>
      </c>
      <c r="H756" s="251">
        <f t="shared" ca="1" si="26"/>
        <v>4.5834312050696567E-2</v>
      </c>
    </row>
    <row r="757" spans="2:8">
      <c r="B757" s="252">
        <v>42951</v>
      </c>
      <c r="C757" s="251">
        <v>435.6</v>
      </c>
      <c r="D757" s="251">
        <f t="shared" si="25"/>
        <v>-0.39314572304263018</v>
      </c>
      <c r="E757" s="251">
        <v>9.6187275466451134E-3</v>
      </c>
      <c r="G757" s="251">
        <v>748</v>
      </c>
      <c r="H757" s="251">
        <f t="shared" ca="1" si="26"/>
        <v>3.611204932815984E-2</v>
      </c>
    </row>
    <row r="758" spans="2:8">
      <c r="B758" s="252">
        <v>45817</v>
      </c>
      <c r="C758" s="251">
        <v>717.8</v>
      </c>
      <c r="D758" s="251">
        <f t="shared" si="25"/>
        <v>3.2050380785002925</v>
      </c>
      <c r="E758" s="251">
        <v>9.5639943741208933E-3</v>
      </c>
      <c r="G758" s="251">
        <v>749</v>
      </c>
      <c r="H758" s="251">
        <f t="shared" ca="1" si="26"/>
        <v>3.635575289203849E-2</v>
      </c>
    </row>
    <row r="759" spans="2:8">
      <c r="B759" s="252">
        <v>44158</v>
      </c>
      <c r="C759" s="251">
        <v>170.7</v>
      </c>
      <c r="D759" s="251">
        <f t="shared" si="25"/>
        <v>-0.62355276215679789</v>
      </c>
      <c r="E759" s="251">
        <v>9.4618568894145137E-3</v>
      </c>
      <c r="G759" s="251">
        <v>750</v>
      </c>
      <c r="H759" s="251">
        <f t="shared" ca="1" si="26"/>
        <v>1.2196838929743867E-2</v>
      </c>
    </row>
    <row r="760" spans="2:8">
      <c r="B760" s="252">
        <v>42523</v>
      </c>
      <c r="C760" s="251">
        <v>453.45</v>
      </c>
      <c r="D760" s="251">
        <f t="shared" si="25"/>
        <v>0.10247994164843174</v>
      </c>
      <c r="E760" s="251">
        <v>9.4612644701691905E-3</v>
      </c>
      <c r="G760" s="251">
        <v>751</v>
      </c>
      <c r="H760" s="251">
        <f t="shared" ca="1" si="26"/>
        <v>7.1743712575745725E-3</v>
      </c>
    </row>
    <row r="761" spans="2:8">
      <c r="B761" s="252">
        <v>42319</v>
      </c>
      <c r="C761" s="251">
        <v>411.3</v>
      </c>
      <c r="D761" s="251">
        <f t="shared" si="25"/>
        <v>2.0671140939597321</v>
      </c>
      <c r="E761" s="251">
        <v>9.4490121487299621E-3</v>
      </c>
      <c r="G761" s="251">
        <v>752</v>
      </c>
      <c r="H761" s="251">
        <f t="shared" ca="1" si="26"/>
        <v>2.9720141997856782E-2</v>
      </c>
    </row>
    <row r="762" spans="2:8">
      <c r="B762" s="252">
        <v>44138</v>
      </c>
      <c r="C762" s="251">
        <v>134.1</v>
      </c>
      <c r="D762" s="251">
        <f t="shared" si="25"/>
        <v>-0.59772011399430036</v>
      </c>
      <c r="E762" s="251">
        <v>9.4091080165600305E-3</v>
      </c>
      <c r="G762" s="251">
        <v>753</v>
      </c>
      <c r="H762" s="251">
        <f t="shared" ca="1" si="26"/>
        <v>9.6363005707103822E-3</v>
      </c>
    </row>
    <row r="763" spans="2:8">
      <c r="B763" s="252">
        <v>44469</v>
      </c>
      <c r="C763" s="251">
        <v>333.35</v>
      </c>
      <c r="D763" s="251">
        <f t="shared" si="25"/>
        <v>-0.25657894736842096</v>
      </c>
      <c r="E763" s="251">
        <v>9.3868281604845508E-3</v>
      </c>
      <c r="G763" s="251">
        <v>754</v>
      </c>
      <c r="H763" s="251">
        <f t="shared" ca="1" si="26"/>
        <v>4.1555757927571678E-2</v>
      </c>
    </row>
    <row r="764" spans="2:8">
      <c r="B764" s="252">
        <v>42535</v>
      </c>
      <c r="C764" s="251">
        <v>448.4</v>
      </c>
      <c r="D764" s="251">
        <f t="shared" si="25"/>
        <v>0.30805134189031497</v>
      </c>
      <c r="E764" s="251">
        <v>9.3415869442880755E-3</v>
      </c>
      <c r="G764" s="251">
        <v>755</v>
      </c>
      <c r="H764" s="251">
        <f t="shared" ca="1" si="26"/>
        <v>5.848888306220805E-2</v>
      </c>
    </row>
    <row r="765" spans="2:8">
      <c r="B765" s="252">
        <v>44375</v>
      </c>
      <c r="C765" s="251">
        <v>342.8</v>
      </c>
      <c r="D765" s="251">
        <f t="shared" si="25"/>
        <v>-0.33040335970309598</v>
      </c>
      <c r="E765" s="251">
        <v>9.2742529074047817E-3</v>
      </c>
      <c r="G765" s="251">
        <v>756</v>
      </c>
      <c r="H765" s="251">
        <f t="shared" ca="1" si="26"/>
        <v>1.8027533684143154E-2</v>
      </c>
    </row>
    <row r="766" spans="2:8">
      <c r="B766" s="252">
        <v>44574</v>
      </c>
      <c r="C766" s="251">
        <v>511.95</v>
      </c>
      <c r="D766" s="251">
        <f t="shared" si="25"/>
        <v>-0.10394861203486547</v>
      </c>
      <c r="E766" s="251">
        <v>9.2656481025135302E-3</v>
      </c>
      <c r="G766" s="251">
        <v>757</v>
      </c>
      <c r="H766" s="251">
        <f t="shared" ca="1" si="26"/>
        <v>-2.4206446547840862E-2</v>
      </c>
    </row>
    <row r="767" spans="2:8">
      <c r="B767" s="252">
        <v>45104</v>
      </c>
      <c r="C767" s="251">
        <v>571.34</v>
      </c>
      <c r="D767" s="251">
        <f t="shared" si="25"/>
        <v>0.6863636363636364</v>
      </c>
      <c r="E767" s="251">
        <v>9.2563151386680954E-3</v>
      </c>
      <c r="G767" s="251">
        <v>758</v>
      </c>
      <c r="H767" s="251">
        <f t="shared" ca="1" si="26"/>
        <v>2.5844558997138268E-2</v>
      </c>
    </row>
    <row r="768" spans="2:8">
      <c r="B768" s="252">
        <v>43179</v>
      </c>
      <c r="C768" s="251">
        <v>338.8</v>
      </c>
      <c r="D768" s="251">
        <f t="shared" si="25"/>
        <v>-0.22568849274368644</v>
      </c>
      <c r="E768" s="251">
        <v>9.2344355078940212E-3</v>
      </c>
      <c r="G768" s="251">
        <v>759</v>
      </c>
      <c r="H768" s="251">
        <f t="shared" ca="1" si="26"/>
        <v>-3.297764216552336E-2</v>
      </c>
    </row>
    <row r="769" spans="2:8">
      <c r="B769" s="252">
        <v>43109</v>
      </c>
      <c r="C769" s="251">
        <v>437.55</v>
      </c>
      <c r="D769" s="251">
        <f t="shared" si="25"/>
        <v>9.524405506883607E-2</v>
      </c>
      <c r="E769" s="251">
        <v>9.2261561526928836E-3</v>
      </c>
      <c r="G769" s="251">
        <v>760</v>
      </c>
      <c r="H769" s="251">
        <f t="shared" ca="1" si="26"/>
        <v>9.2748505063415133E-3</v>
      </c>
    </row>
    <row r="770" spans="2:8">
      <c r="B770" s="252">
        <v>43131</v>
      </c>
      <c r="C770" s="251">
        <v>399.5</v>
      </c>
      <c r="D770" s="251">
        <f t="shared" si="25"/>
        <v>-5.3093150035553399E-2</v>
      </c>
      <c r="E770" s="251">
        <v>9.220664393078129E-3</v>
      </c>
      <c r="G770" s="251">
        <v>761</v>
      </c>
      <c r="H770" s="251">
        <f t="shared" ca="1" si="26"/>
        <v>-1.3192428395433947E-2</v>
      </c>
    </row>
    <row r="771" spans="2:8">
      <c r="B771" s="252">
        <v>43122</v>
      </c>
      <c r="C771" s="251">
        <v>421.9</v>
      </c>
      <c r="D771" s="251">
        <f t="shared" si="25"/>
        <v>1.4803057025279247</v>
      </c>
      <c r="E771" s="251">
        <v>9.209424709962841E-3</v>
      </c>
      <c r="G771" s="251">
        <v>762</v>
      </c>
      <c r="H771" s="251">
        <f t="shared" ca="1" si="26"/>
        <v>-1.418903077817147E-2</v>
      </c>
    </row>
    <row r="772" spans="2:8">
      <c r="B772" s="252">
        <v>43787</v>
      </c>
      <c r="C772" s="251">
        <v>170.1</v>
      </c>
      <c r="D772" s="251">
        <f t="shared" si="25"/>
        <v>-0.76277804895056123</v>
      </c>
      <c r="E772" s="251">
        <v>9.1960842479975255E-3</v>
      </c>
      <c r="G772" s="251">
        <v>763</v>
      </c>
      <c r="H772" s="251">
        <f t="shared" ca="1" si="26"/>
        <v>1.108045282911136E-2</v>
      </c>
    </row>
    <row r="773" spans="2:8">
      <c r="B773" s="252">
        <v>45693</v>
      </c>
      <c r="C773" s="251">
        <v>717.05</v>
      </c>
      <c r="D773" s="251">
        <f t="shared" si="25"/>
        <v>-1.0214645593208766E-2</v>
      </c>
      <c r="E773" s="251">
        <v>9.1478432200408147E-3</v>
      </c>
      <c r="G773" s="251">
        <v>764</v>
      </c>
      <c r="H773" s="251">
        <f t="shared" ca="1" si="26"/>
        <v>-2.9031680163038387E-3</v>
      </c>
    </row>
    <row r="774" spans="2:8">
      <c r="B774" s="252">
        <v>45806</v>
      </c>
      <c r="C774" s="251">
        <v>724.45</v>
      </c>
      <c r="D774" s="251">
        <f t="shared" si="25"/>
        <v>-0.27742868541791338</v>
      </c>
      <c r="E774" s="251">
        <v>9.0535552615084603E-3</v>
      </c>
      <c r="G774" s="251">
        <v>765</v>
      </c>
      <c r="H774" s="251">
        <f t="shared" ca="1" si="26"/>
        <v>1.512693332749673E-2</v>
      </c>
    </row>
    <row r="775" spans="2:8">
      <c r="B775" s="252">
        <v>45481</v>
      </c>
      <c r="C775" s="267">
        <v>1002.6</v>
      </c>
      <c r="D775" s="251">
        <f t="shared" si="25"/>
        <v>0.27484264733930952</v>
      </c>
      <c r="E775" s="251">
        <v>9.0071956926483631E-3</v>
      </c>
      <c r="G775" s="251">
        <v>766</v>
      </c>
      <c r="H775" s="251">
        <f t="shared" ca="1" si="26"/>
        <v>5.8388488002930044E-3</v>
      </c>
    </row>
    <row r="776" spans="2:8">
      <c r="B776" s="252">
        <v>45625</v>
      </c>
      <c r="C776" s="251">
        <v>786.45</v>
      </c>
      <c r="D776" s="251">
        <f t="shared" si="25"/>
        <v>3.665974488282409</v>
      </c>
      <c r="E776" s="251">
        <v>8.9806915132465189E-3</v>
      </c>
      <c r="G776" s="251">
        <v>767</v>
      </c>
      <c r="H776" s="251">
        <f t="shared" ca="1" si="26"/>
        <v>-2.7178304574380148E-2</v>
      </c>
    </row>
    <row r="777" spans="2:8">
      <c r="B777" s="252">
        <v>43784</v>
      </c>
      <c r="C777" s="251">
        <v>168.55</v>
      </c>
      <c r="D777" s="251">
        <f t="shared" si="25"/>
        <v>-0.72882310353149382</v>
      </c>
      <c r="E777" s="251">
        <v>8.9793475007482783E-3</v>
      </c>
      <c r="G777" s="251">
        <v>768</v>
      </c>
      <c r="H777" s="251">
        <f t="shared" ca="1" si="26"/>
        <v>7.4945952260690495E-3</v>
      </c>
    </row>
    <row r="778" spans="2:8">
      <c r="B778" s="252">
        <v>45764</v>
      </c>
      <c r="C778" s="251">
        <v>621.54999999999995</v>
      </c>
      <c r="D778" s="251">
        <f t="shared" ref="D778:D841" si="27">(C778-C779)/C779</f>
        <v>-0.33549649332877185</v>
      </c>
      <c r="E778" s="251">
        <v>8.927846765684604E-3</v>
      </c>
      <c r="G778" s="251">
        <v>769</v>
      </c>
      <c r="H778" s="251">
        <f t="shared" ca="1" si="26"/>
        <v>-7.1243215955742352E-3</v>
      </c>
    </row>
    <row r="779" spans="2:8">
      <c r="B779" s="252">
        <v>45449</v>
      </c>
      <c r="C779" s="251">
        <v>935.36</v>
      </c>
      <c r="D779" s="251">
        <f t="shared" si="27"/>
        <v>0.15030622033106233</v>
      </c>
      <c r="E779" s="251">
        <v>8.9203852916113664E-3</v>
      </c>
      <c r="G779" s="251">
        <v>770</v>
      </c>
      <c r="H779" s="251">
        <f t="shared" ref="H779:H842" ca="1" si="28">_xlfn.NORM.INV(RAND(),N$12,N$13)</f>
        <v>2.9953106688544385E-2</v>
      </c>
    </row>
    <row r="780" spans="2:8">
      <c r="B780" s="252">
        <v>45302</v>
      </c>
      <c r="C780" s="251">
        <v>813.14</v>
      </c>
      <c r="D780" s="251">
        <f t="shared" si="27"/>
        <v>1.0310220801278849</v>
      </c>
      <c r="E780" s="251">
        <v>8.9086307012754343E-3</v>
      </c>
      <c r="G780" s="251">
        <v>771</v>
      </c>
      <c r="H780" s="251">
        <f t="shared" ca="1" si="28"/>
        <v>3.1855539471812667E-2</v>
      </c>
    </row>
    <row r="781" spans="2:8">
      <c r="B781" s="252">
        <v>44858</v>
      </c>
      <c r="C781" s="251">
        <v>400.36</v>
      </c>
      <c r="D781" s="251">
        <f t="shared" si="27"/>
        <v>1.2728356514334374</v>
      </c>
      <c r="E781" s="251">
        <v>8.8954968122370529E-3</v>
      </c>
      <c r="G781" s="251">
        <v>772</v>
      </c>
      <c r="H781" s="251">
        <f t="shared" ca="1" si="28"/>
        <v>-5.0325773220594713E-2</v>
      </c>
    </row>
    <row r="782" spans="2:8">
      <c r="B782" s="252">
        <v>43826</v>
      </c>
      <c r="C782" s="251">
        <v>176.15</v>
      </c>
      <c r="D782" s="251">
        <f t="shared" si="27"/>
        <v>0.34774292272379509</v>
      </c>
      <c r="E782" s="251">
        <v>8.8774341351661595E-3</v>
      </c>
      <c r="G782" s="251">
        <v>773</v>
      </c>
      <c r="H782" s="251">
        <f t="shared" ca="1" si="28"/>
        <v>-8.4312795729520867E-3</v>
      </c>
    </row>
    <row r="783" spans="2:8">
      <c r="B783" s="252">
        <v>43679</v>
      </c>
      <c r="C783" s="251">
        <v>130.69999999999999</v>
      </c>
      <c r="D783" s="251">
        <f t="shared" si="27"/>
        <v>-0.71648590021691971</v>
      </c>
      <c r="E783" s="251">
        <v>8.8768815129291953E-3</v>
      </c>
      <c r="G783" s="251">
        <v>774</v>
      </c>
      <c r="H783" s="251">
        <f t="shared" ca="1" si="28"/>
        <v>2.801321189632916E-2</v>
      </c>
    </row>
    <row r="784" spans="2:8">
      <c r="B784" s="252">
        <v>42928</v>
      </c>
      <c r="C784" s="251">
        <v>461</v>
      </c>
      <c r="D784" s="251">
        <f t="shared" si="27"/>
        <v>-0.37715327974059309</v>
      </c>
      <c r="E784" s="251">
        <v>8.8631141262720467E-3</v>
      </c>
      <c r="G784" s="251">
        <v>775</v>
      </c>
      <c r="H784" s="251">
        <f t="shared" ca="1" si="28"/>
        <v>-1.7037177878501685E-2</v>
      </c>
    </row>
    <row r="785" spans="2:8">
      <c r="B785" s="252">
        <v>45657</v>
      </c>
      <c r="C785" s="251">
        <v>740.15</v>
      </c>
      <c r="D785" s="251">
        <f t="shared" si="27"/>
        <v>1.4050365556458164</v>
      </c>
      <c r="E785" s="251">
        <v>8.8598105363592999E-3</v>
      </c>
      <c r="G785" s="251">
        <v>776</v>
      </c>
      <c r="H785" s="251">
        <f t="shared" ca="1" si="28"/>
        <v>-2.2655171191645555E-2</v>
      </c>
    </row>
    <row r="786" spans="2:8">
      <c r="B786" s="252">
        <v>44292</v>
      </c>
      <c r="C786" s="251">
        <v>307.75</v>
      </c>
      <c r="D786" s="251">
        <f t="shared" si="27"/>
        <v>-0.54370227592853437</v>
      </c>
      <c r="E786" s="251">
        <v>8.8510080314702123E-3</v>
      </c>
      <c r="G786" s="251">
        <v>777</v>
      </c>
      <c r="H786" s="251">
        <f t="shared" ca="1" si="28"/>
        <v>1.7699559817526883E-2</v>
      </c>
    </row>
    <row r="787" spans="2:8">
      <c r="B787" s="252">
        <v>45744</v>
      </c>
      <c r="C787" s="251">
        <v>674.45</v>
      </c>
      <c r="D787" s="251">
        <f t="shared" si="27"/>
        <v>0.60335195530726271</v>
      </c>
      <c r="E787" s="251">
        <v>8.8250691795678585E-3</v>
      </c>
      <c r="G787" s="251">
        <v>778</v>
      </c>
      <c r="H787" s="251">
        <f t="shared" ca="1" si="28"/>
        <v>5.3431698327506515E-2</v>
      </c>
    </row>
    <row r="788" spans="2:8">
      <c r="B788" s="252">
        <v>44707</v>
      </c>
      <c r="C788" s="251">
        <v>420.65</v>
      </c>
      <c r="D788" s="251">
        <f t="shared" si="27"/>
        <v>-0.41460936847671803</v>
      </c>
      <c r="E788" s="251">
        <v>8.7529976019184112E-3</v>
      </c>
      <c r="G788" s="251">
        <v>779</v>
      </c>
      <c r="H788" s="251">
        <f t="shared" ca="1" si="28"/>
        <v>-1.2735700843881185E-2</v>
      </c>
    </row>
    <row r="789" spans="2:8">
      <c r="B789" s="252">
        <v>45271</v>
      </c>
      <c r="C789" s="251">
        <v>718.58</v>
      </c>
      <c r="D789" s="251">
        <f t="shared" si="27"/>
        <v>4.6577337605592802E-2</v>
      </c>
      <c r="E789" s="251">
        <v>8.7457008493016328E-3</v>
      </c>
      <c r="G789" s="251">
        <v>780</v>
      </c>
      <c r="H789" s="251">
        <f t="shared" ca="1" si="28"/>
        <v>-1.717097437380808E-2</v>
      </c>
    </row>
    <row r="790" spans="2:8">
      <c r="B790" s="252">
        <v>45705</v>
      </c>
      <c r="C790" s="251">
        <v>686.6</v>
      </c>
      <c r="D790" s="251">
        <f t="shared" si="27"/>
        <v>0.58983027299881907</v>
      </c>
      <c r="E790" s="251">
        <v>8.7416440167487636E-3</v>
      </c>
      <c r="G790" s="251">
        <v>781</v>
      </c>
      <c r="H790" s="251">
        <f t="shared" ca="1" si="28"/>
        <v>2.9666932117346913E-2</v>
      </c>
    </row>
    <row r="791" spans="2:8">
      <c r="B791" s="252">
        <v>44980</v>
      </c>
      <c r="C791" s="251">
        <v>431.87</v>
      </c>
      <c r="D791" s="251">
        <f t="shared" si="27"/>
        <v>5.1469335086309707E-2</v>
      </c>
      <c r="E791" s="251">
        <v>8.7356644009997184E-3</v>
      </c>
      <c r="G791" s="251">
        <v>782</v>
      </c>
      <c r="H791" s="251">
        <f t="shared" ca="1" si="28"/>
        <v>-4.45706182317618E-3</v>
      </c>
    </row>
    <row r="792" spans="2:8">
      <c r="B792" s="252">
        <v>44747</v>
      </c>
      <c r="C792" s="251">
        <v>410.73</v>
      </c>
      <c r="D792" s="251">
        <f t="shared" si="27"/>
        <v>0.1906943035222497</v>
      </c>
      <c r="E792" s="251">
        <v>8.693730199661142E-3</v>
      </c>
      <c r="G792" s="251">
        <v>783</v>
      </c>
      <c r="H792" s="251">
        <f t="shared" ca="1" si="28"/>
        <v>6.770919916995256E-3</v>
      </c>
    </row>
    <row r="793" spans="2:8">
      <c r="B793" s="252">
        <v>44474</v>
      </c>
      <c r="C793" s="251">
        <v>344.95</v>
      </c>
      <c r="D793" s="251">
        <f t="shared" si="27"/>
        <v>-0.16843450171158575</v>
      </c>
      <c r="E793" s="251">
        <v>8.625730994152014E-3</v>
      </c>
      <c r="G793" s="251">
        <v>784</v>
      </c>
      <c r="H793" s="251">
        <f t="shared" ca="1" si="28"/>
        <v>2.1301479700134886E-2</v>
      </c>
    </row>
    <row r="794" spans="2:8">
      <c r="B794" s="252">
        <v>45007</v>
      </c>
      <c r="C794" s="251">
        <v>414.82</v>
      </c>
      <c r="D794" s="251">
        <f t="shared" si="27"/>
        <v>-0.11374610092723157</v>
      </c>
      <c r="E794" s="251">
        <v>8.6072748492511692E-3</v>
      </c>
      <c r="G794" s="251">
        <v>785</v>
      </c>
      <c r="H794" s="251">
        <f t="shared" ca="1" si="28"/>
        <v>-8.5030441006902751E-3</v>
      </c>
    </row>
    <row r="795" spans="2:8">
      <c r="B795" s="252">
        <v>45029</v>
      </c>
      <c r="C795" s="251">
        <v>468.06</v>
      </c>
      <c r="D795" s="251">
        <f t="shared" si="27"/>
        <v>3.4135785007072137</v>
      </c>
      <c r="E795" s="251">
        <v>8.5978408429762954E-3</v>
      </c>
      <c r="G795" s="251">
        <v>786</v>
      </c>
      <c r="H795" s="251">
        <f t="shared" ca="1" si="28"/>
        <v>-3.0083351999318072E-3</v>
      </c>
    </row>
    <row r="796" spans="2:8">
      <c r="B796" s="252">
        <v>44035</v>
      </c>
      <c r="C796" s="251">
        <v>106.05</v>
      </c>
      <c r="D796" s="251">
        <f t="shared" si="27"/>
        <v>-0.74952171756536523</v>
      </c>
      <c r="E796" s="251">
        <v>8.5592011412267376E-3</v>
      </c>
      <c r="G796" s="251">
        <v>787</v>
      </c>
      <c r="H796" s="251">
        <f t="shared" ca="1" si="28"/>
        <v>6.552499728333408E-2</v>
      </c>
    </row>
    <row r="797" spans="2:8">
      <c r="B797" s="252">
        <v>44887</v>
      </c>
      <c r="C797" s="251">
        <v>423.39</v>
      </c>
      <c r="D797" s="251">
        <f t="shared" si="27"/>
        <v>-0.1062819267952886</v>
      </c>
      <c r="E797" s="251">
        <v>8.5516912815625894E-3</v>
      </c>
      <c r="G797" s="251">
        <v>788</v>
      </c>
      <c r="H797" s="251">
        <f t="shared" ca="1" si="28"/>
        <v>-7.0410334369069971E-3</v>
      </c>
    </row>
    <row r="798" spans="2:8">
      <c r="B798" s="252">
        <v>45040</v>
      </c>
      <c r="C798" s="251">
        <v>473.74</v>
      </c>
      <c r="D798" s="251">
        <f t="shared" si="27"/>
        <v>-7.8971926277315502E-2</v>
      </c>
      <c r="E798" s="251">
        <v>8.4938797232570716E-3</v>
      </c>
      <c r="G798" s="251">
        <v>789</v>
      </c>
      <c r="H798" s="251">
        <f t="shared" ca="1" si="28"/>
        <v>2.5780404952103014E-2</v>
      </c>
    </row>
    <row r="799" spans="2:8">
      <c r="B799" s="252">
        <v>45058</v>
      </c>
      <c r="C799" s="251">
        <v>514.36</v>
      </c>
      <c r="D799" s="251">
        <f t="shared" si="27"/>
        <v>-0.22190454579835103</v>
      </c>
      <c r="E799" s="251">
        <v>8.4896966845088347E-3</v>
      </c>
      <c r="G799" s="251">
        <v>790</v>
      </c>
      <c r="H799" s="251">
        <f t="shared" ca="1" si="28"/>
        <v>1.0362762691029691E-2</v>
      </c>
    </row>
    <row r="800" spans="2:8">
      <c r="B800" s="252">
        <v>45733</v>
      </c>
      <c r="C800" s="251">
        <v>661.05</v>
      </c>
      <c r="D800" s="251">
        <f t="shared" si="27"/>
        <v>-0.37774744669835741</v>
      </c>
      <c r="E800" s="251">
        <v>8.4668192219678941E-3</v>
      </c>
      <c r="G800" s="251">
        <v>791</v>
      </c>
      <c r="H800" s="251">
        <f t="shared" ca="1" si="28"/>
        <v>2.0286013113726799E-3</v>
      </c>
    </row>
    <row r="801" spans="2:8">
      <c r="B801" s="252">
        <v>45518</v>
      </c>
      <c r="C801" s="267">
        <v>1062.3499999999999</v>
      </c>
      <c r="D801" s="251">
        <f t="shared" si="27"/>
        <v>1.4449379761110215</v>
      </c>
      <c r="E801" s="251">
        <v>8.4484313446294215E-3</v>
      </c>
      <c r="G801" s="251">
        <v>792</v>
      </c>
      <c r="H801" s="251">
        <f t="shared" ca="1" si="28"/>
        <v>-2.0549859690390582E-2</v>
      </c>
    </row>
    <row r="802" spans="2:8">
      <c r="B802" s="252">
        <v>44995</v>
      </c>
      <c r="C802" s="251">
        <v>434.51</v>
      </c>
      <c r="D802" s="251">
        <f t="shared" si="27"/>
        <v>-0.11819381024860479</v>
      </c>
      <c r="E802" s="251">
        <v>8.4480237658690234E-3</v>
      </c>
      <c r="G802" s="251">
        <v>793</v>
      </c>
      <c r="H802" s="251">
        <f t="shared" ca="1" si="28"/>
        <v>3.087306044199168E-2</v>
      </c>
    </row>
    <row r="803" spans="2:8">
      <c r="B803" s="252">
        <v>44525</v>
      </c>
      <c r="C803" s="251">
        <v>492.75</v>
      </c>
      <c r="D803" s="251">
        <f t="shared" si="27"/>
        <v>0.10847411873214413</v>
      </c>
      <c r="E803" s="251">
        <v>8.3904635219482718E-3</v>
      </c>
      <c r="G803" s="251">
        <v>794</v>
      </c>
      <c r="H803" s="251">
        <f t="shared" ca="1" si="28"/>
        <v>1.6457648056796979E-2</v>
      </c>
    </row>
    <row r="804" spans="2:8">
      <c r="B804" s="252">
        <v>44813</v>
      </c>
      <c r="C804" s="251">
        <v>444.53</v>
      </c>
      <c r="D804" s="251">
        <f t="shared" si="27"/>
        <v>1.5293314366998576</v>
      </c>
      <c r="E804" s="251">
        <v>8.3703838127211633E-3</v>
      </c>
      <c r="G804" s="251">
        <v>795</v>
      </c>
      <c r="H804" s="251">
        <f t="shared" ca="1" si="28"/>
        <v>-6.1081626346474998E-3</v>
      </c>
    </row>
    <row r="805" spans="2:8">
      <c r="B805" s="252">
        <v>43521</v>
      </c>
      <c r="C805" s="251">
        <v>175.75</v>
      </c>
      <c r="D805" s="251">
        <f t="shared" si="27"/>
        <v>-9.8024121118809315E-2</v>
      </c>
      <c r="E805" s="251">
        <v>8.3189902467010243E-3</v>
      </c>
      <c r="G805" s="251">
        <v>796</v>
      </c>
      <c r="H805" s="251">
        <f t="shared" ca="1" si="28"/>
        <v>1.5626319173852019E-2</v>
      </c>
    </row>
    <row r="806" spans="2:8">
      <c r="B806" s="252">
        <v>43411</v>
      </c>
      <c r="C806" s="251">
        <v>194.85</v>
      </c>
      <c r="D806" s="251">
        <f t="shared" si="27"/>
        <v>-0.47592791823561059</v>
      </c>
      <c r="E806" s="251">
        <v>8.2794307891332179E-3</v>
      </c>
      <c r="G806" s="251">
        <v>797</v>
      </c>
      <c r="H806" s="251">
        <f t="shared" ca="1" si="28"/>
        <v>-1.3991207801083651E-3</v>
      </c>
    </row>
    <row r="807" spans="2:8">
      <c r="B807" s="252">
        <v>43143</v>
      </c>
      <c r="C807" s="251">
        <v>371.8</v>
      </c>
      <c r="D807" s="251">
        <f t="shared" si="27"/>
        <v>1.102346621430591</v>
      </c>
      <c r="E807" s="251">
        <v>8.2711864406779974E-3</v>
      </c>
      <c r="G807" s="251">
        <v>798</v>
      </c>
      <c r="H807" s="251">
        <f t="shared" ca="1" si="28"/>
        <v>-1.7879046329026208E-2</v>
      </c>
    </row>
    <row r="808" spans="2:8">
      <c r="B808" s="252">
        <v>43602</v>
      </c>
      <c r="C808" s="251">
        <v>176.85</v>
      </c>
      <c r="D808" s="251">
        <f t="shared" si="27"/>
        <v>-0.58037726895242614</v>
      </c>
      <c r="E808" s="251">
        <v>8.2668187001139603E-3</v>
      </c>
      <c r="G808" s="251">
        <v>799</v>
      </c>
      <c r="H808" s="251">
        <f t="shared" ca="1" si="28"/>
        <v>7.3356441284114088E-3</v>
      </c>
    </row>
    <row r="809" spans="2:8">
      <c r="B809" s="252">
        <v>44704</v>
      </c>
      <c r="C809" s="251">
        <v>421.45</v>
      </c>
      <c r="D809" s="251">
        <f t="shared" si="27"/>
        <v>-6.7794735677947429E-2</v>
      </c>
      <c r="E809" s="251">
        <v>8.2535885167463845E-3</v>
      </c>
      <c r="G809" s="251">
        <v>800</v>
      </c>
      <c r="H809" s="251">
        <f t="shared" ca="1" si="28"/>
        <v>-1.3782892399827823E-2</v>
      </c>
    </row>
    <row r="810" spans="2:8">
      <c r="B810" s="252">
        <v>42536</v>
      </c>
      <c r="C810" s="251">
        <v>452.1</v>
      </c>
      <c r="D810" s="251">
        <f t="shared" si="27"/>
        <v>-0.27544593490071639</v>
      </c>
      <c r="E810" s="251">
        <v>8.2515611061553199E-3</v>
      </c>
      <c r="G810" s="251">
        <v>801</v>
      </c>
      <c r="H810" s="251">
        <f t="shared" ca="1" si="28"/>
        <v>-9.8476842834145997E-3</v>
      </c>
    </row>
    <row r="811" spans="2:8">
      <c r="B811" s="252">
        <v>45182</v>
      </c>
      <c r="C811" s="251">
        <v>623.97</v>
      </c>
      <c r="D811" s="251">
        <f t="shared" si="27"/>
        <v>0.91607554122524204</v>
      </c>
      <c r="E811" s="251">
        <v>8.2082437913038528E-3</v>
      </c>
      <c r="G811" s="251">
        <v>802</v>
      </c>
      <c r="H811" s="251">
        <f t="shared" ca="1" si="28"/>
        <v>-1.8223013334664369E-2</v>
      </c>
    </row>
    <row r="812" spans="2:8">
      <c r="B812" s="252">
        <v>44350</v>
      </c>
      <c r="C812" s="251">
        <v>325.64999999999998</v>
      </c>
      <c r="D812" s="251">
        <f t="shared" si="27"/>
        <v>-0.23005083343184776</v>
      </c>
      <c r="E812" s="251">
        <v>8.204334365325007E-3</v>
      </c>
      <c r="G812" s="251">
        <v>803</v>
      </c>
      <c r="H812" s="251">
        <f t="shared" ca="1" si="28"/>
        <v>2.1130393587227028E-2</v>
      </c>
    </row>
    <row r="813" spans="2:8">
      <c r="B813" s="252">
        <v>45019</v>
      </c>
      <c r="C813" s="251">
        <v>422.95</v>
      </c>
      <c r="D813" s="251">
        <f t="shared" si="27"/>
        <v>0.43106073422432745</v>
      </c>
      <c r="E813" s="251">
        <v>8.2000429072012528E-3</v>
      </c>
      <c r="G813" s="251">
        <v>804</v>
      </c>
      <c r="H813" s="251">
        <f t="shared" ca="1" si="28"/>
        <v>1.2104034857770767E-2</v>
      </c>
    </row>
    <row r="814" spans="2:8">
      <c r="B814" s="252">
        <v>44442</v>
      </c>
      <c r="C814" s="251">
        <v>295.55</v>
      </c>
      <c r="D814" s="251">
        <f t="shared" si="27"/>
        <v>-0.33251276028727578</v>
      </c>
      <c r="E814" s="251">
        <v>8.1869350162034251E-3</v>
      </c>
      <c r="G814" s="251">
        <v>805</v>
      </c>
      <c r="H814" s="251">
        <f t="shared" ca="1" si="28"/>
        <v>1.2474033188156205E-2</v>
      </c>
    </row>
    <row r="815" spans="2:8">
      <c r="B815" s="252">
        <v>44972</v>
      </c>
      <c r="C815" s="251">
        <v>442.78</v>
      </c>
      <c r="D815" s="251">
        <f t="shared" si="27"/>
        <v>0.10034791252485088</v>
      </c>
      <c r="E815" s="251">
        <v>8.1511839708560668E-3</v>
      </c>
      <c r="G815" s="251">
        <v>806</v>
      </c>
      <c r="H815" s="251">
        <f t="shared" ca="1" si="28"/>
        <v>-2.2724992532511652E-2</v>
      </c>
    </row>
    <row r="816" spans="2:8">
      <c r="B816" s="252">
        <v>42346</v>
      </c>
      <c r="C816" s="251">
        <v>402.4</v>
      </c>
      <c r="D816" s="251">
        <f t="shared" si="27"/>
        <v>1.1651869787463007</v>
      </c>
      <c r="E816" s="251">
        <v>8.1423023925842417E-3</v>
      </c>
      <c r="G816" s="251">
        <v>807</v>
      </c>
      <c r="H816" s="251">
        <f t="shared" ca="1" si="28"/>
        <v>1.5621594841384428E-2</v>
      </c>
    </row>
    <row r="817" spans="2:8">
      <c r="B817" s="252">
        <v>43389</v>
      </c>
      <c r="C817" s="251">
        <v>185.85</v>
      </c>
      <c r="D817" s="251">
        <f t="shared" si="27"/>
        <v>-0.52988642400020236</v>
      </c>
      <c r="E817" s="251">
        <v>8.1366965012205049E-3</v>
      </c>
      <c r="G817" s="251">
        <v>808</v>
      </c>
      <c r="H817" s="251">
        <f t="shared" ca="1" si="28"/>
        <v>-2.3770062528416316E-2</v>
      </c>
    </row>
    <row r="818" spans="2:8">
      <c r="B818" s="252">
        <v>44846</v>
      </c>
      <c r="C818" s="251">
        <v>395.33</v>
      </c>
      <c r="D818" s="251">
        <f t="shared" si="27"/>
        <v>-0.17484867459820505</v>
      </c>
      <c r="E818" s="251">
        <v>8.1348497985413316E-3</v>
      </c>
      <c r="G818" s="251">
        <v>809</v>
      </c>
      <c r="H818" s="251">
        <f t="shared" ca="1" si="28"/>
        <v>-2.2335149280419565E-2</v>
      </c>
    </row>
    <row r="819" spans="2:8">
      <c r="B819" s="252">
        <v>44532</v>
      </c>
      <c r="C819" s="251">
        <v>479.1</v>
      </c>
      <c r="D819" s="251">
        <f t="shared" si="27"/>
        <v>9.9231386945049904E-2</v>
      </c>
      <c r="E819" s="251">
        <v>8.1009994739611214E-3</v>
      </c>
      <c r="G819" s="251">
        <v>810</v>
      </c>
      <c r="H819" s="251">
        <f t="shared" ca="1" si="28"/>
        <v>4.1086187930977978E-2</v>
      </c>
    </row>
    <row r="820" spans="2:8">
      <c r="B820" s="252">
        <v>44719</v>
      </c>
      <c r="C820" s="251">
        <v>435.85</v>
      </c>
      <c r="D820" s="251">
        <f t="shared" si="27"/>
        <v>1.7974967907573811</v>
      </c>
      <c r="E820" s="251">
        <v>8.0952931652596271E-3</v>
      </c>
      <c r="G820" s="251">
        <v>811</v>
      </c>
      <c r="H820" s="251">
        <f t="shared" ca="1" si="28"/>
        <v>-1.3642820281245646E-3</v>
      </c>
    </row>
    <row r="821" spans="2:8">
      <c r="B821" s="252">
        <v>43655</v>
      </c>
      <c r="C821" s="251">
        <v>155.80000000000001</v>
      </c>
      <c r="D821" s="251">
        <f t="shared" si="27"/>
        <v>-0.53754823389729889</v>
      </c>
      <c r="E821" s="251">
        <v>8.0879974118408283E-3</v>
      </c>
      <c r="G821" s="251">
        <v>812</v>
      </c>
      <c r="H821" s="251">
        <f t="shared" ca="1" si="28"/>
        <v>-2.2107596250045915E-2</v>
      </c>
    </row>
    <row r="822" spans="2:8">
      <c r="B822" s="252">
        <v>42398</v>
      </c>
      <c r="C822" s="251">
        <v>336.9</v>
      </c>
      <c r="D822" s="251">
        <f t="shared" si="27"/>
        <v>-0.16804543770835909</v>
      </c>
      <c r="E822" s="251">
        <v>8.0789946140035571E-3</v>
      </c>
      <c r="G822" s="251">
        <v>813</v>
      </c>
      <c r="H822" s="251">
        <f t="shared" ca="1" si="28"/>
        <v>2.3197249895642764E-2</v>
      </c>
    </row>
    <row r="823" spans="2:8">
      <c r="B823" s="252">
        <v>42996</v>
      </c>
      <c r="C823" s="251">
        <v>404.95</v>
      </c>
      <c r="D823" s="251">
        <f t="shared" si="27"/>
        <v>-6.0113728675873349E-2</v>
      </c>
      <c r="E823" s="251">
        <v>7.9651524579962378E-3</v>
      </c>
      <c r="G823" s="251">
        <v>814</v>
      </c>
      <c r="H823" s="251">
        <f t="shared" ca="1" si="28"/>
        <v>1.5347854672416682E-2</v>
      </c>
    </row>
    <row r="824" spans="2:8">
      <c r="B824" s="252">
        <v>42867</v>
      </c>
      <c r="C824" s="251">
        <v>430.85</v>
      </c>
      <c r="D824" s="251">
        <f t="shared" si="27"/>
        <v>0.23629842180774754</v>
      </c>
      <c r="E824" s="251">
        <v>7.9541466838227489E-3</v>
      </c>
      <c r="G824" s="251">
        <v>815</v>
      </c>
      <c r="H824" s="251">
        <f t="shared" ca="1" si="28"/>
        <v>3.5893423501589519E-3</v>
      </c>
    </row>
    <row r="825" spans="2:8">
      <c r="B825" s="252">
        <v>44258</v>
      </c>
      <c r="C825" s="251">
        <v>348.5</v>
      </c>
      <c r="D825" s="251">
        <f t="shared" si="27"/>
        <v>2.4318069916297391</v>
      </c>
      <c r="E825" s="251">
        <v>7.9537237888647871E-3</v>
      </c>
      <c r="G825" s="251">
        <v>816</v>
      </c>
      <c r="H825" s="251">
        <f t="shared" ca="1" si="28"/>
        <v>-4.0062773779869804E-2</v>
      </c>
    </row>
    <row r="826" spans="2:8">
      <c r="B826" s="252">
        <v>44014</v>
      </c>
      <c r="C826" s="251">
        <v>101.55</v>
      </c>
      <c r="D826" s="251">
        <f t="shared" si="27"/>
        <v>-0.7568887505685763</v>
      </c>
      <c r="E826" s="251">
        <v>7.9404466501240417E-3</v>
      </c>
      <c r="G826" s="251">
        <v>817</v>
      </c>
      <c r="H826" s="251">
        <f t="shared" ca="1" si="28"/>
        <v>1.6665262516186611E-2</v>
      </c>
    </row>
    <row r="827" spans="2:8">
      <c r="B827" s="252">
        <v>45002</v>
      </c>
      <c r="C827" s="251">
        <v>417.71</v>
      </c>
      <c r="D827" s="251">
        <f t="shared" si="27"/>
        <v>-4.1509866911427329E-2</v>
      </c>
      <c r="E827" s="251">
        <v>7.938806042179343E-3</v>
      </c>
      <c r="G827" s="251">
        <v>818</v>
      </c>
      <c r="H827" s="251">
        <f t="shared" ca="1" si="28"/>
        <v>5.3886452110650969E-3</v>
      </c>
    </row>
    <row r="828" spans="2:8">
      <c r="B828" s="252">
        <v>44880</v>
      </c>
      <c r="C828" s="251">
        <v>435.8</v>
      </c>
      <c r="D828" s="251">
        <f t="shared" si="27"/>
        <v>1.5329845975007264</v>
      </c>
      <c r="E828" s="251">
        <v>7.9330203298101313E-3</v>
      </c>
      <c r="G828" s="251">
        <v>819</v>
      </c>
      <c r="H828" s="251">
        <f t="shared" ca="1" si="28"/>
        <v>-4.4020683430343131E-3</v>
      </c>
    </row>
    <row r="829" spans="2:8">
      <c r="B829" s="252">
        <v>44159</v>
      </c>
      <c r="C829" s="251">
        <v>172.05</v>
      </c>
      <c r="D829" s="251">
        <f t="shared" si="27"/>
        <v>-7.0753443154199264E-2</v>
      </c>
      <c r="E829" s="251">
        <v>7.908611599297146E-3</v>
      </c>
      <c r="G829" s="251">
        <v>820</v>
      </c>
      <c r="H829" s="251">
        <f t="shared" ca="1" si="28"/>
        <v>-3.2636567023566522E-3</v>
      </c>
    </row>
    <row r="830" spans="2:8">
      <c r="B830" s="252">
        <v>43830</v>
      </c>
      <c r="C830" s="251">
        <v>185.15</v>
      </c>
      <c r="D830" s="251">
        <f t="shared" si="27"/>
        <v>-0.53829081569038173</v>
      </c>
      <c r="E830" s="251">
        <v>7.893304300490022E-3</v>
      </c>
      <c r="G830" s="251">
        <v>821</v>
      </c>
      <c r="H830" s="251">
        <f t="shared" ca="1" si="28"/>
        <v>-2.8560067050903599E-2</v>
      </c>
    </row>
    <row r="831" spans="2:8">
      <c r="B831" s="252">
        <v>44833</v>
      </c>
      <c r="C831" s="251">
        <v>401.01</v>
      </c>
      <c r="D831" s="251">
        <f t="shared" si="27"/>
        <v>-0.50876483774943959</v>
      </c>
      <c r="E831" s="251">
        <v>7.8920250333023006E-3</v>
      </c>
      <c r="G831" s="251">
        <v>822</v>
      </c>
      <c r="H831" s="251">
        <f t="shared" ca="1" si="28"/>
        <v>4.1159790989523257E-2</v>
      </c>
    </row>
    <row r="832" spans="2:8">
      <c r="B832" s="252">
        <v>45307</v>
      </c>
      <c r="C832" s="251">
        <v>816.33</v>
      </c>
      <c r="D832" s="251">
        <f t="shared" si="27"/>
        <v>0.72421586228746448</v>
      </c>
      <c r="E832" s="251">
        <v>7.8770294462621095E-3</v>
      </c>
      <c r="G832" s="251">
        <v>823</v>
      </c>
      <c r="H832" s="251">
        <f t="shared" ca="1" si="28"/>
        <v>-6.3565340953909061E-2</v>
      </c>
    </row>
    <row r="833" spans="2:8">
      <c r="B833" s="252">
        <v>42809</v>
      </c>
      <c r="C833" s="251">
        <v>473.45</v>
      </c>
      <c r="D833" s="251">
        <f t="shared" si="27"/>
        <v>-0.21780002643404703</v>
      </c>
      <c r="E833" s="251">
        <v>7.8765300691857124E-3</v>
      </c>
      <c r="G833" s="251">
        <v>824</v>
      </c>
      <c r="H833" s="251">
        <f t="shared" ca="1" si="28"/>
        <v>5.0286168810147025E-2</v>
      </c>
    </row>
    <row r="834" spans="2:8">
      <c r="B834" s="252">
        <v>45167</v>
      </c>
      <c r="C834" s="251">
        <v>605.28</v>
      </c>
      <c r="D834" s="251">
        <f t="shared" si="27"/>
        <v>0.22427184466019418</v>
      </c>
      <c r="E834" s="251">
        <v>7.876113562567677E-3</v>
      </c>
      <c r="G834" s="251">
        <v>825</v>
      </c>
      <c r="H834" s="251">
        <f t="shared" ca="1" si="28"/>
        <v>1.7238768788469132E-2</v>
      </c>
    </row>
    <row r="835" spans="2:8">
      <c r="B835" s="252">
        <v>44588</v>
      </c>
      <c r="C835" s="251">
        <v>494.4</v>
      </c>
      <c r="D835" s="251">
        <f t="shared" si="27"/>
        <v>5.9830508474576272</v>
      </c>
      <c r="E835" s="251">
        <v>7.8483335032106128E-3</v>
      </c>
      <c r="G835" s="251">
        <v>826</v>
      </c>
      <c r="H835" s="251">
        <f t="shared" ca="1" si="28"/>
        <v>-7.6679983264646293E-3</v>
      </c>
    </row>
    <row r="836" spans="2:8">
      <c r="B836" s="252">
        <v>43916</v>
      </c>
      <c r="C836" s="251">
        <v>70.8</v>
      </c>
      <c r="D836" s="251">
        <f t="shared" si="27"/>
        <v>-0.84571802135541507</v>
      </c>
      <c r="E836" s="251">
        <v>7.8291814946618819E-3</v>
      </c>
      <c r="G836" s="251">
        <v>827</v>
      </c>
      <c r="H836" s="251">
        <f t="shared" ca="1" si="28"/>
        <v>-1.1290352197004873E-2</v>
      </c>
    </row>
    <row r="837" spans="2:8">
      <c r="B837" s="252">
        <v>42853</v>
      </c>
      <c r="C837" s="251">
        <v>458.9</v>
      </c>
      <c r="D837" s="251">
        <f t="shared" si="27"/>
        <v>0.18288439231859774</v>
      </c>
      <c r="E837" s="251">
        <v>7.7962007247171505E-3</v>
      </c>
      <c r="G837" s="251">
        <v>828</v>
      </c>
      <c r="H837" s="251">
        <f t="shared" ca="1" si="28"/>
        <v>-7.2147927380853969E-3</v>
      </c>
    </row>
    <row r="838" spans="2:8">
      <c r="B838" s="252">
        <v>42310</v>
      </c>
      <c r="C838" s="251">
        <v>387.95</v>
      </c>
      <c r="D838" s="251">
        <f t="shared" si="27"/>
        <v>3.6129607609988112</v>
      </c>
      <c r="E838" s="251">
        <v>7.7932198986881418E-3</v>
      </c>
      <c r="G838" s="251">
        <v>829</v>
      </c>
      <c r="H838" s="251">
        <f t="shared" ca="1" si="28"/>
        <v>-1.0512116112908532E-2</v>
      </c>
    </row>
    <row r="839" spans="2:8">
      <c r="B839" s="252">
        <v>43972</v>
      </c>
      <c r="C839" s="251">
        <v>84.1</v>
      </c>
      <c r="D839" s="251">
        <f t="shared" si="27"/>
        <v>-0.79308648050190678</v>
      </c>
      <c r="E839" s="251">
        <v>7.7890952666266203E-3</v>
      </c>
      <c r="G839" s="251">
        <v>830</v>
      </c>
      <c r="H839" s="251">
        <f t="shared" ca="1" si="28"/>
        <v>1.3087180078568694E-2</v>
      </c>
    </row>
    <row r="840" spans="2:8">
      <c r="B840" s="252">
        <v>44861</v>
      </c>
      <c r="C840" s="251">
        <v>406.45</v>
      </c>
      <c r="D840" s="251">
        <f t="shared" si="27"/>
        <v>1.4950890116635971</v>
      </c>
      <c r="E840" s="251">
        <v>7.7855743720710779E-3</v>
      </c>
      <c r="G840" s="251">
        <v>831</v>
      </c>
      <c r="H840" s="251">
        <f t="shared" ca="1" si="28"/>
        <v>2.9854745254375765E-2</v>
      </c>
    </row>
    <row r="841" spans="2:8">
      <c r="B841" s="252">
        <v>43514</v>
      </c>
      <c r="C841" s="251">
        <v>162.9</v>
      </c>
      <c r="D841" s="251">
        <f t="shared" si="27"/>
        <v>-0.5783070152731038</v>
      </c>
      <c r="E841" s="251">
        <v>7.7327559542220842E-3</v>
      </c>
      <c r="G841" s="251">
        <v>832</v>
      </c>
      <c r="H841" s="251">
        <f t="shared" ca="1" si="28"/>
        <v>1.6082643650115868E-2</v>
      </c>
    </row>
    <row r="842" spans="2:8">
      <c r="B842" s="252">
        <v>42305</v>
      </c>
      <c r="C842" s="251">
        <v>386.3</v>
      </c>
      <c r="D842" s="251">
        <f t="shared" ref="D842:D905" si="29">(C842-C843)/C843</f>
        <v>-0.61113348097443121</v>
      </c>
      <c r="E842" s="251">
        <v>7.6953175948871484E-3</v>
      </c>
      <c r="G842" s="251">
        <v>833</v>
      </c>
      <c r="H842" s="251">
        <f t="shared" ca="1" si="28"/>
        <v>-3.6911633347295907E-2</v>
      </c>
    </row>
    <row r="843" spans="2:8">
      <c r="B843" s="252">
        <v>45457</v>
      </c>
      <c r="C843" s="251">
        <v>993.4</v>
      </c>
      <c r="D843" s="251">
        <f t="shared" si="29"/>
        <v>0.62052821324285079</v>
      </c>
      <c r="E843" s="251">
        <v>7.658365877161794E-3</v>
      </c>
      <c r="G843" s="251">
        <v>834</v>
      </c>
      <c r="H843" s="251">
        <f t="shared" ref="H843:H906" ca="1" si="30">_xlfn.NORM.INV(RAND(),N$12,N$13)</f>
        <v>-2.0175011085562831E-2</v>
      </c>
    </row>
    <row r="844" spans="2:8">
      <c r="B844" s="252">
        <v>45176</v>
      </c>
      <c r="C844" s="251">
        <v>613.01</v>
      </c>
      <c r="D844" s="251">
        <f t="shared" si="29"/>
        <v>-9.0205143956417662E-3</v>
      </c>
      <c r="E844" s="251">
        <v>7.6269375544487502E-3</v>
      </c>
      <c r="G844" s="251">
        <v>835</v>
      </c>
      <c r="H844" s="251">
        <f t="shared" ca="1" si="30"/>
        <v>5.4218542280621868E-2</v>
      </c>
    </row>
    <row r="845" spans="2:8">
      <c r="B845" s="252">
        <v>45159</v>
      </c>
      <c r="C845" s="251">
        <v>618.59</v>
      </c>
      <c r="D845" s="251">
        <f t="shared" si="29"/>
        <v>0.31293643213414002</v>
      </c>
      <c r="E845" s="251">
        <v>7.62326725415788E-3</v>
      </c>
      <c r="G845" s="251">
        <v>836</v>
      </c>
      <c r="H845" s="251">
        <f t="shared" ca="1" si="30"/>
        <v>3.2361285060848871E-2</v>
      </c>
    </row>
    <row r="846" spans="2:8">
      <c r="B846" s="252">
        <v>44557</v>
      </c>
      <c r="C846" s="251">
        <v>471.15</v>
      </c>
      <c r="D846" s="251">
        <f t="shared" si="29"/>
        <v>-0.54009468495290158</v>
      </c>
      <c r="E846" s="251">
        <v>7.5919589392642308E-3</v>
      </c>
      <c r="G846" s="251">
        <v>837</v>
      </c>
      <c r="H846" s="251">
        <f t="shared" ca="1" si="30"/>
        <v>3.2270405264528276E-2</v>
      </c>
    </row>
    <row r="847" spans="2:8">
      <c r="B847" s="252">
        <v>45488</v>
      </c>
      <c r="C847" s="267">
        <v>1024.45</v>
      </c>
      <c r="D847" s="251">
        <f t="shared" si="29"/>
        <v>4.901209677419355</v>
      </c>
      <c r="E847" s="251">
        <v>7.573149741824485E-3</v>
      </c>
      <c r="G847" s="251">
        <v>838</v>
      </c>
      <c r="H847" s="251">
        <f t="shared" ca="1" si="30"/>
        <v>-2.7514283586370734E-3</v>
      </c>
    </row>
    <row r="848" spans="2:8">
      <c r="B848" s="252">
        <v>43494</v>
      </c>
      <c r="C848" s="251">
        <v>173.6</v>
      </c>
      <c r="D848" s="251">
        <f t="shared" si="29"/>
        <v>-0.83868419829949359</v>
      </c>
      <c r="E848" s="251">
        <v>7.5449796865930518E-3</v>
      </c>
      <c r="G848" s="251">
        <v>839</v>
      </c>
      <c r="H848" s="251">
        <f t="shared" ca="1" si="30"/>
        <v>-5.265709564410375E-2</v>
      </c>
    </row>
    <row r="849" spans="2:8">
      <c r="B849" s="252">
        <v>45516</v>
      </c>
      <c r="C849" s="267">
        <v>1076.1500000000001</v>
      </c>
      <c r="D849" s="251">
        <f t="shared" si="29"/>
        <v>0.51752097581611811</v>
      </c>
      <c r="E849" s="251">
        <v>7.5367474955530221E-3</v>
      </c>
      <c r="G849" s="251">
        <v>840</v>
      </c>
      <c r="H849" s="251">
        <f t="shared" ca="1" si="30"/>
        <v>-1.895592226288003E-2</v>
      </c>
    </row>
    <row r="850" spans="2:8">
      <c r="B850" s="252">
        <v>45812</v>
      </c>
      <c r="C850" s="251">
        <v>709.15</v>
      </c>
      <c r="D850" s="251">
        <f t="shared" si="29"/>
        <v>1.3544156706507304</v>
      </c>
      <c r="E850" s="251">
        <v>7.5300134971939391E-3</v>
      </c>
      <c r="G850" s="251">
        <v>841</v>
      </c>
      <c r="H850" s="251">
        <f t="shared" ca="1" si="30"/>
        <v>-3.5273503422309768E-2</v>
      </c>
    </row>
    <row r="851" spans="2:8">
      <c r="B851" s="252">
        <v>44452</v>
      </c>
      <c r="C851" s="251">
        <v>301.2</v>
      </c>
      <c r="D851" s="251">
        <f t="shared" si="29"/>
        <v>-0.22759328118989613</v>
      </c>
      <c r="E851" s="251">
        <v>7.526342197691922E-3</v>
      </c>
      <c r="G851" s="251">
        <v>842</v>
      </c>
      <c r="H851" s="251">
        <f t="shared" ca="1" si="30"/>
        <v>2.4125780399584809E-2</v>
      </c>
    </row>
    <row r="852" spans="2:8">
      <c r="B852" s="252">
        <v>42503</v>
      </c>
      <c r="C852" s="251">
        <v>389.95</v>
      </c>
      <c r="D852" s="251">
        <f t="shared" si="29"/>
        <v>-5.1793313069908843E-2</v>
      </c>
      <c r="E852" s="251">
        <v>7.4925720191189177E-3</v>
      </c>
      <c r="G852" s="251">
        <v>843</v>
      </c>
      <c r="H852" s="251">
        <f t="shared" ca="1" si="30"/>
        <v>5.3535713859995594E-2</v>
      </c>
    </row>
    <row r="853" spans="2:8">
      <c r="B853" s="252">
        <v>43004</v>
      </c>
      <c r="C853" s="251">
        <v>411.25</v>
      </c>
      <c r="D853" s="251">
        <f t="shared" si="29"/>
        <v>0.1884120791793093</v>
      </c>
      <c r="E853" s="251">
        <v>7.4718275355218312E-3</v>
      </c>
      <c r="G853" s="251">
        <v>844</v>
      </c>
      <c r="H853" s="251">
        <f t="shared" ca="1" si="30"/>
        <v>9.8701045171452895E-2</v>
      </c>
    </row>
    <row r="854" spans="2:8">
      <c r="B854" s="252">
        <v>42437</v>
      </c>
      <c r="C854" s="251">
        <v>346.05</v>
      </c>
      <c r="D854" s="251">
        <f t="shared" si="29"/>
        <v>-0.22034471105103076</v>
      </c>
      <c r="E854" s="251">
        <v>7.4235807860262336E-3</v>
      </c>
      <c r="G854" s="251">
        <v>845</v>
      </c>
      <c r="H854" s="251">
        <f t="shared" ca="1" si="30"/>
        <v>-4.5055248863774523E-2</v>
      </c>
    </row>
    <row r="855" spans="2:8">
      <c r="B855" s="252">
        <v>42849</v>
      </c>
      <c r="C855" s="251">
        <v>443.85</v>
      </c>
      <c r="D855" s="251">
        <f t="shared" si="29"/>
        <v>0.10051821179737676</v>
      </c>
      <c r="E855" s="251">
        <v>7.3763050385837487E-3</v>
      </c>
      <c r="G855" s="251">
        <v>846</v>
      </c>
      <c r="H855" s="251">
        <f t="shared" ca="1" si="30"/>
        <v>-4.3848511471517712E-3</v>
      </c>
    </row>
    <row r="856" spans="2:8">
      <c r="B856" s="252">
        <v>44859</v>
      </c>
      <c r="C856" s="251">
        <v>403.31</v>
      </c>
      <c r="D856" s="251">
        <f t="shared" si="29"/>
        <v>-3.4820274733164243E-2</v>
      </c>
      <c r="E856" s="251">
        <v>7.3683684683784308E-3</v>
      </c>
      <c r="G856" s="251">
        <v>847</v>
      </c>
      <c r="H856" s="251">
        <f t="shared" ca="1" si="30"/>
        <v>-3.2680939809818108E-2</v>
      </c>
    </row>
    <row r="857" spans="2:8">
      <c r="B857" s="252">
        <v>45008</v>
      </c>
      <c r="C857" s="251">
        <v>417.86</v>
      </c>
      <c r="D857" s="251">
        <f t="shared" si="29"/>
        <v>-0.36067931456548347</v>
      </c>
      <c r="E857" s="251">
        <v>7.3284798225736955E-3</v>
      </c>
      <c r="G857" s="251">
        <v>848</v>
      </c>
      <c r="H857" s="251">
        <f t="shared" ca="1" si="30"/>
        <v>4.9069325581714021E-2</v>
      </c>
    </row>
    <row r="858" spans="2:8">
      <c r="B858" s="252">
        <v>45873</v>
      </c>
      <c r="C858" s="251">
        <v>653.6</v>
      </c>
      <c r="D858" s="251">
        <f t="shared" si="29"/>
        <v>1.2058724265946676</v>
      </c>
      <c r="E858" s="251">
        <v>7.3206442166910681E-3</v>
      </c>
      <c r="G858" s="251">
        <v>849</v>
      </c>
      <c r="H858" s="251">
        <f t="shared" ca="1" si="30"/>
        <v>-6.1578263604600378E-2</v>
      </c>
    </row>
    <row r="859" spans="2:8">
      <c r="B859" s="252">
        <v>43248</v>
      </c>
      <c r="C859" s="251">
        <v>296.3</v>
      </c>
      <c r="D859" s="251">
        <f t="shared" si="29"/>
        <v>-0.17327008928571419</v>
      </c>
      <c r="E859" s="251">
        <v>7.3091959884413879E-3</v>
      </c>
      <c r="G859" s="251">
        <v>850</v>
      </c>
      <c r="H859" s="251">
        <f t="shared" ca="1" si="30"/>
        <v>1.5468649030450107E-2</v>
      </c>
    </row>
    <row r="860" spans="2:8">
      <c r="B860" s="252">
        <v>43202</v>
      </c>
      <c r="C860" s="251">
        <v>358.4</v>
      </c>
      <c r="D860" s="251">
        <f t="shared" si="29"/>
        <v>-0.64331210191082799</v>
      </c>
      <c r="E860" s="251">
        <v>7.3074761101741591E-3</v>
      </c>
      <c r="G860" s="251">
        <v>851</v>
      </c>
      <c r="H860" s="251">
        <f t="shared" ca="1" si="30"/>
        <v>1.4333721313042613E-2</v>
      </c>
    </row>
    <row r="861" spans="2:8">
      <c r="B861" s="252">
        <v>45412</v>
      </c>
      <c r="C861" s="267">
        <v>1004.8</v>
      </c>
      <c r="D861" s="251">
        <f t="shared" si="29"/>
        <v>1.3773808115461967</v>
      </c>
      <c r="E861" s="251">
        <v>7.2980992862298226E-3</v>
      </c>
      <c r="G861" s="251">
        <v>852</v>
      </c>
      <c r="H861" s="251">
        <f t="shared" ca="1" si="30"/>
        <v>1.2536760012734219E-2</v>
      </c>
    </row>
    <row r="862" spans="2:8">
      <c r="B862" s="252">
        <v>42863</v>
      </c>
      <c r="C862" s="251">
        <v>422.65</v>
      </c>
      <c r="D862" s="251">
        <f t="shared" si="29"/>
        <v>1.6341539420380182</v>
      </c>
      <c r="E862" s="251">
        <v>7.268827454718671E-3</v>
      </c>
      <c r="G862" s="251">
        <v>853</v>
      </c>
      <c r="H862" s="251">
        <f t="shared" ca="1" si="30"/>
        <v>3.1042231217146023E-2</v>
      </c>
    </row>
    <row r="863" spans="2:8">
      <c r="B863" s="252">
        <v>43641</v>
      </c>
      <c r="C863" s="251">
        <v>160.44999999999999</v>
      </c>
      <c r="D863" s="251">
        <f t="shared" si="29"/>
        <v>-0.54904440697020807</v>
      </c>
      <c r="E863" s="251">
        <v>7.2190834902697877E-3</v>
      </c>
      <c r="G863" s="251">
        <v>854</v>
      </c>
      <c r="H863" s="251">
        <f t="shared" ca="1" si="30"/>
        <v>-1.2476259272530401E-2</v>
      </c>
    </row>
    <row r="864" spans="2:8">
      <c r="B864" s="252">
        <v>43201</v>
      </c>
      <c r="C864" s="251">
        <v>355.8</v>
      </c>
      <c r="D864" s="251">
        <f t="shared" si="29"/>
        <v>-0.26214719727919367</v>
      </c>
      <c r="E864" s="251">
        <v>7.2186836518047031E-3</v>
      </c>
      <c r="G864" s="251">
        <v>855</v>
      </c>
      <c r="H864" s="251">
        <f t="shared" ca="1" si="30"/>
        <v>-2.4893678543528946E-2</v>
      </c>
    </row>
    <row r="865" spans="2:8">
      <c r="B865" s="252">
        <v>45049</v>
      </c>
      <c r="C865" s="251">
        <v>482.21</v>
      </c>
      <c r="D865" s="251">
        <f t="shared" si="29"/>
        <v>-4.8989251553101333E-2</v>
      </c>
      <c r="E865" s="251">
        <v>7.1850784301439059E-3</v>
      </c>
      <c r="G865" s="251">
        <v>856</v>
      </c>
      <c r="H865" s="251">
        <f t="shared" ca="1" si="30"/>
        <v>-2.2125190863745675E-2</v>
      </c>
    </row>
    <row r="866" spans="2:8">
      <c r="B866" s="252">
        <v>44512</v>
      </c>
      <c r="C866" s="251">
        <v>507.05</v>
      </c>
      <c r="D866" s="251">
        <f t="shared" si="29"/>
        <v>0.84080595389362878</v>
      </c>
      <c r="E866" s="251">
        <v>7.1506604429437343E-3</v>
      </c>
      <c r="G866" s="251">
        <v>857</v>
      </c>
      <c r="H866" s="251">
        <f t="shared" ca="1" si="30"/>
        <v>2.6189719194527394E-2</v>
      </c>
    </row>
    <row r="867" spans="2:8">
      <c r="B867" s="252">
        <v>43291</v>
      </c>
      <c r="C867" s="251">
        <v>275.45</v>
      </c>
      <c r="D867" s="251">
        <f t="shared" si="29"/>
        <v>0.3901085036588442</v>
      </c>
      <c r="E867" s="251">
        <v>7.1297989031078191E-3</v>
      </c>
      <c r="G867" s="251">
        <v>858</v>
      </c>
      <c r="H867" s="251">
        <f t="shared" ca="1" si="30"/>
        <v>2.949837705999973E-2</v>
      </c>
    </row>
    <row r="868" spans="2:8">
      <c r="B868" s="252">
        <v>44204</v>
      </c>
      <c r="C868" s="251">
        <v>198.15</v>
      </c>
      <c r="D868" s="251">
        <f t="shared" si="29"/>
        <v>-0.58729067733066742</v>
      </c>
      <c r="E868" s="251">
        <v>7.1156289707751241E-3</v>
      </c>
      <c r="G868" s="251">
        <v>859</v>
      </c>
      <c r="H868" s="251">
        <f t="shared" ca="1" si="30"/>
        <v>-2.5895404356863619E-2</v>
      </c>
    </row>
    <row r="869" spans="2:8">
      <c r="B869" s="252">
        <v>45043</v>
      </c>
      <c r="C869" s="251">
        <v>480.12</v>
      </c>
      <c r="D869" s="251">
        <f t="shared" si="29"/>
        <v>0.64706689536878215</v>
      </c>
      <c r="E869" s="251">
        <v>7.1109433012396667E-3</v>
      </c>
      <c r="G869" s="251">
        <v>860</v>
      </c>
      <c r="H869" s="251">
        <f t="shared" ca="1" si="30"/>
        <v>2.5482991505107945E-2</v>
      </c>
    </row>
    <row r="870" spans="2:8">
      <c r="B870" s="252">
        <v>44321</v>
      </c>
      <c r="C870" s="251">
        <v>291.5</v>
      </c>
      <c r="D870" s="251">
        <f t="shared" si="29"/>
        <v>-0.63406979663570173</v>
      </c>
      <c r="E870" s="251">
        <v>7.0823976507169168E-3</v>
      </c>
      <c r="G870" s="251">
        <v>861</v>
      </c>
      <c r="H870" s="251">
        <f t="shared" ca="1" si="30"/>
        <v>4.0130988659953577E-2</v>
      </c>
    </row>
    <row r="871" spans="2:8">
      <c r="B871" s="252">
        <v>45621</v>
      </c>
      <c r="C871" s="251">
        <v>796.6</v>
      </c>
      <c r="D871" s="251">
        <f t="shared" si="29"/>
        <v>3.6598420590816034</v>
      </c>
      <c r="E871" s="251">
        <v>7.0796460176991436E-3</v>
      </c>
      <c r="G871" s="251">
        <v>862</v>
      </c>
      <c r="H871" s="251">
        <f t="shared" ca="1" si="30"/>
        <v>9.8316925015600083E-3</v>
      </c>
    </row>
    <row r="872" spans="2:8">
      <c r="B872" s="252">
        <v>43873</v>
      </c>
      <c r="C872" s="251">
        <v>170.95</v>
      </c>
      <c r="D872" s="251">
        <f t="shared" si="29"/>
        <v>-0.56468041762159416</v>
      </c>
      <c r="E872" s="251">
        <v>7.0692194403533942E-3</v>
      </c>
      <c r="G872" s="251">
        <v>863</v>
      </c>
      <c r="H872" s="251">
        <f t="shared" ca="1" si="30"/>
        <v>6.0635806194697947E-3</v>
      </c>
    </row>
    <row r="873" spans="2:8">
      <c r="B873" s="252">
        <v>42506</v>
      </c>
      <c r="C873" s="251">
        <v>392.7</v>
      </c>
      <c r="D873" s="251">
        <f t="shared" si="29"/>
        <v>-0.11081423784077529</v>
      </c>
      <c r="E873" s="251">
        <v>7.052186177715092E-3</v>
      </c>
      <c r="G873" s="251">
        <v>864</v>
      </c>
      <c r="H873" s="251">
        <f t="shared" ca="1" si="30"/>
        <v>3.1799764545855438E-2</v>
      </c>
    </row>
    <row r="874" spans="2:8">
      <c r="B874" s="252">
        <v>44977</v>
      </c>
      <c r="C874" s="251">
        <v>441.64</v>
      </c>
      <c r="D874" s="251">
        <f t="shared" si="29"/>
        <v>-0.16514177693761817</v>
      </c>
      <c r="E874" s="251">
        <v>7.045946870368202E-3</v>
      </c>
      <c r="G874" s="251">
        <v>865</v>
      </c>
      <c r="H874" s="251">
        <f t="shared" ca="1" si="30"/>
        <v>2.3414955505414583E-2</v>
      </c>
    </row>
    <row r="875" spans="2:8">
      <c r="B875" s="252">
        <v>42612</v>
      </c>
      <c r="C875" s="251">
        <v>529</v>
      </c>
      <c r="D875" s="251">
        <f t="shared" si="29"/>
        <v>1.9577858540676545</v>
      </c>
      <c r="E875" s="251">
        <v>7.0435941366838867E-3</v>
      </c>
      <c r="G875" s="251">
        <v>866</v>
      </c>
      <c r="H875" s="251">
        <f t="shared" ca="1" si="30"/>
        <v>1.9909376307248695E-2</v>
      </c>
    </row>
    <row r="876" spans="2:8">
      <c r="B876" s="252">
        <v>44176</v>
      </c>
      <c r="C876" s="251">
        <v>178.85</v>
      </c>
      <c r="D876" s="251">
        <f t="shared" si="29"/>
        <v>-2.7948574622700597E-4</v>
      </c>
      <c r="E876" s="251">
        <v>7.0382882882882884E-3</v>
      </c>
      <c r="G876" s="251">
        <v>867</v>
      </c>
      <c r="H876" s="251">
        <f t="shared" ca="1" si="30"/>
        <v>-3.2616768022408196E-3</v>
      </c>
    </row>
    <row r="877" spans="2:8">
      <c r="B877" s="252">
        <v>44180</v>
      </c>
      <c r="C877" s="251">
        <v>178.9</v>
      </c>
      <c r="D877" s="251">
        <f t="shared" si="29"/>
        <v>-0.60994222173770851</v>
      </c>
      <c r="E877" s="251">
        <v>7.0363073459048693E-3</v>
      </c>
      <c r="G877" s="251">
        <v>868</v>
      </c>
      <c r="H877" s="251">
        <f t="shared" ca="1" si="30"/>
        <v>1.3381440350530346E-2</v>
      </c>
    </row>
    <row r="878" spans="2:8">
      <c r="B878" s="252">
        <v>42787</v>
      </c>
      <c r="C878" s="251">
        <v>458.65</v>
      </c>
      <c r="D878" s="251">
        <f t="shared" si="29"/>
        <v>2.1784476784476778</v>
      </c>
      <c r="E878" s="251">
        <v>7.0260182237347427E-3</v>
      </c>
      <c r="G878" s="251">
        <v>869</v>
      </c>
      <c r="H878" s="251">
        <f t="shared" ca="1" si="30"/>
        <v>9.5798385786196524E-3</v>
      </c>
    </row>
    <row r="879" spans="2:8">
      <c r="B879" s="252">
        <v>44085</v>
      </c>
      <c r="C879" s="251">
        <v>144.30000000000001</v>
      </c>
      <c r="D879" s="251">
        <f t="shared" si="29"/>
        <v>-0.72080874528393146</v>
      </c>
      <c r="E879" s="251">
        <v>6.9783670621074659E-3</v>
      </c>
      <c r="G879" s="251">
        <v>870</v>
      </c>
      <c r="H879" s="251">
        <f t="shared" ca="1" si="30"/>
        <v>-1.0841535236443801E-2</v>
      </c>
    </row>
    <row r="880" spans="2:8">
      <c r="B880" s="252">
        <v>45072</v>
      </c>
      <c r="C880" s="251">
        <v>516.85</v>
      </c>
      <c r="D880" s="251">
        <f t="shared" si="29"/>
        <v>-0.33715934594421287</v>
      </c>
      <c r="E880" s="251">
        <v>6.9748865119723365E-3</v>
      </c>
      <c r="G880" s="251">
        <v>871</v>
      </c>
      <c r="H880" s="251">
        <f t="shared" ca="1" si="30"/>
        <v>-5.0696297787334128E-3</v>
      </c>
    </row>
    <row r="881" spans="2:8">
      <c r="B881" s="252">
        <v>45674</v>
      </c>
      <c r="C881" s="251">
        <v>779.75</v>
      </c>
      <c r="D881" s="251">
        <f t="shared" si="29"/>
        <v>0.61285318330368599</v>
      </c>
      <c r="E881" s="251">
        <v>6.9735907535351934E-3</v>
      </c>
      <c r="G881" s="251">
        <v>872</v>
      </c>
      <c r="H881" s="251">
        <f t="shared" ca="1" si="30"/>
        <v>9.8956940351152701E-3</v>
      </c>
    </row>
    <row r="882" spans="2:8">
      <c r="B882" s="252">
        <v>45044</v>
      </c>
      <c r="C882" s="251">
        <v>483.46</v>
      </c>
      <c r="D882" s="251">
        <f t="shared" si="29"/>
        <v>0.17492952269855147</v>
      </c>
      <c r="E882" s="251">
        <v>6.956594184787084E-3</v>
      </c>
      <c r="G882" s="251">
        <v>873</v>
      </c>
      <c r="H882" s="251">
        <f t="shared" ca="1" si="30"/>
        <v>4.1364036874025935E-2</v>
      </c>
    </row>
    <row r="883" spans="2:8">
      <c r="B883" s="252">
        <v>44865</v>
      </c>
      <c r="C883" s="251">
        <v>411.48</v>
      </c>
      <c r="D883" s="251">
        <f t="shared" si="29"/>
        <v>-0.40239634013506637</v>
      </c>
      <c r="E883" s="251">
        <v>6.9498825371966328E-3</v>
      </c>
      <c r="G883" s="251">
        <v>874</v>
      </c>
      <c r="H883" s="251">
        <f t="shared" ca="1" si="30"/>
        <v>-1.7966146938387738E-2</v>
      </c>
    </row>
    <row r="884" spans="2:8">
      <c r="B884" s="252">
        <v>45840</v>
      </c>
      <c r="C884" s="251">
        <v>688.55</v>
      </c>
      <c r="D884" s="251">
        <f t="shared" si="29"/>
        <v>5.3553668426287206E-2</v>
      </c>
      <c r="E884" s="251">
        <v>6.9464755776542852E-3</v>
      </c>
      <c r="G884" s="251">
        <v>875</v>
      </c>
      <c r="H884" s="251">
        <f t="shared" ca="1" si="30"/>
        <v>-1.1155993115652305E-2</v>
      </c>
    </row>
    <row r="885" spans="2:8">
      <c r="B885" s="252">
        <v>45242</v>
      </c>
      <c r="C885" s="251">
        <v>653.54999999999995</v>
      </c>
      <c r="D885" s="251">
        <f t="shared" si="29"/>
        <v>2.3217280813214738</v>
      </c>
      <c r="E885" s="251">
        <v>6.9332100762653113E-3</v>
      </c>
      <c r="G885" s="251">
        <v>876</v>
      </c>
      <c r="H885" s="251">
        <f t="shared" ca="1" si="30"/>
        <v>-2.5564376203180306E-2</v>
      </c>
    </row>
    <row r="886" spans="2:8">
      <c r="B886" s="252">
        <v>44203</v>
      </c>
      <c r="C886" s="251">
        <v>196.75</v>
      </c>
      <c r="D886" s="251">
        <f t="shared" si="29"/>
        <v>1.062368972746331</v>
      </c>
      <c r="E886" s="251">
        <v>6.9089048106448017E-3</v>
      </c>
      <c r="G886" s="251">
        <v>877</v>
      </c>
      <c r="H886" s="251">
        <f t="shared" ca="1" si="30"/>
        <v>-1.8657649586231149E-2</v>
      </c>
    </row>
    <row r="887" spans="2:8">
      <c r="B887" s="252">
        <v>43999</v>
      </c>
      <c r="C887" s="251">
        <v>95.4</v>
      </c>
      <c r="D887" s="251">
        <f t="shared" si="29"/>
        <v>-0.84686506789945104</v>
      </c>
      <c r="E887" s="251">
        <v>6.860158311345706E-3</v>
      </c>
      <c r="G887" s="251">
        <v>878</v>
      </c>
      <c r="H887" s="251">
        <f t="shared" ca="1" si="30"/>
        <v>-2.1538935195809242E-2</v>
      </c>
    </row>
    <row r="888" spans="2:8">
      <c r="B888" s="252">
        <v>45121</v>
      </c>
      <c r="C888" s="251">
        <v>622.98</v>
      </c>
      <c r="D888" s="251">
        <f t="shared" si="29"/>
        <v>2.684092253104672</v>
      </c>
      <c r="E888" s="251">
        <v>6.8526360021980296E-3</v>
      </c>
      <c r="G888" s="251">
        <v>879</v>
      </c>
      <c r="H888" s="251">
        <f t="shared" ca="1" si="30"/>
        <v>-1.8591892860905842E-2</v>
      </c>
    </row>
    <row r="889" spans="2:8">
      <c r="B889" s="252">
        <v>44155</v>
      </c>
      <c r="C889" s="251">
        <v>169.1</v>
      </c>
      <c r="D889" s="251">
        <f t="shared" si="29"/>
        <v>-0.76451091800356508</v>
      </c>
      <c r="E889" s="251">
        <v>6.8472759749925918E-3</v>
      </c>
      <c r="G889" s="251">
        <v>880</v>
      </c>
      <c r="H889" s="251">
        <f t="shared" ca="1" si="30"/>
        <v>1.0409785680007402E-2</v>
      </c>
    </row>
    <row r="890" spans="2:8">
      <c r="B890" s="252">
        <v>45273</v>
      </c>
      <c r="C890" s="251">
        <v>718.08</v>
      </c>
      <c r="D890" s="251">
        <f t="shared" si="29"/>
        <v>4.4133433848473427</v>
      </c>
      <c r="E890" s="251">
        <v>6.8424004486819902E-3</v>
      </c>
      <c r="G890" s="251">
        <v>881</v>
      </c>
      <c r="H890" s="251">
        <f t="shared" ca="1" si="30"/>
        <v>-6.9669237475853164E-3</v>
      </c>
    </row>
    <row r="891" spans="2:8">
      <c r="B891" s="252">
        <v>43761</v>
      </c>
      <c r="C891" s="251">
        <v>132.65</v>
      </c>
      <c r="D891" s="251">
        <f t="shared" si="29"/>
        <v>-0.28239112794157417</v>
      </c>
      <c r="E891" s="251">
        <v>6.8311195445920738E-3</v>
      </c>
      <c r="G891" s="251">
        <v>882</v>
      </c>
      <c r="H891" s="251">
        <f t="shared" ca="1" si="30"/>
        <v>-4.974465965036777E-2</v>
      </c>
    </row>
    <row r="892" spans="2:8">
      <c r="B892" s="252">
        <v>44168</v>
      </c>
      <c r="C892" s="251">
        <v>184.85</v>
      </c>
      <c r="D892" s="251">
        <f t="shared" si="29"/>
        <v>-8.0493694660584928E-3</v>
      </c>
      <c r="E892" s="251">
        <v>6.8082788671023969E-3</v>
      </c>
      <c r="G892" s="251">
        <v>883</v>
      </c>
      <c r="H892" s="251">
        <f t="shared" ca="1" si="30"/>
        <v>5.4782277606662969E-3</v>
      </c>
    </row>
    <row r="893" spans="2:8">
      <c r="B893" s="252">
        <v>43594</v>
      </c>
      <c r="C893" s="251">
        <v>186.35</v>
      </c>
      <c r="D893" s="251">
        <f t="shared" si="29"/>
        <v>-0.53999012589484086</v>
      </c>
      <c r="E893" s="251">
        <v>6.7531064289573202E-3</v>
      </c>
      <c r="G893" s="251">
        <v>884</v>
      </c>
      <c r="H893" s="251">
        <f t="shared" ca="1" si="30"/>
        <v>1.8980979498967668E-2</v>
      </c>
    </row>
    <row r="894" spans="2:8">
      <c r="B894" s="252">
        <v>43084</v>
      </c>
      <c r="C894" s="251">
        <v>405.1</v>
      </c>
      <c r="D894" s="251">
        <f t="shared" si="29"/>
        <v>-0.1309664271157352</v>
      </c>
      <c r="E894" s="251">
        <v>6.7097415506959385E-3</v>
      </c>
      <c r="G894" s="251">
        <v>885</v>
      </c>
      <c r="H894" s="251">
        <f t="shared" ca="1" si="30"/>
        <v>-1.2492398888119679E-2</v>
      </c>
    </row>
    <row r="895" spans="2:8">
      <c r="B895" s="252">
        <v>42529</v>
      </c>
      <c r="C895" s="251">
        <v>466.15</v>
      </c>
      <c r="D895" s="251">
        <f t="shared" si="29"/>
        <v>-0.57327901867447828</v>
      </c>
      <c r="E895" s="251">
        <v>6.694741388618866E-3</v>
      </c>
      <c r="G895" s="251">
        <v>886</v>
      </c>
      <c r="H895" s="251">
        <f t="shared" ca="1" si="30"/>
        <v>1.1521876297402873E-4</v>
      </c>
    </row>
    <row r="896" spans="2:8">
      <c r="B896" s="252">
        <v>45530</v>
      </c>
      <c r="C896" s="267">
        <v>1092.4000000000001</v>
      </c>
      <c r="D896" s="251">
        <f t="shared" si="29"/>
        <v>1.8960763520678687</v>
      </c>
      <c r="E896" s="251">
        <v>6.6811039948394225E-3</v>
      </c>
      <c r="G896" s="251">
        <v>887</v>
      </c>
      <c r="H896" s="251">
        <f t="shared" ca="1" si="30"/>
        <v>-1.5021784131406271E-2</v>
      </c>
    </row>
    <row r="897" spans="2:8">
      <c r="B897" s="252">
        <v>42451</v>
      </c>
      <c r="C897" s="251">
        <v>377.2</v>
      </c>
      <c r="D897" s="251">
        <f t="shared" si="29"/>
        <v>-0.11517710532488863</v>
      </c>
      <c r="E897" s="251">
        <v>6.6720042700827327E-3</v>
      </c>
      <c r="G897" s="251">
        <v>888</v>
      </c>
      <c r="H897" s="251">
        <f t="shared" ca="1" si="30"/>
        <v>3.4834876048936696E-2</v>
      </c>
    </row>
    <row r="898" spans="2:8">
      <c r="B898" s="252">
        <v>44686</v>
      </c>
      <c r="C898" s="251">
        <v>426.3</v>
      </c>
      <c r="D898" s="251">
        <f t="shared" si="29"/>
        <v>1.6427839107317387E-2</v>
      </c>
      <c r="E898" s="251">
        <v>6.611570247933911E-3</v>
      </c>
      <c r="G898" s="251">
        <v>889</v>
      </c>
      <c r="H898" s="251">
        <f t="shared" ca="1" si="30"/>
        <v>4.6519471927684165E-2</v>
      </c>
    </row>
    <row r="899" spans="2:8">
      <c r="B899" s="252">
        <v>44985</v>
      </c>
      <c r="C899" s="251">
        <v>419.41</v>
      </c>
      <c r="D899" s="251">
        <f t="shared" si="29"/>
        <v>-0.32768542711956783</v>
      </c>
      <c r="E899" s="251">
        <v>6.6001056016896263E-3</v>
      </c>
      <c r="G899" s="251">
        <v>890</v>
      </c>
      <c r="H899" s="251">
        <f t="shared" ca="1" si="30"/>
        <v>6.1065554653248017E-3</v>
      </c>
    </row>
    <row r="900" spans="2:8">
      <c r="B900" s="252">
        <v>45128</v>
      </c>
      <c r="C900" s="251">
        <v>623.83000000000004</v>
      </c>
      <c r="D900" s="251">
        <f t="shared" si="29"/>
        <v>0.31748680042238658</v>
      </c>
      <c r="E900" s="251">
        <v>6.5995417433117624E-3</v>
      </c>
      <c r="G900" s="251">
        <v>891</v>
      </c>
      <c r="H900" s="251">
        <f t="shared" ca="1" si="30"/>
        <v>-8.6687882854135714E-3</v>
      </c>
    </row>
    <row r="901" spans="2:8">
      <c r="B901" s="252">
        <v>42830</v>
      </c>
      <c r="C901" s="251">
        <v>473.5</v>
      </c>
      <c r="D901" s="251">
        <f t="shared" si="29"/>
        <v>6.9621396945875103E-2</v>
      </c>
      <c r="E901" s="251">
        <v>6.5901360544218177E-3</v>
      </c>
      <c r="G901" s="251">
        <v>892</v>
      </c>
      <c r="H901" s="251">
        <f t="shared" ca="1" si="30"/>
        <v>6.8609080767475248E-5</v>
      </c>
    </row>
    <row r="902" spans="2:8">
      <c r="B902" s="252">
        <v>44769</v>
      </c>
      <c r="C902" s="251">
        <v>442.68</v>
      </c>
      <c r="D902" s="251">
        <f t="shared" si="29"/>
        <v>0.1559733646690169</v>
      </c>
      <c r="E902" s="251">
        <v>6.5713181291070424E-3</v>
      </c>
      <c r="G902" s="251">
        <v>893</v>
      </c>
      <c r="H902" s="251">
        <f t="shared" ca="1" si="30"/>
        <v>-2.5203011648633679E-2</v>
      </c>
    </row>
    <row r="903" spans="2:8">
      <c r="B903" s="252">
        <v>42355</v>
      </c>
      <c r="C903" s="251">
        <v>382.95</v>
      </c>
      <c r="D903" s="251">
        <f t="shared" si="29"/>
        <v>3.5400118553645528</v>
      </c>
      <c r="E903" s="251">
        <v>6.5711657247995801E-3</v>
      </c>
      <c r="G903" s="251">
        <v>894</v>
      </c>
      <c r="H903" s="251">
        <f t="shared" ca="1" si="30"/>
        <v>6.9456177840189464E-3</v>
      </c>
    </row>
    <row r="904" spans="2:8">
      <c r="B904" s="252">
        <v>43966</v>
      </c>
      <c r="C904" s="251">
        <v>84.35</v>
      </c>
      <c r="D904" s="251">
        <f t="shared" si="29"/>
        <v>-0.67768437141765381</v>
      </c>
      <c r="E904" s="251">
        <v>6.5632458233889877E-3</v>
      </c>
      <c r="G904" s="251">
        <v>895</v>
      </c>
      <c r="H904" s="251">
        <f t="shared" ca="1" si="30"/>
        <v>2.6824701660102394E-4</v>
      </c>
    </row>
    <row r="905" spans="2:8">
      <c r="B905" s="252">
        <v>43341</v>
      </c>
      <c r="C905" s="251">
        <v>261.7</v>
      </c>
      <c r="D905" s="251">
        <f t="shared" si="29"/>
        <v>-0.73382019386270947</v>
      </c>
      <c r="E905" s="251">
        <v>6.5384615384614948E-3</v>
      </c>
      <c r="G905" s="251">
        <v>896</v>
      </c>
      <c r="H905" s="251">
        <f t="shared" ca="1" si="30"/>
        <v>4.1623749069991819E-2</v>
      </c>
    </row>
    <row r="906" spans="2:8">
      <c r="B906" s="252">
        <v>45377</v>
      </c>
      <c r="C906" s="251">
        <v>983.17</v>
      </c>
      <c r="D906" s="251">
        <f t="shared" ref="D906:D969" si="31">(C906-C907)/C907</f>
        <v>1.1061459694522395</v>
      </c>
      <c r="E906" s="251">
        <v>6.5315983988370029E-3</v>
      </c>
      <c r="G906" s="251">
        <v>897</v>
      </c>
      <c r="H906" s="251">
        <f t="shared" ca="1" si="30"/>
        <v>3.748984568571264E-2</v>
      </c>
    </row>
    <row r="907" spans="2:8">
      <c r="B907" s="252">
        <v>44781</v>
      </c>
      <c r="C907" s="251">
        <v>466.81</v>
      </c>
      <c r="D907" s="251">
        <f t="shared" si="31"/>
        <v>0.56937300386619605</v>
      </c>
      <c r="E907" s="251">
        <v>6.4464663015825303E-3</v>
      </c>
      <c r="G907" s="251">
        <v>898</v>
      </c>
      <c r="H907" s="251">
        <f t="shared" ref="H907:H970" ca="1" si="32">_xlfn.NORM.INV(RAND(),N$12,N$13)</f>
        <v>-1.7245559590277487E-2</v>
      </c>
    </row>
    <row r="908" spans="2:8">
      <c r="B908" s="252">
        <v>44445</v>
      </c>
      <c r="C908" s="251">
        <v>297.45</v>
      </c>
      <c r="D908" s="251">
        <f t="shared" si="31"/>
        <v>0.80491504854368912</v>
      </c>
      <c r="E908" s="251">
        <v>6.4286922686515894E-3</v>
      </c>
      <c r="G908" s="251">
        <v>899</v>
      </c>
      <c r="H908" s="251">
        <f t="shared" ca="1" si="32"/>
        <v>2.9056637638989875E-2</v>
      </c>
    </row>
    <row r="909" spans="2:8">
      <c r="B909" s="252">
        <v>43516</v>
      </c>
      <c r="C909" s="251">
        <v>164.8</v>
      </c>
      <c r="D909" s="251">
        <f t="shared" si="31"/>
        <v>0.23445692883895139</v>
      </c>
      <c r="E909" s="251">
        <v>6.4122137404580845E-3</v>
      </c>
      <c r="G909" s="251">
        <v>900</v>
      </c>
      <c r="H909" s="251">
        <f t="shared" ca="1" si="32"/>
        <v>3.1903214421269019E-2</v>
      </c>
    </row>
    <row r="910" spans="2:8">
      <c r="B910" s="252">
        <v>43762</v>
      </c>
      <c r="C910" s="251">
        <v>133.5</v>
      </c>
      <c r="D910" s="251">
        <f t="shared" si="31"/>
        <v>-0.8197894168466523</v>
      </c>
      <c r="E910" s="251">
        <v>6.4078401809272087E-3</v>
      </c>
      <c r="G910" s="251">
        <v>901</v>
      </c>
      <c r="H910" s="251">
        <f t="shared" ca="1" si="32"/>
        <v>-1.3247868832615499E-2</v>
      </c>
    </row>
    <row r="911" spans="2:8">
      <c r="B911" s="252">
        <v>45652</v>
      </c>
      <c r="C911" s="251">
        <v>740.8</v>
      </c>
      <c r="D911" s="251">
        <f t="shared" si="31"/>
        <v>1.1361014994232985</v>
      </c>
      <c r="E911" s="251">
        <v>6.3850020377665146E-3</v>
      </c>
      <c r="G911" s="251">
        <v>902</v>
      </c>
      <c r="H911" s="251">
        <f t="shared" ca="1" si="32"/>
        <v>-6.8193545096364092E-2</v>
      </c>
    </row>
    <row r="912" spans="2:8">
      <c r="B912" s="252">
        <v>42261</v>
      </c>
      <c r="C912" s="251">
        <v>346.8</v>
      </c>
      <c r="D912" s="251">
        <f t="shared" si="31"/>
        <v>-8.3751651254953735E-2</v>
      </c>
      <c r="E912" s="251">
        <v>6.3842135809634021E-3</v>
      </c>
      <c r="G912" s="251">
        <v>903</v>
      </c>
      <c r="H912" s="251">
        <f t="shared" ca="1" si="32"/>
        <v>-1.4102012995827008E-2</v>
      </c>
    </row>
    <row r="913" spans="2:8">
      <c r="B913" s="252">
        <v>42977</v>
      </c>
      <c r="C913" s="251">
        <v>378.5</v>
      </c>
      <c r="D913" s="251">
        <f t="shared" si="31"/>
        <v>-0.12747810050714617</v>
      </c>
      <c r="E913" s="251">
        <v>6.3812815740493939E-3</v>
      </c>
      <c r="G913" s="251">
        <v>904</v>
      </c>
      <c r="H913" s="251">
        <f t="shared" ca="1" si="32"/>
        <v>2.3950803758076834E-2</v>
      </c>
    </row>
    <row r="914" spans="2:8">
      <c r="B914" s="252">
        <v>44669</v>
      </c>
      <c r="C914" s="251">
        <v>433.8</v>
      </c>
      <c r="D914" s="251">
        <f t="shared" si="31"/>
        <v>1.7438330170777991</v>
      </c>
      <c r="E914" s="251">
        <v>6.3797703282681825E-3</v>
      </c>
      <c r="G914" s="251">
        <v>905</v>
      </c>
      <c r="H914" s="251">
        <f t="shared" ca="1" si="32"/>
        <v>-2.5327030877820449E-2</v>
      </c>
    </row>
    <row r="915" spans="2:8">
      <c r="B915" s="252">
        <v>43445</v>
      </c>
      <c r="C915" s="251">
        <v>158.1</v>
      </c>
      <c r="D915" s="251">
        <f t="shared" si="31"/>
        <v>-0.48826670982359605</v>
      </c>
      <c r="E915" s="251">
        <v>6.3653723742838958E-3</v>
      </c>
      <c r="G915" s="251">
        <v>906</v>
      </c>
      <c r="H915" s="251">
        <f t="shared" ca="1" si="32"/>
        <v>1.224741883333093E-2</v>
      </c>
    </row>
    <row r="916" spans="2:8">
      <c r="B916" s="252">
        <v>44274</v>
      </c>
      <c r="C916" s="251">
        <v>308.95</v>
      </c>
      <c r="D916" s="251">
        <f t="shared" si="31"/>
        <v>-0.31971815479467136</v>
      </c>
      <c r="E916" s="251">
        <v>6.3517915309445885E-3</v>
      </c>
      <c r="G916" s="251">
        <v>907</v>
      </c>
      <c r="H916" s="251">
        <f t="shared" ca="1" si="32"/>
        <v>2.5754524004020646E-2</v>
      </c>
    </row>
    <row r="917" spans="2:8">
      <c r="B917" s="252">
        <v>42933</v>
      </c>
      <c r="C917" s="251">
        <v>454.15</v>
      </c>
      <c r="D917" s="251">
        <f t="shared" si="31"/>
        <v>-0.34484997114829785</v>
      </c>
      <c r="E917" s="251">
        <v>6.3150897407488714E-3</v>
      </c>
      <c r="G917" s="251">
        <v>908</v>
      </c>
      <c r="H917" s="251">
        <f t="shared" ca="1" si="32"/>
        <v>1.2438447717504648E-2</v>
      </c>
    </row>
    <row r="918" spans="2:8">
      <c r="B918" s="252">
        <v>45846</v>
      </c>
      <c r="C918" s="251">
        <v>693.2</v>
      </c>
      <c r="D918" s="251">
        <f t="shared" si="31"/>
        <v>4.4262230919765173</v>
      </c>
      <c r="E918" s="251">
        <v>6.3148726137766172E-3</v>
      </c>
      <c r="G918" s="251">
        <v>909</v>
      </c>
      <c r="H918" s="251">
        <f t="shared" ca="1" si="32"/>
        <v>-5.857416953804183E-3</v>
      </c>
    </row>
    <row r="919" spans="2:8">
      <c r="B919" s="252">
        <v>44120</v>
      </c>
      <c r="C919" s="251">
        <v>127.75</v>
      </c>
      <c r="D919" s="251">
        <f t="shared" si="31"/>
        <v>-0.74556861183031264</v>
      </c>
      <c r="E919" s="251">
        <v>6.3016935801496424E-3</v>
      </c>
      <c r="G919" s="251">
        <v>910</v>
      </c>
      <c r="H919" s="251">
        <f t="shared" ca="1" si="32"/>
        <v>1.8755111951475986E-2</v>
      </c>
    </row>
    <row r="920" spans="2:8">
      <c r="B920" s="252">
        <v>45055</v>
      </c>
      <c r="C920" s="251">
        <v>502.1</v>
      </c>
      <c r="D920" s="251">
        <f t="shared" si="31"/>
        <v>0.20378806041716613</v>
      </c>
      <c r="E920" s="251">
        <v>6.2930896264230462E-3</v>
      </c>
      <c r="G920" s="251">
        <v>911</v>
      </c>
      <c r="H920" s="251">
        <f t="shared" ca="1" si="32"/>
        <v>1.9341439342737997E-3</v>
      </c>
    </row>
    <row r="921" spans="2:8">
      <c r="B921" s="252">
        <v>44740</v>
      </c>
      <c r="C921" s="251">
        <v>417.1</v>
      </c>
      <c r="D921" s="251">
        <f t="shared" si="31"/>
        <v>0.10402329274748547</v>
      </c>
      <c r="E921" s="251">
        <v>6.272617611580272E-3</v>
      </c>
      <c r="G921" s="251">
        <v>912</v>
      </c>
      <c r="H921" s="251">
        <f t="shared" ca="1" si="32"/>
        <v>5.1424064517429161E-3</v>
      </c>
    </row>
    <row r="922" spans="2:8">
      <c r="B922" s="252">
        <v>43138</v>
      </c>
      <c r="C922" s="251">
        <v>377.8</v>
      </c>
      <c r="D922" s="251">
        <f t="shared" si="31"/>
        <v>-0.28154416658742987</v>
      </c>
      <c r="E922" s="251">
        <v>6.2591556798509062E-3</v>
      </c>
      <c r="G922" s="251">
        <v>913</v>
      </c>
      <c r="H922" s="251">
        <f t="shared" ca="1" si="32"/>
        <v>-2.6493441074751437E-2</v>
      </c>
    </row>
    <row r="923" spans="2:8">
      <c r="B923" s="252">
        <v>42772</v>
      </c>
      <c r="C923" s="251">
        <v>525.85</v>
      </c>
      <c r="D923" s="251">
        <f t="shared" si="31"/>
        <v>0.32199512280966397</v>
      </c>
      <c r="E923" s="251">
        <v>6.2189054726368154E-3</v>
      </c>
      <c r="G923" s="251">
        <v>914</v>
      </c>
      <c r="H923" s="251">
        <f t="shared" ca="1" si="32"/>
        <v>1.7317024111090915E-3</v>
      </c>
    </row>
    <row r="924" spans="2:8">
      <c r="B924" s="252">
        <v>44847</v>
      </c>
      <c r="C924" s="251">
        <v>397.77</v>
      </c>
      <c r="D924" s="251">
        <f t="shared" si="31"/>
        <v>-0.13678385416666672</v>
      </c>
      <c r="E924" s="251">
        <v>6.1720587863304021E-3</v>
      </c>
      <c r="G924" s="251">
        <v>915</v>
      </c>
      <c r="H924" s="251">
        <f t="shared" ca="1" si="32"/>
        <v>-3.1176388336738713E-2</v>
      </c>
    </row>
    <row r="925" spans="2:8">
      <c r="B925" s="252">
        <v>42894</v>
      </c>
      <c r="C925" s="251">
        <v>460.8</v>
      </c>
      <c r="D925" s="251">
        <f t="shared" si="31"/>
        <v>-0.32915999417673603</v>
      </c>
      <c r="E925" s="251">
        <v>6.1135371179039553E-3</v>
      </c>
      <c r="G925" s="251">
        <v>916</v>
      </c>
      <c r="H925" s="251">
        <f t="shared" ca="1" si="32"/>
        <v>1.0240068447340479E-2</v>
      </c>
    </row>
    <row r="926" spans="2:8">
      <c r="B926" s="252">
        <v>45835</v>
      </c>
      <c r="C926" s="251">
        <v>686.9</v>
      </c>
      <c r="D926" s="251">
        <f t="shared" si="31"/>
        <v>5.3838289962825279</v>
      </c>
      <c r="E926" s="251">
        <v>6.0783595752471288E-3</v>
      </c>
      <c r="G926" s="251">
        <v>917</v>
      </c>
      <c r="H926" s="251">
        <f t="shared" ca="1" si="32"/>
        <v>-2.7215468127697845E-2</v>
      </c>
    </row>
    <row r="927" spans="2:8">
      <c r="B927" s="252">
        <v>44022</v>
      </c>
      <c r="C927" s="251">
        <v>107.6</v>
      </c>
      <c r="D927" s="251">
        <f t="shared" si="31"/>
        <v>-0.89347378425471247</v>
      </c>
      <c r="E927" s="251">
        <v>6.0776063581111867E-3</v>
      </c>
      <c r="G927" s="251">
        <v>918</v>
      </c>
      <c r="H927" s="251">
        <f t="shared" ca="1" si="32"/>
        <v>2.4925379594721891E-2</v>
      </c>
    </row>
    <row r="928" spans="2:8">
      <c r="B928" s="252">
        <v>45390</v>
      </c>
      <c r="C928" s="267">
        <v>1010.08</v>
      </c>
      <c r="D928" s="251">
        <f t="shared" si="31"/>
        <v>1.8123173067231144E-2</v>
      </c>
      <c r="E928" s="251">
        <v>6.0557768924303194E-3</v>
      </c>
      <c r="G928" s="251">
        <v>919</v>
      </c>
      <c r="H928" s="251">
        <f t="shared" ca="1" si="32"/>
        <v>3.3133991684486427E-2</v>
      </c>
    </row>
    <row r="929" spans="2:8">
      <c r="B929" s="252">
        <v>45548</v>
      </c>
      <c r="C929" s="251">
        <v>992.1</v>
      </c>
      <c r="D929" s="251">
        <f t="shared" si="31"/>
        <v>1.4684630887512129</v>
      </c>
      <c r="E929" s="251">
        <v>6.0335648734979926E-3</v>
      </c>
      <c r="G929" s="251">
        <v>920</v>
      </c>
      <c r="H929" s="251">
        <f t="shared" ca="1" si="32"/>
        <v>-4.6527432006644841E-3</v>
      </c>
    </row>
    <row r="930" spans="2:8">
      <c r="B930" s="252">
        <v>44946</v>
      </c>
      <c r="C930" s="251">
        <v>401.91</v>
      </c>
      <c r="D930" s="251">
        <f t="shared" si="31"/>
        <v>-0.12963163479654363</v>
      </c>
      <c r="E930" s="251">
        <v>5.9821786143373131E-3</v>
      </c>
      <c r="G930" s="251">
        <v>921</v>
      </c>
      <c r="H930" s="251">
        <f t="shared" ca="1" si="32"/>
        <v>6.9777856993543108E-3</v>
      </c>
    </row>
    <row r="931" spans="2:8">
      <c r="B931" s="252">
        <v>44797</v>
      </c>
      <c r="C931" s="251">
        <v>461.77</v>
      </c>
      <c r="D931" s="251">
        <f t="shared" si="31"/>
        <v>9.2688121154756165E-2</v>
      </c>
      <c r="E931" s="251">
        <v>5.9691087728471108E-3</v>
      </c>
      <c r="G931" s="251">
        <v>922</v>
      </c>
      <c r="H931" s="251">
        <f t="shared" ca="1" si="32"/>
        <v>-2.0218866916208483E-2</v>
      </c>
    </row>
    <row r="932" spans="2:8">
      <c r="B932" s="252">
        <v>43089</v>
      </c>
      <c r="C932" s="251">
        <v>422.6</v>
      </c>
      <c r="D932" s="251">
        <f t="shared" si="31"/>
        <v>-0.12848009898948229</v>
      </c>
      <c r="E932" s="251">
        <v>5.9509640561771007E-3</v>
      </c>
      <c r="G932" s="251">
        <v>923</v>
      </c>
      <c r="H932" s="251">
        <f t="shared" ca="1" si="32"/>
        <v>2.5003637963041565E-2</v>
      </c>
    </row>
    <row r="933" spans="2:8">
      <c r="B933" s="252">
        <v>42542</v>
      </c>
      <c r="C933" s="251">
        <v>484.9</v>
      </c>
      <c r="D933" s="251">
        <f t="shared" si="31"/>
        <v>-2.4934647094309339E-2</v>
      </c>
      <c r="E933" s="251">
        <v>5.9122497666216486E-3</v>
      </c>
      <c r="G933" s="251">
        <v>924</v>
      </c>
      <c r="H933" s="251">
        <f t="shared" ca="1" si="32"/>
        <v>3.2922275549945347E-3</v>
      </c>
    </row>
    <row r="934" spans="2:8">
      <c r="B934" s="252">
        <v>44589</v>
      </c>
      <c r="C934" s="251">
        <v>497.3</v>
      </c>
      <c r="D934" s="251">
        <f t="shared" si="31"/>
        <v>0.23289369297897658</v>
      </c>
      <c r="E934" s="251">
        <v>5.865695792880328E-3</v>
      </c>
      <c r="G934" s="251">
        <v>925</v>
      </c>
      <c r="H934" s="251">
        <f t="shared" ca="1" si="32"/>
        <v>8.4581214225086399E-3</v>
      </c>
    </row>
    <row r="935" spans="2:8">
      <c r="B935" s="252">
        <v>44834</v>
      </c>
      <c r="C935" s="251">
        <v>403.36</v>
      </c>
      <c r="D935" s="251">
        <f t="shared" si="31"/>
        <v>-0.22318728935965332</v>
      </c>
      <c r="E935" s="251">
        <v>5.8602029874567285E-3</v>
      </c>
      <c r="G935" s="251">
        <v>926</v>
      </c>
      <c r="H935" s="251">
        <f t="shared" ca="1" si="32"/>
        <v>-2.5721117815432747E-2</v>
      </c>
    </row>
    <row r="936" spans="2:8">
      <c r="B936" s="252">
        <v>42746</v>
      </c>
      <c r="C936" s="251">
        <v>519.25</v>
      </c>
      <c r="D936" s="251">
        <f t="shared" si="31"/>
        <v>-1.1541790901221944E-3</v>
      </c>
      <c r="E936" s="251">
        <v>5.8111380145278446E-3</v>
      </c>
      <c r="G936" s="251">
        <v>927</v>
      </c>
      <c r="H936" s="251">
        <f t="shared" ca="1" si="32"/>
        <v>-5.2586219046255765E-3</v>
      </c>
    </row>
    <row r="937" spans="2:8">
      <c r="B937" s="252">
        <v>45075</v>
      </c>
      <c r="C937" s="251">
        <v>519.85</v>
      </c>
      <c r="D937" s="251">
        <f t="shared" si="31"/>
        <v>-0.23121857438627627</v>
      </c>
      <c r="E937" s="251">
        <v>5.8043919899390534E-3</v>
      </c>
      <c r="G937" s="251">
        <v>928</v>
      </c>
      <c r="H937" s="251">
        <f t="shared" ca="1" si="32"/>
        <v>-6.659983394149682E-3</v>
      </c>
    </row>
    <row r="938" spans="2:8">
      <c r="B938" s="252">
        <v>45828</v>
      </c>
      <c r="C938" s="251">
        <v>676.2</v>
      </c>
      <c r="D938" s="251">
        <f t="shared" si="31"/>
        <v>2.872852233676976</v>
      </c>
      <c r="E938" s="251">
        <v>5.8009817045962982E-3</v>
      </c>
      <c r="G938" s="251">
        <v>929</v>
      </c>
      <c r="H938" s="251">
        <f t="shared" ca="1" si="32"/>
        <v>1.0290162146722645E-2</v>
      </c>
    </row>
    <row r="939" spans="2:8">
      <c r="B939" s="252">
        <v>43495</v>
      </c>
      <c r="C939" s="251">
        <v>174.6</v>
      </c>
      <c r="D939" s="251">
        <f t="shared" si="31"/>
        <v>-0.43577314590402327</v>
      </c>
      <c r="E939" s="251">
        <v>5.7603686635944703E-3</v>
      </c>
      <c r="G939" s="251">
        <v>930</v>
      </c>
      <c r="H939" s="251">
        <f t="shared" ca="1" si="32"/>
        <v>-2.9768957594875512E-2</v>
      </c>
    </row>
    <row r="940" spans="2:8">
      <c r="B940" s="252">
        <v>43243</v>
      </c>
      <c r="C940" s="251">
        <v>309.45</v>
      </c>
      <c r="D940" s="251">
        <f t="shared" si="31"/>
        <v>1.3328307576328682</v>
      </c>
      <c r="E940" s="251">
        <v>5.6873578160545986E-3</v>
      </c>
      <c r="G940" s="251">
        <v>931</v>
      </c>
      <c r="H940" s="251">
        <f t="shared" ca="1" si="32"/>
        <v>-4.1124763100013791E-2</v>
      </c>
    </row>
    <row r="941" spans="2:8">
      <c r="B941" s="252">
        <v>44134</v>
      </c>
      <c r="C941" s="251">
        <v>132.65</v>
      </c>
      <c r="D941" s="251">
        <f t="shared" si="31"/>
        <v>-0.70655900895918589</v>
      </c>
      <c r="E941" s="251">
        <v>5.6861258529188781E-3</v>
      </c>
      <c r="G941" s="251">
        <v>932</v>
      </c>
      <c r="H941" s="251">
        <f t="shared" ca="1" si="32"/>
        <v>-1.6555244086656803E-2</v>
      </c>
    </row>
    <row r="942" spans="2:8">
      <c r="B942" s="252">
        <v>44659</v>
      </c>
      <c r="C942" s="251">
        <v>452.05</v>
      </c>
      <c r="D942" s="251">
        <f t="shared" si="31"/>
        <v>0.13224796493425175</v>
      </c>
      <c r="E942" s="251">
        <v>5.672969966629614E-3</v>
      </c>
      <c r="G942" s="251">
        <v>933</v>
      </c>
      <c r="H942" s="251">
        <f t="shared" ca="1" si="32"/>
        <v>-1.9493615984670483E-2</v>
      </c>
    </row>
    <row r="943" spans="2:8">
      <c r="B943" s="252">
        <v>42516</v>
      </c>
      <c r="C943" s="251">
        <v>399.25</v>
      </c>
      <c r="D943" s="251">
        <f t="shared" si="31"/>
        <v>-0.45783541553503532</v>
      </c>
      <c r="E943" s="251">
        <v>5.6675062972292188E-3</v>
      </c>
      <c r="G943" s="251">
        <v>934</v>
      </c>
      <c r="H943" s="251">
        <f t="shared" ca="1" si="32"/>
        <v>-1.7499624911517412E-2</v>
      </c>
    </row>
    <row r="944" spans="2:8">
      <c r="B944" s="252">
        <v>45819</v>
      </c>
      <c r="C944" s="251">
        <v>736.4</v>
      </c>
      <c r="D944" s="251">
        <f t="shared" si="31"/>
        <v>-0.24649544663869843</v>
      </c>
      <c r="E944" s="251">
        <v>5.6674632980539125E-3</v>
      </c>
      <c r="G944" s="251">
        <v>935</v>
      </c>
      <c r="H944" s="251">
        <f t="shared" ca="1" si="32"/>
        <v>-2.190738989708679E-2</v>
      </c>
    </row>
    <row r="945" spans="2:8">
      <c r="B945" s="252">
        <v>45559</v>
      </c>
      <c r="C945" s="251">
        <v>977.3</v>
      </c>
      <c r="D945" s="251">
        <f t="shared" si="31"/>
        <v>0.23310832124156206</v>
      </c>
      <c r="E945" s="251">
        <v>5.6596007408931878E-3</v>
      </c>
      <c r="G945" s="251">
        <v>936</v>
      </c>
      <c r="H945" s="251">
        <f t="shared" ca="1" si="32"/>
        <v>7.6288590719064391E-3</v>
      </c>
    </row>
    <row r="946" spans="2:8">
      <c r="B946" s="252">
        <v>45631</v>
      </c>
      <c r="C946" s="251">
        <v>792.55</v>
      </c>
      <c r="D946" s="251">
        <f t="shared" si="31"/>
        <v>0.68376885489696193</v>
      </c>
      <c r="E946" s="251">
        <v>5.646491561984433E-3</v>
      </c>
      <c r="G946" s="251">
        <v>937</v>
      </c>
      <c r="H946" s="251">
        <f t="shared" ca="1" si="32"/>
        <v>-2.9140779094310475E-2</v>
      </c>
    </row>
    <row r="947" spans="2:8">
      <c r="B947" s="252">
        <v>45033</v>
      </c>
      <c r="C947" s="251">
        <v>470.7</v>
      </c>
      <c r="D947" s="251">
        <f t="shared" si="31"/>
        <v>-0.24965328147168062</v>
      </c>
      <c r="E947" s="251">
        <v>5.6403025253172374E-3</v>
      </c>
      <c r="G947" s="251">
        <v>938</v>
      </c>
      <c r="H947" s="251">
        <f t="shared" ca="1" si="32"/>
        <v>-3.3753360421510141E-3</v>
      </c>
    </row>
    <row r="948" spans="2:8">
      <c r="B948" s="252">
        <v>45131</v>
      </c>
      <c r="C948" s="251">
        <v>627.30999999999995</v>
      </c>
      <c r="D948" s="251">
        <f t="shared" si="31"/>
        <v>0.82756008739985421</v>
      </c>
      <c r="E948" s="251">
        <v>5.5784428450056977E-3</v>
      </c>
      <c r="G948" s="251">
        <v>939</v>
      </c>
      <c r="H948" s="251">
        <f t="shared" ca="1" si="32"/>
        <v>-1.0421120172534423E-2</v>
      </c>
    </row>
    <row r="949" spans="2:8">
      <c r="B949" s="252">
        <v>42285</v>
      </c>
      <c r="C949" s="251">
        <v>343.25</v>
      </c>
      <c r="D949" s="251">
        <f t="shared" si="31"/>
        <v>-0.17093377131539536</v>
      </c>
      <c r="E949" s="251">
        <v>5.5661344660904557E-3</v>
      </c>
      <c r="G949" s="251">
        <v>940</v>
      </c>
      <c r="H949" s="251">
        <f t="shared" ca="1" si="32"/>
        <v>3.6132435549936108E-2</v>
      </c>
    </row>
    <row r="950" spans="2:8">
      <c r="B950" s="252">
        <v>44943</v>
      </c>
      <c r="C950" s="251">
        <v>414.02</v>
      </c>
      <c r="D950" s="251">
        <f t="shared" si="31"/>
        <v>0.30564490696941016</v>
      </c>
      <c r="E950" s="251">
        <v>5.5618973599202478E-3</v>
      </c>
      <c r="G950" s="251">
        <v>941</v>
      </c>
      <c r="H950" s="251">
        <f t="shared" ca="1" si="32"/>
        <v>8.4135581653724031E-3</v>
      </c>
    </row>
    <row r="951" spans="2:8">
      <c r="B951" s="252">
        <v>42431</v>
      </c>
      <c r="C951" s="251">
        <v>317.10000000000002</v>
      </c>
      <c r="D951" s="251">
        <f t="shared" si="31"/>
        <v>-0.31519274376417228</v>
      </c>
      <c r="E951" s="251">
        <v>5.5493895671476137E-3</v>
      </c>
      <c r="G951" s="251">
        <v>942</v>
      </c>
      <c r="H951" s="251">
        <f t="shared" ca="1" si="32"/>
        <v>-1.2071651489781898E-2</v>
      </c>
    </row>
    <row r="952" spans="2:8">
      <c r="B952" s="252">
        <v>42528</v>
      </c>
      <c r="C952" s="251">
        <v>463.05</v>
      </c>
      <c r="D952" s="251">
        <f t="shared" si="31"/>
        <v>-2.2624434389140516E-3</v>
      </c>
      <c r="E952" s="251">
        <v>5.5374592833876465E-3</v>
      </c>
      <c r="G952" s="251">
        <v>943</v>
      </c>
      <c r="H952" s="251">
        <f t="shared" ca="1" si="32"/>
        <v>8.1301527083901363E-3</v>
      </c>
    </row>
    <row r="953" spans="2:8">
      <c r="B953" s="252">
        <v>42713</v>
      </c>
      <c r="C953" s="251">
        <v>464.1</v>
      </c>
      <c r="D953" s="251">
        <f t="shared" si="31"/>
        <v>1.899220551103312E-2</v>
      </c>
      <c r="E953" s="251">
        <v>5.5248618784530636E-3</v>
      </c>
      <c r="G953" s="251">
        <v>944</v>
      </c>
      <c r="H953" s="251">
        <f t="shared" ca="1" si="32"/>
        <v>-2.3525870823290548E-2</v>
      </c>
    </row>
    <row r="954" spans="2:8">
      <c r="B954" s="252">
        <v>42786</v>
      </c>
      <c r="C954" s="251">
        <v>455.45</v>
      </c>
      <c r="D954" s="251">
        <f t="shared" si="31"/>
        <v>-0.10766065830721001</v>
      </c>
      <c r="E954" s="251">
        <v>5.5193729992272875E-3</v>
      </c>
      <c r="G954" s="251">
        <v>945</v>
      </c>
      <c r="H954" s="251">
        <f t="shared" ca="1" si="32"/>
        <v>-1.2681297818210965E-2</v>
      </c>
    </row>
    <row r="955" spans="2:8">
      <c r="B955" s="252">
        <v>42599</v>
      </c>
      <c r="C955" s="251">
        <v>510.4</v>
      </c>
      <c r="D955" s="251">
        <f t="shared" si="31"/>
        <v>5.5199503824684699E-2</v>
      </c>
      <c r="E955" s="251">
        <v>5.516154452324575E-3</v>
      </c>
      <c r="G955" s="251">
        <v>946</v>
      </c>
      <c r="H955" s="251">
        <f t="shared" ca="1" si="32"/>
        <v>-2.074899518145815E-2</v>
      </c>
    </row>
    <row r="956" spans="2:8">
      <c r="B956" s="252">
        <v>44498</v>
      </c>
      <c r="C956" s="251">
        <v>483.7</v>
      </c>
      <c r="D956" s="251">
        <f t="shared" si="31"/>
        <v>-0.41085479038269468</v>
      </c>
      <c r="E956" s="251">
        <v>5.5087828708034036E-3</v>
      </c>
      <c r="G956" s="251">
        <v>947</v>
      </c>
      <c r="H956" s="251">
        <f t="shared" ca="1" si="32"/>
        <v>1.6064421513213283E-2</v>
      </c>
    </row>
    <row r="957" spans="2:8">
      <c r="B957" s="252">
        <v>45310</v>
      </c>
      <c r="C957" s="251">
        <v>821.02</v>
      </c>
      <c r="D957" s="251">
        <f t="shared" si="31"/>
        <v>-0.12145272439327141</v>
      </c>
      <c r="E957" s="251">
        <v>5.4988794043084877E-3</v>
      </c>
      <c r="G957" s="251">
        <v>948</v>
      </c>
      <c r="H957" s="251">
        <f t="shared" ca="1" si="32"/>
        <v>3.176135735704521E-2</v>
      </c>
    </row>
    <row r="958" spans="2:8">
      <c r="B958" s="252">
        <v>45345</v>
      </c>
      <c r="C958" s="251">
        <v>934.52</v>
      </c>
      <c r="D958" s="251">
        <f t="shared" si="31"/>
        <v>0.47855391187406066</v>
      </c>
      <c r="E958" s="251">
        <v>5.4764748286584598E-3</v>
      </c>
      <c r="G958" s="251">
        <v>949</v>
      </c>
      <c r="H958" s="251">
        <f t="shared" ca="1" si="32"/>
        <v>-4.2464059072297583E-2</v>
      </c>
    </row>
    <row r="959" spans="2:8">
      <c r="B959" s="252">
        <v>45210</v>
      </c>
      <c r="C959" s="251">
        <v>632.04999999999995</v>
      </c>
      <c r="D959" s="251">
        <f t="shared" si="31"/>
        <v>-0.32092398603276934</v>
      </c>
      <c r="E959" s="251">
        <v>5.4723914668871653E-3</v>
      </c>
      <c r="G959" s="251">
        <v>950</v>
      </c>
      <c r="H959" s="251">
        <f t="shared" ca="1" si="32"/>
        <v>-3.4422381657452768E-2</v>
      </c>
    </row>
    <row r="960" spans="2:8">
      <c r="B960" s="252">
        <v>45569</v>
      </c>
      <c r="C960" s="251">
        <v>930.75</v>
      </c>
      <c r="D960" s="251">
        <f t="shared" si="31"/>
        <v>1.1887639920985795</v>
      </c>
      <c r="E960" s="251">
        <v>5.4553311007885432E-3</v>
      </c>
      <c r="G960" s="251">
        <v>951</v>
      </c>
      <c r="H960" s="251">
        <f t="shared" ca="1" si="32"/>
        <v>1.7006750823923403E-2</v>
      </c>
    </row>
    <row r="961" spans="2:8">
      <c r="B961" s="252">
        <v>45021</v>
      </c>
      <c r="C961" s="251">
        <v>425.24</v>
      </c>
      <c r="D961" s="251">
        <f t="shared" si="31"/>
        <v>-2.7133379089453243E-2</v>
      </c>
      <c r="E961" s="251">
        <v>5.4143515782007811E-3</v>
      </c>
      <c r="G961" s="251">
        <v>952</v>
      </c>
      <c r="H961" s="251">
        <f t="shared" ca="1" si="32"/>
        <v>4.0283034460045664E-2</v>
      </c>
    </row>
    <row r="962" spans="2:8">
      <c r="B962" s="252">
        <v>43112</v>
      </c>
      <c r="C962" s="251">
        <v>437.1</v>
      </c>
      <c r="D962" s="251">
        <f t="shared" si="31"/>
        <v>6.9645653876272612E-2</v>
      </c>
      <c r="E962" s="251">
        <v>5.4054054054054577E-3</v>
      </c>
      <c r="G962" s="251">
        <v>953</v>
      </c>
      <c r="H962" s="251">
        <f t="shared" ca="1" si="32"/>
        <v>-1.3561226318160299E-2</v>
      </c>
    </row>
    <row r="963" spans="2:8">
      <c r="B963" s="252">
        <v>44862</v>
      </c>
      <c r="C963" s="251">
        <v>408.64</v>
      </c>
      <c r="D963" s="251">
        <f t="shared" si="31"/>
        <v>2.352255947497949</v>
      </c>
      <c r="E963" s="251">
        <v>5.3881166195103893E-3</v>
      </c>
      <c r="G963" s="251">
        <v>954</v>
      </c>
      <c r="H963" s="251">
        <f t="shared" ca="1" si="32"/>
        <v>-1.245702489248421E-2</v>
      </c>
    </row>
    <row r="964" spans="2:8">
      <c r="B964" s="252">
        <v>43717</v>
      </c>
      <c r="C964" s="251">
        <v>121.9</v>
      </c>
      <c r="D964" s="251">
        <f t="shared" si="31"/>
        <v>-0.73027989821882944</v>
      </c>
      <c r="E964" s="251">
        <v>5.3608247422680883E-3</v>
      </c>
      <c r="G964" s="251">
        <v>955</v>
      </c>
      <c r="H964" s="251">
        <f t="shared" ca="1" si="32"/>
        <v>-2.2374202951911101E-2</v>
      </c>
    </row>
    <row r="965" spans="2:8">
      <c r="B965" s="252">
        <v>42900</v>
      </c>
      <c r="C965" s="251">
        <v>451.95</v>
      </c>
      <c r="D965" s="251">
        <f t="shared" si="31"/>
        <v>0.16855414210363015</v>
      </c>
      <c r="E965" s="251">
        <v>5.3386720053386211E-3</v>
      </c>
      <c r="G965" s="251">
        <v>956</v>
      </c>
      <c r="H965" s="251">
        <f t="shared" ca="1" si="32"/>
        <v>-9.4020971559825358E-3</v>
      </c>
    </row>
    <row r="966" spans="2:8">
      <c r="B966" s="252">
        <v>44925</v>
      </c>
      <c r="C966" s="251">
        <v>386.76</v>
      </c>
      <c r="D966" s="251">
        <f t="shared" si="31"/>
        <v>-3.6185060739205575E-4</v>
      </c>
      <c r="E966" s="251">
        <v>5.3286891424709822E-3</v>
      </c>
      <c r="G966" s="251">
        <v>957</v>
      </c>
      <c r="H966" s="251">
        <f t="shared" ca="1" si="32"/>
        <v>5.7249967258133109E-3</v>
      </c>
    </row>
    <row r="967" spans="2:8">
      <c r="B967" s="252">
        <v>42509</v>
      </c>
      <c r="C967" s="251">
        <v>386.9</v>
      </c>
      <c r="D967" s="251">
        <f t="shared" si="31"/>
        <v>6.2620159296896322E-2</v>
      </c>
      <c r="E967" s="251">
        <v>5.3267506820838103E-3</v>
      </c>
      <c r="G967" s="251">
        <v>958</v>
      </c>
      <c r="H967" s="251">
        <f t="shared" ca="1" si="32"/>
        <v>-3.049368105867252E-2</v>
      </c>
    </row>
    <row r="968" spans="2:8">
      <c r="B968" s="252">
        <v>43196</v>
      </c>
      <c r="C968" s="251">
        <v>364.1</v>
      </c>
      <c r="D968" s="251">
        <f t="shared" si="31"/>
        <v>8.3630952380952445E-2</v>
      </c>
      <c r="E968" s="251">
        <v>5.2457205963556989E-3</v>
      </c>
      <c r="G968" s="251">
        <v>959</v>
      </c>
      <c r="H968" s="251">
        <f t="shared" ca="1" si="32"/>
        <v>1.9293189628223958E-2</v>
      </c>
    </row>
    <row r="969" spans="2:8">
      <c r="B969" s="252">
        <v>43210</v>
      </c>
      <c r="C969" s="251">
        <v>336</v>
      </c>
      <c r="D969" s="251">
        <f t="shared" si="31"/>
        <v>1.0519083969465648</v>
      </c>
      <c r="E969" s="251">
        <v>5.235602094240838E-3</v>
      </c>
      <c r="G969" s="251">
        <v>960</v>
      </c>
      <c r="H969" s="251">
        <f t="shared" ca="1" si="32"/>
        <v>-4.957914909345564E-3</v>
      </c>
    </row>
    <row r="970" spans="2:8">
      <c r="B970" s="252">
        <v>43515</v>
      </c>
      <c r="C970" s="251">
        <v>163.75</v>
      </c>
      <c r="D970" s="251">
        <f t="shared" ref="D970:D1033" si="33">(C970-C971)/C971</f>
        <v>-0.61397925506836393</v>
      </c>
      <c r="E970" s="251">
        <v>5.2179251074278349E-3</v>
      </c>
      <c r="G970" s="251">
        <v>961</v>
      </c>
      <c r="H970" s="251">
        <f t="shared" ca="1" si="32"/>
        <v>4.7321712912632083E-2</v>
      </c>
    </row>
    <row r="971" spans="2:8">
      <c r="B971" s="252">
        <v>43095</v>
      </c>
      <c r="C971" s="251">
        <v>424.2</v>
      </c>
      <c r="D971" s="251">
        <f t="shared" si="33"/>
        <v>5.2751479289940839</v>
      </c>
      <c r="E971" s="251">
        <v>5.2132701421800679E-3</v>
      </c>
      <c r="G971" s="251">
        <v>962</v>
      </c>
      <c r="H971" s="251">
        <f t="shared" ref="H971:H1034" ca="1" si="34">_xlfn.NORM.INV(RAND(),N$12,N$13)</f>
        <v>-2.5397943899968373E-2</v>
      </c>
    </row>
    <row r="972" spans="2:8">
      <c r="B972" s="252">
        <v>43929</v>
      </c>
      <c r="C972" s="251">
        <v>67.599999999999994</v>
      </c>
      <c r="D972" s="251">
        <f t="shared" si="33"/>
        <v>-0.77444110777444108</v>
      </c>
      <c r="E972" s="251">
        <v>5.2044609665426664E-3</v>
      </c>
      <c r="G972" s="251">
        <v>963</v>
      </c>
      <c r="H972" s="251">
        <f t="shared" ca="1" si="34"/>
        <v>3.5013414418601015E-2</v>
      </c>
    </row>
    <row r="973" spans="2:8">
      <c r="B973" s="252">
        <v>44413</v>
      </c>
      <c r="C973" s="251">
        <v>299.7</v>
      </c>
      <c r="D973" s="251">
        <f t="shared" si="33"/>
        <v>-0.3408840994062019</v>
      </c>
      <c r="E973" s="251">
        <v>5.1987254737548595E-3</v>
      </c>
      <c r="G973" s="251">
        <v>964</v>
      </c>
      <c r="H973" s="251">
        <f t="shared" ca="1" si="34"/>
        <v>3.2311467593171696E-2</v>
      </c>
    </row>
    <row r="974" spans="2:8">
      <c r="B974" s="252">
        <v>42702</v>
      </c>
      <c r="C974" s="251">
        <v>454.7</v>
      </c>
      <c r="D974" s="251">
        <f t="shared" si="33"/>
        <v>1.7453569031103181E-2</v>
      </c>
      <c r="E974" s="251">
        <v>5.1950922957885838E-3</v>
      </c>
      <c r="G974" s="251">
        <v>965</v>
      </c>
      <c r="H974" s="251">
        <f t="shared" ca="1" si="34"/>
        <v>-7.5185313933241196E-2</v>
      </c>
    </row>
    <row r="975" spans="2:8">
      <c r="B975" s="252">
        <v>42948</v>
      </c>
      <c r="C975" s="251">
        <v>446.9</v>
      </c>
      <c r="D975" s="251">
        <f t="shared" si="33"/>
        <v>9.1864158319081277E-2</v>
      </c>
      <c r="E975" s="251">
        <v>5.1731893837155965E-3</v>
      </c>
      <c r="G975" s="251">
        <v>966</v>
      </c>
      <c r="H975" s="251">
        <f t="shared" ca="1" si="34"/>
        <v>-2.006411504418032E-2</v>
      </c>
    </row>
    <row r="976" spans="2:8">
      <c r="B976" s="252">
        <v>44736</v>
      </c>
      <c r="C976" s="251">
        <v>409.3</v>
      </c>
      <c r="D976" s="251">
        <f t="shared" si="33"/>
        <v>-0.57673216132368155</v>
      </c>
      <c r="E976" s="251">
        <v>5.1571709233792307E-3</v>
      </c>
      <c r="G976" s="251">
        <v>967</v>
      </c>
      <c r="H976" s="251">
        <f t="shared" ca="1" si="34"/>
        <v>-5.1844579041356351E-2</v>
      </c>
    </row>
    <row r="977" spans="2:8">
      <c r="B977" s="252">
        <v>45554</v>
      </c>
      <c r="C977" s="251">
        <v>967</v>
      </c>
      <c r="D977" s="251">
        <f t="shared" si="33"/>
        <v>0.36838977174635978</v>
      </c>
      <c r="E977" s="251">
        <v>5.145262720232884E-3</v>
      </c>
      <c r="G977" s="251">
        <v>968</v>
      </c>
      <c r="H977" s="251">
        <f t="shared" ca="1" si="34"/>
        <v>1.4467854217023981E-2</v>
      </c>
    </row>
    <row r="978" spans="2:8">
      <c r="B978" s="252">
        <v>45281</v>
      </c>
      <c r="C978" s="251">
        <v>706.67</v>
      </c>
      <c r="D978" s="251">
        <f t="shared" si="33"/>
        <v>-0.26517136677481074</v>
      </c>
      <c r="E978" s="251">
        <v>5.1061045684700429E-3</v>
      </c>
      <c r="G978" s="251">
        <v>969</v>
      </c>
      <c r="H978" s="251">
        <f t="shared" ca="1" si="34"/>
        <v>-4.4057735931052E-2</v>
      </c>
    </row>
    <row r="979" spans="2:8">
      <c r="B979" s="252">
        <v>45426</v>
      </c>
      <c r="C979" s="251">
        <v>961.68</v>
      </c>
      <c r="D979" s="251">
        <f t="shared" si="33"/>
        <v>2.3654593175853016</v>
      </c>
      <c r="E979" s="251">
        <v>5.100334448160531E-3</v>
      </c>
      <c r="G979" s="251">
        <v>970</v>
      </c>
      <c r="H979" s="251">
        <f t="shared" ca="1" si="34"/>
        <v>-9.2905488217195561E-3</v>
      </c>
    </row>
    <row r="980" spans="2:8">
      <c r="B980" s="252">
        <v>44435</v>
      </c>
      <c r="C980" s="251">
        <v>285.75</v>
      </c>
      <c r="D980" s="251">
        <f t="shared" si="33"/>
        <v>-0.74577402135231319</v>
      </c>
      <c r="E980" s="251">
        <v>5.1002462187829355E-3</v>
      </c>
      <c r="G980" s="251">
        <v>971</v>
      </c>
      <c r="H980" s="251">
        <f t="shared" ca="1" si="34"/>
        <v>-3.1115054767303203E-2</v>
      </c>
    </row>
    <row r="981" spans="2:8">
      <c r="B981" s="252">
        <v>45502</v>
      </c>
      <c r="C981" s="267">
        <v>1124</v>
      </c>
      <c r="D981" s="251">
        <f t="shared" si="33"/>
        <v>5.6215022091310747</v>
      </c>
      <c r="E981" s="251">
        <v>5.0970222659394134E-3</v>
      </c>
      <c r="G981" s="251">
        <v>972</v>
      </c>
      <c r="H981" s="251">
        <f t="shared" ca="1" si="34"/>
        <v>-9.9103754774464113E-3</v>
      </c>
    </row>
    <row r="982" spans="2:8">
      <c r="B982" s="252">
        <v>43872</v>
      </c>
      <c r="C982" s="251">
        <v>169.75</v>
      </c>
      <c r="D982" s="251">
        <f t="shared" si="33"/>
        <v>-0.78520814880425149</v>
      </c>
      <c r="E982" s="251">
        <v>5.0325636471284449E-3</v>
      </c>
      <c r="G982" s="251">
        <v>973</v>
      </c>
      <c r="H982" s="251">
        <f t="shared" ca="1" si="34"/>
        <v>-1.1235207226829563E-2</v>
      </c>
    </row>
    <row r="983" spans="2:8">
      <c r="B983" s="252">
        <v>45639</v>
      </c>
      <c r="C983" s="251">
        <v>790.3</v>
      </c>
      <c r="D983" s="251">
        <f t="shared" si="33"/>
        <v>1.0789162172826516</v>
      </c>
      <c r="E983" s="251">
        <v>5.0232084949449118E-3</v>
      </c>
      <c r="G983" s="251">
        <v>974</v>
      </c>
      <c r="H983" s="251">
        <f t="shared" ca="1" si="34"/>
        <v>2.6727655277522265E-2</v>
      </c>
    </row>
    <row r="984" spans="2:8">
      <c r="B984" s="252">
        <v>42359</v>
      </c>
      <c r="C984" s="251">
        <v>380.15</v>
      </c>
      <c r="D984" s="251">
        <f t="shared" si="33"/>
        <v>0.15109765329295982</v>
      </c>
      <c r="E984" s="251">
        <v>5.0231328486450158E-3</v>
      </c>
      <c r="G984" s="251">
        <v>975</v>
      </c>
      <c r="H984" s="251">
        <f t="shared" ca="1" si="34"/>
        <v>-7.022626059941639E-3</v>
      </c>
    </row>
    <row r="985" spans="2:8">
      <c r="B985" s="252">
        <v>43216</v>
      </c>
      <c r="C985" s="251">
        <v>330.25</v>
      </c>
      <c r="D985" s="251">
        <f t="shared" si="33"/>
        <v>-0.28571428571428575</v>
      </c>
      <c r="E985" s="251">
        <v>5.0213024954351097E-3</v>
      </c>
      <c r="G985" s="251">
        <v>976</v>
      </c>
      <c r="H985" s="251">
        <f t="shared" ca="1" si="34"/>
        <v>-8.2453457551603434E-3</v>
      </c>
    </row>
    <row r="986" spans="2:8">
      <c r="B986" s="252">
        <v>42789</v>
      </c>
      <c r="C986" s="251">
        <v>462.35</v>
      </c>
      <c r="D986" s="251">
        <f t="shared" si="33"/>
        <v>0.52716763005780354</v>
      </c>
      <c r="E986" s="251">
        <v>4.9994565808064587E-3</v>
      </c>
      <c r="G986" s="251">
        <v>977</v>
      </c>
      <c r="H986" s="251">
        <f t="shared" ca="1" si="34"/>
        <v>-1.2993554988148699E-2</v>
      </c>
    </row>
    <row r="987" spans="2:8">
      <c r="B987" s="252">
        <v>44323</v>
      </c>
      <c r="C987" s="251">
        <v>302.75</v>
      </c>
      <c r="D987" s="251">
        <f t="shared" si="33"/>
        <v>-0.33366347529437662</v>
      </c>
      <c r="E987" s="251">
        <v>4.9792531120331947E-3</v>
      </c>
      <c r="G987" s="251">
        <v>978</v>
      </c>
      <c r="H987" s="251">
        <f t="shared" ca="1" si="34"/>
        <v>5.6004419391604866E-3</v>
      </c>
    </row>
    <row r="988" spans="2:8">
      <c r="B988" s="252">
        <v>42537</v>
      </c>
      <c r="C988" s="251">
        <v>454.35</v>
      </c>
      <c r="D988" s="251">
        <f t="shared" si="33"/>
        <v>-0.54041068177220308</v>
      </c>
      <c r="E988" s="251">
        <v>4.9767750497677499E-3</v>
      </c>
      <c r="G988" s="251">
        <v>979</v>
      </c>
      <c r="H988" s="251">
        <f t="shared" ca="1" si="34"/>
        <v>-1.7333609695779989E-2</v>
      </c>
    </row>
    <row r="989" spans="2:8">
      <c r="B989" s="252">
        <v>45406</v>
      </c>
      <c r="C989" s="251">
        <v>988.6</v>
      </c>
      <c r="D989" s="251">
        <f t="shared" si="33"/>
        <v>-2.1556246164809254E-2</v>
      </c>
      <c r="E989" s="251">
        <v>4.9607611922091602E-3</v>
      </c>
      <c r="G989" s="251">
        <v>980</v>
      </c>
      <c r="H989" s="251">
        <f t="shared" ca="1" si="34"/>
        <v>4.4728095466400081E-2</v>
      </c>
    </row>
    <row r="990" spans="2:8">
      <c r="B990" s="252">
        <v>45392</v>
      </c>
      <c r="C990" s="267">
        <v>1010.38</v>
      </c>
      <c r="D990" s="251">
        <f t="shared" si="33"/>
        <v>4.530268199233717</v>
      </c>
      <c r="E990" s="251">
        <v>4.9532524368410763E-3</v>
      </c>
      <c r="G990" s="251">
        <v>981</v>
      </c>
      <c r="H990" s="251">
        <f t="shared" ca="1" si="34"/>
        <v>-3.5211542903022801E-2</v>
      </c>
    </row>
    <row r="991" spans="2:8">
      <c r="B991" s="252">
        <v>44174</v>
      </c>
      <c r="C991" s="251">
        <v>182.7</v>
      </c>
      <c r="D991" s="251">
        <f t="shared" si="33"/>
        <v>-0.82006559185321615</v>
      </c>
      <c r="E991" s="251">
        <v>4.9504950495048248E-3</v>
      </c>
      <c r="G991" s="251">
        <v>982</v>
      </c>
      <c r="H991" s="251">
        <f t="shared" ca="1" si="34"/>
        <v>-6.8955089420806494E-4</v>
      </c>
    </row>
    <row r="992" spans="2:8">
      <c r="B992" s="252">
        <v>45394</v>
      </c>
      <c r="C992" s="267">
        <v>1015.37</v>
      </c>
      <c r="D992" s="251">
        <f t="shared" si="33"/>
        <v>0.20920566869119916</v>
      </c>
      <c r="E992" s="251">
        <v>4.9387359211385904E-3</v>
      </c>
      <c r="G992" s="251">
        <v>983</v>
      </c>
      <c r="H992" s="251">
        <f t="shared" ca="1" si="34"/>
        <v>-2.9007214810168429E-2</v>
      </c>
    </row>
    <row r="993" spans="2:8">
      <c r="B993" s="252">
        <v>45602</v>
      </c>
      <c r="C993" s="251">
        <v>839.7</v>
      </c>
      <c r="D993" s="251">
        <f t="shared" si="33"/>
        <v>4.7810671256454391</v>
      </c>
      <c r="E993" s="251">
        <v>4.8465266558966888E-3</v>
      </c>
      <c r="G993" s="251">
        <v>984</v>
      </c>
      <c r="H993" s="251">
        <f t="shared" ca="1" si="34"/>
        <v>-9.2227927573106071E-3</v>
      </c>
    </row>
    <row r="994" spans="2:8">
      <c r="B994" s="252">
        <v>43888</v>
      </c>
      <c r="C994" s="251">
        <v>145.25</v>
      </c>
      <c r="D994" s="251">
        <f t="shared" si="33"/>
        <v>-0.70958712386284117</v>
      </c>
      <c r="E994" s="251">
        <v>4.8426150121064588E-3</v>
      </c>
      <c r="G994" s="251">
        <v>985</v>
      </c>
      <c r="H994" s="251">
        <f t="shared" ca="1" si="34"/>
        <v>-2.7962972793954422E-2</v>
      </c>
    </row>
    <row r="995" spans="2:8">
      <c r="B995" s="252">
        <v>42744</v>
      </c>
      <c r="C995" s="251">
        <v>500.15</v>
      </c>
      <c r="D995" s="251">
        <f t="shared" si="33"/>
        <v>-0.48552178161806309</v>
      </c>
      <c r="E995" s="251">
        <v>4.8216976393771517E-3</v>
      </c>
      <c r="G995" s="251">
        <v>986</v>
      </c>
      <c r="H995" s="251">
        <f t="shared" ca="1" si="34"/>
        <v>-6.0393775587045659E-2</v>
      </c>
    </row>
    <row r="996" spans="2:8">
      <c r="B996" s="252">
        <v>45453</v>
      </c>
      <c r="C996" s="251">
        <v>972.15</v>
      </c>
      <c r="D996" s="251">
        <f t="shared" si="33"/>
        <v>1.3731233980227024</v>
      </c>
      <c r="E996" s="251">
        <v>4.7854307921283232E-3</v>
      </c>
      <c r="G996" s="251">
        <v>987</v>
      </c>
      <c r="H996" s="251">
        <f t="shared" ca="1" si="34"/>
        <v>-8.3939108627461238E-3</v>
      </c>
    </row>
    <row r="997" spans="2:8">
      <c r="B997" s="252">
        <v>42493</v>
      </c>
      <c r="C997" s="251">
        <v>409.65</v>
      </c>
      <c r="D997" s="251">
        <f t="shared" si="33"/>
        <v>0.17817083692838651</v>
      </c>
      <c r="E997" s="251">
        <v>4.7829286239881993E-3</v>
      </c>
      <c r="G997" s="251">
        <v>988</v>
      </c>
      <c r="H997" s="251">
        <f t="shared" ca="1" si="34"/>
        <v>2.76039666138179E-2</v>
      </c>
    </row>
    <row r="998" spans="2:8">
      <c r="B998" s="252">
        <v>42438</v>
      </c>
      <c r="C998" s="251">
        <v>347.7</v>
      </c>
      <c r="D998" s="251">
        <f t="shared" si="33"/>
        <v>0.17704807041299939</v>
      </c>
      <c r="E998" s="251">
        <v>4.7680970957953393E-3</v>
      </c>
      <c r="G998" s="251">
        <v>989</v>
      </c>
      <c r="H998" s="251">
        <f t="shared" ca="1" si="34"/>
        <v>1.1092531564510536E-3</v>
      </c>
    </row>
    <row r="999" spans="2:8">
      <c r="B999" s="252">
        <v>44312</v>
      </c>
      <c r="C999" s="251">
        <v>295.39999999999998</v>
      </c>
      <c r="D999" s="251">
        <f t="shared" si="33"/>
        <v>-0.12732644017725264</v>
      </c>
      <c r="E999" s="251">
        <v>4.7619047619046843E-3</v>
      </c>
      <c r="G999" s="251">
        <v>990</v>
      </c>
      <c r="H999" s="251">
        <f t="shared" ca="1" si="34"/>
        <v>2.9453201351169189E-2</v>
      </c>
    </row>
    <row r="1000" spans="2:8">
      <c r="B1000" s="252">
        <v>42401</v>
      </c>
      <c r="C1000" s="251">
        <v>338.5</v>
      </c>
      <c r="D1000" s="251">
        <f t="shared" si="33"/>
        <v>-0.52106059962929951</v>
      </c>
      <c r="E1000" s="251">
        <v>4.7491837340457787E-3</v>
      </c>
      <c r="G1000" s="251">
        <v>991</v>
      </c>
      <c r="H1000" s="251">
        <f t="shared" ca="1" si="34"/>
        <v>-8.5882673703071028E-3</v>
      </c>
    </row>
    <row r="1001" spans="2:8">
      <c r="B1001" s="252">
        <v>45265</v>
      </c>
      <c r="C1001" s="251">
        <v>706.77</v>
      </c>
      <c r="D1001" s="251">
        <f t="shared" si="33"/>
        <v>0.9621599111604664</v>
      </c>
      <c r="E1001" s="251">
        <v>4.7481625748120385E-3</v>
      </c>
      <c r="G1001" s="251">
        <v>992</v>
      </c>
      <c r="H1001" s="251">
        <f t="shared" ca="1" si="34"/>
        <v>-2.0407421041396291E-3</v>
      </c>
    </row>
    <row r="1002" spans="2:8">
      <c r="B1002" s="252">
        <v>43154</v>
      </c>
      <c r="C1002" s="251">
        <v>360.2</v>
      </c>
      <c r="D1002" s="251">
        <f t="shared" si="33"/>
        <v>-0.1292155203674604</v>
      </c>
      <c r="E1002" s="251">
        <v>4.7419804741980157E-3</v>
      </c>
      <c r="G1002" s="251">
        <v>993</v>
      </c>
      <c r="H1002" s="251">
        <f t="shared" ca="1" si="34"/>
        <v>2.1274882203906175E-2</v>
      </c>
    </row>
    <row r="1003" spans="2:8">
      <c r="B1003" s="252">
        <v>44635</v>
      </c>
      <c r="C1003" s="251">
        <v>413.65</v>
      </c>
      <c r="D1003" s="251">
        <f t="shared" si="33"/>
        <v>-0.34857241846328291</v>
      </c>
      <c r="E1003" s="251">
        <v>4.7364585863492563E-3</v>
      </c>
      <c r="G1003" s="251">
        <v>994</v>
      </c>
      <c r="H1003" s="251">
        <f t="shared" ca="1" si="34"/>
        <v>4.8951862282347975E-3</v>
      </c>
    </row>
    <row r="1004" spans="2:8">
      <c r="B1004" s="252">
        <v>45211</v>
      </c>
      <c r="C1004" s="251">
        <v>634.99</v>
      </c>
      <c r="D1004" s="251">
        <f t="shared" si="33"/>
        <v>0.13275772874038916</v>
      </c>
      <c r="E1004" s="251">
        <v>4.6515307333281465E-3</v>
      </c>
      <c r="G1004" s="251">
        <v>995</v>
      </c>
      <c r="H1004" s="251">
        <f t="shared" ca="1" si="34"/>
        <v>1.9258172909579598E-3</v>
      </c>
    </row>
    <row r="1005" spans="2:8">
      <c r="B1005" s="252">
        <v>45086</v>
      </c>
      <c r="C1005" s="251">
        <v>560.57000000000005</v>
      </c>
      <c r="D1005" s="251">
        <f t="shared" si="33"/>
        <v>1.1560384615384618</v>
      </c>
      <c r="E1005" s="251">
        <v>4.641743431664274E-3</v>
      </c>
      <c r="G1005" s="251">
        <v>996</v>
      </c>
      <c r="H1005" s="251">
        <f t="shared" ca="1" si="34"/>
        <v>2.0757788195473411E-2</v>
      </c>
    </row>
    <row r="1006" spans="2:8">
      <c r="B1006" s="252">
        <v>43340</v>
      </c>
      <c r="C1006" s="251">
        <v>260</v>
      </c>
      <c r="D1006" s="251">
        <f t="shared" si="33"/>
        <v>0.99616122840690979</v>
      </c>
      <c r="E1006" s="251">
        <v>4.6367851622874361E-3</v>
      </c>
      <c r="G1006" s="251">
        <v>997</v>
      </c>
      <c r="H1006" s="251">
        <f t="shared" ca="1" si="34"/>
        <v>6.0288200037865079E-2</v>
      </c>
    </row>
    <row r="1007" spans="2:8">
      <c r="B1007" s="252">
        <v>44125</v>
      </c>
      <c r="C1007" s="251">
        <v>130.25</v>
      </c>
      <c r="D1007" s="251">
        <f t="shared" si="33"/>
        <v>-0.25464949928469244</v>
      </c>
      <c r="E1007" s="251">
        <v>4.6278441959120269E-3</v>
      </c>
      <c r="G1007" s="251">
        <v>998</v>
      </c>
      <c r="H1007" s="251">
        <f t="shared" ca="1" si="34"/>
        <v>-3.6183667217116224E-2</v>
      </c>
    </row>
    <row r="1008" spans="2:8">
      <c r="B1008" s="252">
        <v>43452</v>
      </c>
      <c r="C1008" s="251">
        <v>174.75</v>
      </c>
      <c r="D1008" s="251">
        <f t="shared" si="33"/>
        <v>-0.71838589592767477</v>
      </c>
      <c r="E1008" s="251">
        <v>4.5990227076746848E-3</v>
      </c>
      <c r="G1008" s="251">
        <v>999</v>
      </c>
      <c r="H1008" s="251">
        <f t="shared" ca="1" si="34"/>
        <v>-5.4327706129948979E-4</v>
      </c>
    </row>
    <row r="1009" spans="2:8">
      <c r="B1009" s="252">
        <v>45205</v>
      </c>
      <c r="C1009" s="251">
        <v>620.53</v>
      </c>
      <c r="D1009" s="251">
        <f t="shared" si="33"/>
        <v>0.26213769958303673</v>
      </c>
      <c r="E1009" s="251">
        <v>4.597775583221224E-3</v>
      </c>
      <c r="G1009" s="251">
        <v>1000</v>
      </c>
      <c r="H1009" s="251">
        <f t="shared" ca="1" si="34"/>
        <v>1.4526252838751728E-2</v>
      </c>
    </row>
    <row r="1010" spans="2:8">
      <c r="B1010" s="252">
        <v>44545</v>
      </c>
      <c r="C1010" s="251">
        <v>491.65</v>
      </c>
      <c r="D1010" s="251">
        <f t="shared" si="33"/>
        <v>0.60146579804560252</v>
      </c>
      <c r="E1010" s="251">
        <v>4.5974662852472413E-3</v>
      </c>
      <c r="G1010" s="251">
        <v>1001</v>
      </c>
      <c r="H1010" s="251">
        <f t="shared" ca="1" si="34"/>
        <v>6.7391681504698495E-3</v>
      </c>
    </row>
    <row r="1011" spans="2:8">
      <c r="B1011" s="252">
        <v>43272</v>
      </c>
      <c r="C1011" s="251">
        <v>307</v>
      </c>
      <c r="D1011" s="251">
        <f t="shared" si="33"/>
        <v>-0.61141699892411872</v>
      </c>
      <c r="E1011" s="251">
        <v>4.581151832460658E-3</v>
      </c>
      <c r="G1011" s="251">
        <v>1002</v>
      </c>
      <c r="H1011" s="251">
        <f t="shared" ca="1" si="34"/>
        <v>-3.2194137654667741E-2</v>
      </c>
    </row>
    <row r="1012" spans="2:8">
      <c r="B1012" s="252">
        <v>45628</v>
      </c>
      <c r="C1012" s="251">
        <v>790.05</v>
      </c>
      <c r="D1012" s="251">
        <f t="shared" si="33"/>
        <v>1.3771626297577853</v>
      </c>
      <c r="E1012" s="251">
        <v>4.5775319473582666E-3</v>
      </c>
      <c r="G1012" s="251">
        <v>1003</v>
      </c>
      <c r="H1012" s="251">
        <f t="shared" ca="1" si="34"/>
        <v>3.7910525687099163E-2</v>
      </c>
    </row>
    <row r="1013" spans="2:8">
      <c r="B1013" s="252">
        <v>43185</v>
      </c>
      <c r="C1013" s="251">
        <v>332.35</v>
      </c>
      <c r="D1013" s="251">
        <f t="shared" si="33"/>
        <v>-0.23342175066312995</v>
      </c>
      <c r="E1013" s="251">
        <v>4.5337766359377354E-3</v>
      </c>
      <c r="G1013" s="251">
        <v>1004</v>
      </c>
      <c r="H1013" s="251">
        <f t="shared" ca="1" si="34"/>
        <v>-1.0881617959156757E-2</v>
      </c>
    </row>
    <row r="1014" spans="2:8">
      <c r="B1014" s="252">
        <v>43108</v>
      </c>
      <c r="C1014" s="251">
        <v>433.55</v>
      </c>
      <c r="D1014" s="251">
        <f t="shared" si="33"/>
        <v>-4.8203833352461062E-3</v>
      </c>
      <c r="E1014" s="251">
        <v>4.5180722891566003E-3</v>
      </c>
      <c r="G1014" s="251">
        <v>1005</v>
      </c>
      <c r="H1014" s="251">
        <f t="shared" ca="1" si="34"/>
        <v>1.145336823515045E-2</v>
      </c>
    </row>
    <row r="1015" spans="2:8">
      <c r="B1015" s="252">
        <v>44650</v>
      </c>
      <c r="C1015" s="251">
        <v>435.65</v>
      </c>
      <c r="D1015" s="251">
        <f t="shared" si="33"/>
        <v>-0.56696983251329458</v>
      </c>
      <c r="E1015" s="251">
        <v>4.4961955268618603E-3</v>
      </c>
      <c r="G1015" s="251">
        <v>1006</v>
      </c>
      <c r="H1015" s="251">
        <f t="shared" ca="1" si="34"/>
        <v>-1.7954377867247465E-2</v>
      </c>
    </row>
    <row r="1016" spans="2:8">
      <c r="B1016" s="252">
        <v>45385</v>
      </c>
      <c r="C1016" s="267">
        <v>1006.05</v>
      </c>
      <c r="D1016" s="251">
        <f t="shared" si="33"/>
        <v>1.2856980574804044</v>
      </c>
      <c r="E1016" s="251">
        <v>4.4830065098446521E-3</v>
      </c>
      <c r="G1016" s="251">
        <v>1007</v>
      </c>
      <c r="H1016" s="251">
        <f t="shared" ca="1" si="34"/>
        <v>1.2391893350677766E-2</v>
      </c>
    </row>
    <row r="1017" spans="2:8">
      <c r="B1017" s="252">
        <v>43048</v>
      </c>
      <c r="C1017" s="251">
        <v>440.15</v>
      </c>
      <c r="D1017" s="251">
        <f t="shared" si="33"/>
        <v>-9.7775955724095615E-2</v>
      </c>
      <c r="E1017" s="251">
        <v>4.4500228206298233E-3</v>
      </c>
      <c r="G1017" s="251">
        <v>1008</v>
      </c>
      <c r="H1017" s="251">
        <f t="shared" ca="1" si="34"/>
        <v>2.6716879341189027E-2</v>
      </c>
    </row>
    <row r="1018" spans="2:8">
      <c r="B1018" s="252">
        <v>44502</v>
      </c>
      <c r="C1018" s="251">
        <v>487.85</v>
      </c>
      <c r="D1018" s="251">
        <f t="shared" si="33"/>
        <v>1.9007832898172372E-2</v>
      </c>
      <c r="E1018" s="251">
        <v>4.4266007823760226E-3</v>
      </c>
      <c r="G1018" s="251">
        <v>1009</v>
      </c>
      <c r="H1018" s="251">
        <f t="shared" ca="1" si="34"/>
        <v>3.0908219640642602E-2</v>
      </c>
    </row>
    <row r="1019" spans="2:8">
      <c r="B1019" s="252">
        <v>42888</v>
      </c>
      <c r="C1019" s="251">
        <v>478.75</v>
      </c>
      <c r="D1019" s="251">
        <f t="shared" si="33"/>
        <v>4.9545105776608624E-2</v>
      </c>
      <c r="E1019" s="251">
        <v>4.4057484527431504E-3</v>
      </c>
      <c r="G1019" s="251">
        <v>1010</v>
      </c>
      <c r="H1019" s="251">
        <f t="shared" ca="1" si="34"/>
        <v>4.9177089523362409E-2</v>
      </c>
    </row>
    <row r="1020" spans="2:8">
      <c r="B1020" s="252">
        <v>42934</v>
      </c>
      <c r="C1020" s="251">
        <v>456.15</v>
      </c>
      <c r="D1020" s="251">
        <f t="shared" si="33"/>
        <v>0.42569151429910923</v>
      </c>
      <c r="E1020" s="251">
        <v>4.4038313332599366E-3</v>
      </c>
      <c r="G1020" s="251">
        <v>1011</v>
      </c>
      <c r="H1020" s="251">
        <f t="shared" ca="1" si="34"/>
        <v>-6.4991399604038191E-3</v>
      </c>
    </row>
    <row r="1021" spans="2:8">
      <c r="B1021" s="252">
        <v>44271</v>
      </c>
      <c r="C1021" s="251">
        <v>319.95</v>
      </c>
      <c r="D1021" s="251">
        <f t="shared" si="33"/>
        <v>-3.5423575520048239E-2</v>
      </c>
      <c r="E1021" s="251">
        <v>4.3949144561292643E-3</v>
      </c>
      <c r="G1021" s="251">
        <v>1012</v>
      </c>
      <c r="H1021" s="251">
        <f t="shared" ca="1" si="34"/>
        <v>-1.4942444077799483E-2</v>
      </c>
    </row>
    <row r="1022" spans="2:8">
      <c r="B1022" s="252">
        <v>42268</v>
      </c>
      <c r="C1022" s="251">
        <v>331.7</v>
      </c>
      <c r="D1022" s="251">
        <f t="shared" si="33"/>
        <v>0.31314330958036418</v>
      </c>
      <c r="E1022" s="251">
        <v>4.3906131718394808E-3</v>
      </c>
      <c r="G1022" s="251">
        <v>1013</v>
      </c>
      <c r="H1022" s="251">
        <f t="shared" ca="1" si="34"/>
        <v>5.8125888414683482E-4</v>
      </c>
    </row>
    <row r="1023" spans="2:8">
      <c r="B1023" s="252">
        <v>43362</v>
      </c>
      <c r="C1023" s="251">
        <v>252.6</v>
      </c>
      <c r="D1023" s="251">
        <f t="shared" si="33"/>
        <v>0.3746938775510204</v>
      </c>
      <c r="E1023" s="251">
        <v>4.3737574552683671E-3</v>
      </c>
      <c r="G1023" s="251">
        <v>1014</v>
      </c>
      <c r="H1023" s="251">
        <f t="shared" ca="1" si="34"/>
        <v>-3.9709114973905307E-2</v>
      </c>
    </row>
    <row r="1024" spans="2:8">
      <c r="B1024" s="252">
        <v>43385</v>
      </c>
      <c r="C1024" s="251">
        <v>183.75</v>
      </c>
      <c r="D1024" s="251">
        <f t="shared" si="33"/>
        <v>-0.55322408091810926</v>
      </c>
      <c r="E1024" s="251">
        <v>4.3727794479366568E-3</v>
      </c>
      <c r="G1024" s="251">
        <v>1015</v>
      </c>
      <c r="H1024" s="251">
        <f t="shared" ca="1" si="34"/>
        <v>1.1160428422239858E-2</v>
      </c>
    </row>
    <row r="1025" spans="2:8">
      <c r="B1025" s="252">
        <v>45006</v>
      </c>
      <c r="C1025" s="251">
        <v>411.28</v>
      </c>
      <c r="D1025" s="251">
        <f t="shared" si="33"/>
        <v>1.3711732487748631</v>
      </c>
      <c r="E1025" s="251">
        <v>4.3712911182201362E-3</v>
      </c>
      <c r="G1025" s="251">
        <v>1016</v>
      </c>
      <c r="H1025" s="251">
        <f t="shared" ca="1" si="34"/>
        <v>5.7492859279429914E-3</v>
      </c>
    </row>
    <row r="1026" spans="2:8">
      <c r="B1026" s="252">
        <v>43466</v>
      </c>
      <c r="C1026" s="251">
        <v>173.45</v>
      </c>
      <c r="D1026" s="251">
        <f t="shared" si="33"/>
        <v>-0.41292942968353363</v>
      </c>
      <c r="E1026" s="251">
        <v>4.3427909669947889E-3</v>
      </c>
      <c r="G1026" s="251">
        <v>1017</v>
      </c>
      <c r="H1026" s="251">
        <f t="shared" ca="1" si="34"/>
        <v>-1.7932396884245139E-2</v>
      </c>
    </row>
    <row r="1027" spans="2:8">
      <c r="B1027" s="252">
        <v>44419</v>
      </c>
      <c r="C1027" s="251">
        <v>295.45</v>
      </c>
      <c r="D1027" s="251">
        <f t="shared" si="33"/>
        <v>1.0545897079276771</v>
      </c>
      <c r="E1027" s="251">
        <v>4.2488103331067301E-3</v>
      </c>
      <c r="G1027" s="251">
        <v>1018</v>
      </c>
      <c r="H1027" s="251">
        <f t="shared" ca="1" si="34"/>
        <v>1.1471956879740243E-2</v>
      </c>
    </row>
    <row r="1028" spans="2:8">
      <c r="B1028" s="252">
        <v>44075</v>
      </c>
      <c r="C1028" s="251">
        <v>143.80000000000001</v>
      </c>
      <c r="D1028" s="251">
        <f t="shared" si="33"/>
        <v>-0.62610504420176805</v>
      </c>
      <c r="E1028" s="251">
        <v>4.1899441340783718E-3</v>
      </c>
      <c r="G1028" s="251">
        <v>1019</v>
      </c>
      <c r="H1028" s="251">
        <f t="shared" ca="1" si="34"/>
        <v>1.1148684300882051E-2</v>
      </c>
    </row>
    <row r="1029" spans="2:8">
      <c r="B1029" s="252">
        <v>42303</v>
      </c>
      <c r="C1029" s="251">
        <v>384.6</v>
      </c>
      <c r="D1029" s="251">
        <f t="shared" si="33"/>
        <v>-0.24052132701421794</v>
      </c>
      <c r="E1029" s="251">
        <v>4.177545691906065E-3</v>
      </c>
      <c r="G1029" s="251">
        <v>1020</v>
      </c>
      <c r="H1029" s="251">
        <f t="shared" ca="1" si="34"/>
        <v>2.5762488193663041E-5</v>
      </c>
    </row>
    <row r="1030" spans="2:8">
      <c r="B1030" s="252">
        <v>44594</v>
      </c>
      <c r="C1030" s="251">
        <v>506.4</v>
      </c>
      <c r="D1030" s="251">
        <f t="shared" si="33"/>
        <v>4.2618900555898682E-2</v>
      </c>
      <c r="E1030" s="251">
        <v>4.1641879833431801E-3</v>
      </c>
      <c r="G1030" s="251">
        <v>1021</v>
      </c>
      <c r="H1030" s="251">
        <f t="shared" ca="1" si="34"/>
        <v>2.7836827136643899E-2</v>
      </c>
    </row>
    <row r="1031" spans="2:8">
      <c r="B1031" s="252">
        <v>44501</v>
      </c>
      <c r="C1031" s="251">
        <v>485.7</v>
      </c>
      <c r="D1031" s="251">
        <f t="shared" si="33"/>
        <v>-4.7703076289629991E-2</v>
      </c>
      <c r="E1031" s="251">
        <v>4.1347942939838744E-3</v>
      </c>
      <c r="G1031" s="251">
        <v>1022</v>
      </c>
      <c r="H1031" s="251">
        <f t="shared" ca="1" si="34"/>
        <v>-2.6171600071322229E-2</v>
      </c>
    </row>
    <row r="1032" spans="2:8">
      <c r="B1032" s="252">
        <v>45057</v>
      </c>
      <c r="C1032" s="251">
        <v>510.03</v>
      </c>
      <c r="D1032" s="251">
        <f t="shared" si="33"/>
        <v>1.9905013192612133</v>
      </c>
      <c r="E1032" s="251">
        <v>4.1344279723583288E-3</v>
      </c>
      <c r="G1032" s="251">
        <v>1023</v>
      </c>
      <c r="H1032" s="251">
        <f t="shared" ca="1" si="34"/>
        <v>-7.205444803360766E-3</v>
      </c>
    </row>
    <row r="1033" spans="2:8">
      <c r="B1033" s="252">
        <v>43552</v>
      </c>
      <c r="C1033" s="251">
        <v>170.55</v>
      </c>
      <c r="D1033" s="251">
        <f t="shared" si="33"/>
        <v>-0.66708959593987893</v>
      </c>
      <c r="E1033" s="251">
        <v>4.1212834854284196E-3</v>
      </c>
      <c r="G1033" s="251">
        <v>1024</v>
      </c>
      <c r="H1033" s="251">
        <f t="shared" ca="1" si="34"/>
        <v>-2.6382209562024903E-2</v>
      </c>
    </row>
    <row r="1034" spans="2:8">
      <c r="B1034" s="252">
        <v>42678</v>
      </c>
      <c r="C1034" s="251">
        <v>512.29999999999995</v>
      </c>
      <c r="D1034" s="251">
        <f t="shared" ref="D1034:D1097" si="35">(C1034-C1035)/C1035</f>
        <v>0.16141464520516874</v>
      </c>
      <c r="E1034" s="251">
        <v>4.1160329282633598E-3</v>
      </c>
      <c r="G1034" s="251">
        <v>1025</v>
      </c>
      <c r="H1034" s="251">
        <f t="shared" ca="1" si="34"/>
        <v>2.9116633847616539E-2</v>
      </c>
    </row>
    <row r="1035" spans="2:8">
      <c r="B1035" s="252">
        <v>42710</v>
      </c>
      <c r="C1035" s="251">
        <v>441.1</v>
      </c>
      <c r="D1035" s="251">
        <f t="shared" si="35"/>
        <v>0.43563873067534586</v>
      </c>
      <c r="E1035" s="251">
        <v>4.0974277259276382E-3</v>
      </c>
      <c r="G1035" s="251">
        <v>1026</v>
      </c>
      <c r="H1035" s="251">
        <f t="shared" ref="H1035:H1098" ca="1" si="36">_xlfn.NORM.INV(RAND(),N$12,N$13)</f>
        <v>4.1919751718350337E-3</v>
      </c>
    </row>
    <row r="1036" spans="2:8">
      <c r="B1036" s="252">
        <v>44421</v>
      </c>
      <c r="C1036" s="251">
        <v>307.25</v>
      </c>
      <c r="D1036" s="251">
        <f t="shared" si="35"/>
        <v>-0.2190875587749396</v>
      </c>
      <c r="E1036" s="251">
        <v>4.0849673202614381E-3</v>
      </c>
      <c r="G1036" s="251">
        <v>1027</v>
      </c>
      <c r="H1036" s="251">
        <f t="shared" ca="1" si="36"/>
        <v>6.7885803970236533E-3</v>
      </c>
    </row>
    <row r="1037" spans="2:8">
      <c r="B1037" s="252">
        <v>42368</v>
      </c>
      <c r="C1037" s="251">
        <v>393.45</v>
      </c>
      <c r="D1037" s="251">
        <f t="shared" si="35"/>
        <v>0.14126178390137778</v>
      </c>
      <c r="E1037" s="251">
        <v>4.0831951001657927E-3</v>
      </c>
      <c r="G1037" s="251">
        <v>1028</v>
      </c>
      <c r="H1037" s="251">
        <f t="shared" ca="1" si="36"/>
        <v>2.5959701905490314E-3</v>
      </c>
    </row>
    <row r="1038" spans="2:8">
      <c r="B1038" s="252">
        <v>44357</v>
      </c>
      <c r="C1038" s="251">
        <v>344.75</v>
      </c>
      <c r="D1038" s="251">
        <f t="shared" si="35"/>
        <v>-9.9869451697127937E-2</v>
      </c>
      <c r="E1038" s="251">
        <v>4.0774719673801578E-3</v>
      </c>
      <c r="G1038" s="251">
        <v>1029</v>
      </c>
      <c r="H1038" s="251">
        <f t="shared" ca="1" si="36"/>
        <v>4.6337307796928628E-2</v>
      </c>
    </row>
    <row r="1039" spans="2:8">
      <c r="B1039" s="252">
        <v>42300</v>
      </c>
      <c r="C1039" s="251">
        <v>383</v>
      </c>
      <c r="D1039" s="251">
        <f t="shared" si="35"/>
        <v>-0.14058117356670027</v>
      </c>
      <c r="E1039" s="251">
        <v>4.0634421287193906E-3</v>
      </c>
      <c r="G1039" s="251">
        <v>1030</v>
      </c>
      <c r="H1039" s="251">
        <f t="shared" ca="1" si="36"/>
        <v>2.8861032437405634E-2</v>
      </c>
    </row>
    <row r="1040" spans="2:8">
      <c r="B1040" s="252">
        <v>42850</v>
      </c>
      <c r="C1040" s="251">
        <v>445.65</v>
      </c>
      <c r="D1040" s="251">
        <f t="shared" si="35"/>
        <v>-0.30553824097737337</v>
      </c>
      <c r="E1040" s="251">
        <v>4.0554241297734691E-3</v>
      </c>
      <c r="G1040" s="251">
        <v>1031</v>
      </c>
      <c r="H1040" s="251">
        <f t="shared" ca="1" si="36"/>
        <v>-2.6418260560564066E-2</v>
      </c>
    </row>
    <row r="1041" spans="2:8">
      <c r="B1041" s="252">
        <v>45134</v>
      </c>
      <c r="C1041" s="251">
        <v>641.72</v>
      </c>
      <c r="D1041" s="251">
        <f t="shared" si="35"/>
        <v>2.9833643699565489</v>
      </c>
      <c r="E1041" s="251">
        <v>4.0523837091046141E-3</v>
      </c>
      <c r="G1041" s="251">
        <v>1032</v>
      </c>
      <c r="H1041" s="251">
        <f t="shared" ca="1" si="36"/>
        <v>-1.6049066731481001E-2</v>
      </c>
    </row>
    <row r="1042" spans="2:8">
      <c r="B1042" s="252">
        <v>43642</v>
      </c>
      <c r="C1042" s="251">
        <v>161.1</v>
      </c>
      <c r="D1042" s="251">
        <f t="shared" si="35"/>
        <v>-0.76840138010350778</v>
      </c>
      <c r="E1042" s="251">
        <v>4.051106263633566E-3</v>
      </c>
      <c r="G1042" s="251">
        <v>1033</v>
      </c>
      <c r="H1042" s="251">
        <f t="shared" ca="1" si="36"/>
        <v>4.0253362503499875E-2</v>
      </c>
    </row>
    <row r="1043" spans="2:8">
      <c r="B1043" s="252">
        <v>45848</v>
      </c>
      <c r="C1043" s="251">
        <v>695.6</v>
      </c>
      <c r="D1043" s="251">
        <f t="shared" si="35"/>
        <v>-0.28351444610392956</v>
      </c>
      <c r="E1043" s="251">
        <v>4.0415704387991754E-3</v>
      </c>
      <c r="G1043" s="251">
        <v>1034</v>
      </c>
      <c r="H1043" s="251">
        <f t="shared" ca="1" si="36"/>
        <v>-3.833174921178557E-3</v>
      </c>
    </row>
    <row r="1044" spans="2:8">
      <c r="B1044" s="252">
        <v>45555</v>
      </c>
      <c r="C1044" s="251">
        <v>970.85</v>
      </c>
      <c r="D1044" s="251">
        <f t="shared" si="35"/>
        <v>0.42416018776587938</v>
      </c>
      <c r="E1044" s="251">
        <v>3.9813857290589691E-3</v>
      </c>
      <c r="G1044" s="251">
        <v>1035</v>
      </c>
      <c r="H1044" s="251">
        <f t="shared" ca="1" si="36"/>
        <v>1.9051497282355136E-2</v>
      </c>
    </row>
    <row r="1045" spans="2:8">
      <c r="B1045" s="252">
        <v>45855</v>
      </c>
      <c r="C1045" s="251">
        <v>681.7</v>
      </c>
      <c r="D1045" s="251">
        <f t="shared" si="35"/>
        <v>0.44320948449243147</v>
      </c>
      <c r="E1045" s="251">
        <v>3.9764359351988892E-3</v>
      </c>
      <c r="G1045" s="251">
        <v>1036</v>
      </c>
      <c r="H1045" s="251">
        <f t="shared" ca="1" si="36"/>
        <v>3.7575388775746253E-2</v>
      </c>
    </row>
    <row r="1046" spans="2:8">
      <c r="B1046" s="252">
        <v>44553</v>
      </c>
      <c r="C1046" s="251">
        <v>472.35</v>
      </c>
      <c r="D1046" s="251">
        <f t="shared" si="35"/>
        <v>0.53859934853420199</v>
      </c>
      <c r="E1046" s="251">
        <v>3.9319872476089746E-3</v>
      </c>
      <c r="G1046" s="251">
        <v>1037</v>
      </c>
      <c r="H1046" s="251">
        <f t="shared" ca="1" si="36"/>
        <v>-7.4110810693263337E-3</v>
      </c>
    </row>
    <row r="1047" spans="2:8">
      <c r="B1047" s="252">
        <v>44273</v>
      </c>
      <c r="C1047" s="251">
        <v>307</v>
      </c>
      <c r="D1047" s="251">
        <f t="shared" si="35"/>
        <v>1.3937621832358675</v>
      </c>
      <c r="E1047" s="251">
        <v>3.924133420536261E-3</v>
      </c>
      <c r="G1047" s="251">
        <v>1038</v>
      </c>
      <c r="H1047" s="251">
        <f t="shared" ca="1" si="36"/>
        <v>-3.7012176690344664E-2</v>
      </c>
    </row>
    <row r="1048" spans="2:8">
      <c r="B1048" s="252">
        <v>44123</v>
      </c>
      <c r="C1048" s="251">
        <v>128.25</v>
      </c>
      <c r="D1048" s="251">
        <f t="shared" si="35"/>
        <v>-0.70284986098239111</v>
      </c>
      <c r="E1048" s="251">
        <v>3.9138943248532287E-3</v>
      </c>
      <c r="G1048" s="251">
        <v>1039</v>
      </c>
      <c r="H1048" s="251">
        <f t="shared" ca="1" si="36"/>
        <v>2.1208733694801942E-2</v>
      </c>
    </row>
    <row r="1049" spans="2:8">
      <c r="B1049" s="252">
        <v>43105</v>
      </c>
      <c r="C1049" s="251">
        <v>431.6</v>
      </c>
      <c r="D1049" s="251">
        <f t="shared" si="35"/>
        <v>3.1183206106870229</v>
      </c>
      <c r="E1049" s="251">
        <v>3.8376555413420959E-3</v>
      </c>
      <c r="G1049" s="251">
        <v>1040</v>
      </c>
      <c r="H1049" s="251">
        <f t="shared" ca="1" si="36"/>
        <v>-3.6794947693694242E-2</v>
      </c>
    </row>
    <row r="1050" spans="2:8">
      <c r="B1050" s="252">
        <v>44006</v>
      </c>
      <c r="C1050" s="251">
        <v>104.8</v>
      </c>
      <c r="D1050" s="251">
        <f t="shared" si="35"/>
        <v>-0.43089872386641326</v>
      </c>
      <c r="E1050" s="251">
        <v>3.8314176245209911E-3</v>
      </c>
      <c r="G1050" s="251">
        <v>1041</v>
      </c>
      <c r="H1050" s="251">
        <f t="shared" ca="1" si="36"/>
        <v>6.0390051640683888E-2</v>
      </c>
    </row>
    <row r="1051" spans="2:8">
      <c r="B1051" s="252">
        <v>44195</v>
      </c>
      <c r="C1051" s="251">
        <v>184.15</v>
      </c>
      <c r="D1051" s="251">
        <f t="shared" si="35"/>
        <v>-0.48974785259074533</v>
      </c>
      <c r="E1051" s="251">
        <v>3.8157536113383327E-3</v>
      </c>
      <c r="G1051" s="251">
        <v>1042</v>
      </c>
      <c r="H1051" s="251">
        <f t="shared" ca="1" si="36"/>
        <v>1.7926244254744771E-2</v>
      </c>
    </row>
    <row r="1052" spans="2:8">
      <c r="B1052" s="252">
        <v>42446</v>
      </c>
      <c r="C1052" s="251">
        <v>360.9</v>
      </c>
      <c r="D1052" s="251">
        <f t="shared" si="35"/>
        <v>0.17384940640754593</v>
      </c>
      <c r="E1052" s="251">
        <v>3.7546933667082904E-3</v>
      </c>
      <c r="G1052" s="251">
        <v>1043</v>
      </c>
      <c r="H1052" s="251">
        <f t="shared" ca="1" si="36"/>
        <v>-4.2828306171113096E-3</v>
      </c>
    </row>
    <row r="1053" spans="2:8">
      <c r="B1053" s="252">
        <v>44389</v>
      </c>
      <c r="C1053" s="251">
        <v>307.45</v>
      </c>
      <c r="D1053" s="251">
        <f t="shared" si="35"/>
        <v>-0.11601495112133416</v>
      </c>
      <c r="E1053" s="251">
        <v>3.7544890630100466E-3</v>
      </c>
      <c r="G1053" s="251">
        <v>1044</v>
      </c>
      <c r="H1053" s="251">
        <f t="shared" ca="1" si="36"/>
        <v>2.1014955029072916E-2</v>
      </c>
    </row>
    <row r="1054" spans="2:8">
      <c r="B1054" s="252">
        <v>43166</v>
      </c>
      <c r="C1054" s="251">
        <v>347.8</v>
      </c>
      <c r="D1054" s="251">
        <f t="shared" si="35"/>
        <v>-0.49066412828586076</v>
      </c>
      <c r="E1054" s="251">
        <v>3.7518037518037848E-3</v>
      </c>
      <c r="G1054" s="251">
        <v>1045</v>
      </c>
      <c r="H1054" s="251">
        <f t="shared" ca="1" si="36"/>
        <v>2.7371960220301646E-2</v>
      </c>
    </row>
    <row r="1055" spans="2:8">
      <c r="B1055" s="252">
        <v>45785</v>
      </c>
      <c r="C1055" s="251">
        <v>682.85</v>
      </c>
      <c r="D1055" s="251">
        <f t="shared" si="35"/>
        <v>4.6271116604861975</v>
      </c>
      <c r="E1055" s="251">
        <v>3.7483463178010707E-3</v>
      </c>
      <c r="G1055" s="251">
        <v>1046</v>
      </c>
      <c r="H1055" s="251">
        <f t="shared" ca="1" si="36"/>
        <v>1.3252423474239447E-2</v>
      </c>
    </row>
    <row r="1056" spans="2:8">
      <c r="B1056" s="252">
        <v>43693</v>
      </c>
      <c r="C1056" s="251">
        <v>121.35</v>
      </c>
      <c r="D1056" s="251">
        <f t="shared" si="35"/>
        <v>0.12361111111111106</v>
      </c>
      <c r="E1056" s="251">
        <v>3.7220843672455635E-3</v>
      </c>
      <c r="G1056" s="251">
        <v>1047</v>
      </c>
      <c r="H1056" s="251">
        <f t="shared" ca="1" si="36"/>
        <v>-7.8695837427855322E-3</v>
      </c>
    </row>
    <row r="1057" spans="2:8">
      <c r="B1057" s="252">
        <v>44025</v>
      </c>
      <c r="C1057" s="251">
        <v>108</v>
      </c>
      <c r="D1057" s="251">
        <f t="shared" si="35"/>
        <v>-0.74579263269389195</v>
      </c>
      <c r="E1057" s="251">
        <v>3.717472118959161E-3</v>
      </c>
      <c r="G1057" s="251">
        <v>1048</v>
      </c>
      <c r="H1057" s="251">
        <f t="shared" ca="1" si="36"/>
        <v>3.949836544801235E-2</v>
      </c>
    </row>
    <row r="1058" spans="2:8">
      <c r="B1058" s="252">
        <v>43014</v>
      </c>
      <c r="C1058" s="251">
        <v>424.85</v>
      </c>
      <c r="D1058" s="251">
        <f t="shared" si="35"/>
        <v>3.1865542952906042E-2</v>
      </c>
      <c r="E1058" s="251">
        <v>3.6617056461138941E-3</v>
      </c>
      <c r="G1058" s="251">
        <v>1049</v>
      </c>
      <c r="H1058" s="251">
        <f t="shared" ca="1" si="36"/>
        <v>4.3217489125425168E-2</v>
      </c>
    </row>
    <row r="1059" spans="2:8">
      <c r="B1059" s="252">
        <v>44942</v>
      </c>
      <c r="C1059" s="251">
        <v>411.73</v>
      </c>
      <c r="D1059" s="251">
        <f t="shared" si="35"/>
        <v>3.9546329723225031</v>
      </c>
      <c r="E1059" s="251">
        <v>3.6564853862467396E-3</v>
      </c>
      <c r="G1059" s="251">
        <v>1050</v>
      </c>
      <c r="H1059" s="251">
        <f t="shared" ca="1" si="36"/>
        <v>-7.0700124425649644E-3</v>
      </c>
    </row>
    <row r="1060" spans="2:8">
      <c r="B1060" s="252">
        <v>43977</v>
      </c>
      <c r="C1060" s="251">
        <v>83.1</v>
      </c>
      <c r="D1060" s="251">
        <f t="shared" si="35"/>
        <v>-0.82407113369323592</v>
      </c>
      <c r="E1060" s="251">
        <v>3.6231884057970672E-3</v>
      </c>
      <c r="G1060" s="251">
        <v>1051</v>
      </c>
      <c r="H1060" s="251">
        <f t="shared" ca="1" si="36"/>
        <v>-1.4759582206435869E-2</v>
      </c>
    </row>
    <row r="1061" spans="2:8">
      <c r="B1061" s="252">
        <v>42718</v>
      </c>
      <c r="C1061" s="251">
        <v>472.35</v>
      </c>
      <c r="D1061" s="251">
        <f t="shared" si="35"/>
        <v>0.21224175542153229</v>
      </c>
      <c r="E1061" s="251">
        <v>3.612025921597887E-3</v>
      </c>
      <c r="G1061" s="251">
        <v>1052</v>
      </c>
      <c r="H1061" s="251">
        <f t="shared" ca="1" si="36"/>
        <v>-8.8194152755825157E-3</v>
      </c>
    </row>
    <row r="1062" spans="2:8">
      <c r="B1062" s="252">
        <v>42991</v>
      </c>
      <c r="C1062" s="251">
        <v>389.65</v>
      </c>
      <c r="D1062" s="251">
        <f t="shared" si="35"/>
        <v>0.47009998113563461</v>
      </c>
      <c r="E1062" s="251">
        <v>3.6059240180295617E-3</v>
      </c>
      <c r="G1062" s="251">
        <v>1053</v>
      </c>
      <c r="H1062" s="251">
        <f t="shared" ca="1" si="36"/>
        <v>2.9597862697295588E-2</v>
      </c>
    </row>
    <row r="1063" spans="2:8">
      <c r="B1063" s="252">
        <v>43313</v>
      </c>
      <c r="C1063" s="251">
        <v>265.05</v>
      </c>
      <c r="D1063" s="251">
        <f t="shared" si="35"/>
        <v>0.45751993401154811</v>
      </c>
      <c r="E1063" s="251">
        <v>3.5971223021582302E-3</v>
      </c>
      <c r="G1063" s="251">
        <v>1054</v>
      </c>
      <c r="H1063" s="251">
        <f t="shared" ca="1" si="36"/>
        <v>-4.0167089459423079E-2</v>
      </c>
    </row>
    <row r="1064" spans="2:8">
      <c r="B1064" s="252">
        <v>43535</v>
      </c>
      <c r="C1064" s="251">
        <v>181.85</v>
      </c>
      <c r="D1064" s="251">
        <f t="shared" si="35"/>
        <v>-0.3813573737030107</v>
      </c>
      <c r="E1064" s="251">
        <v>3.5871964679912017E-3</v>
      </c>
      <c r="G1064" s="251">
        <v>1055</v>
      </c>
      <c r="H1064" s="251">
        <f t="shared" ca="1" si="36"/>
        <v>8.3552794224506215E-3</v>
      </c>
    </row>
    <row r="1065" spans="2:8">
      <c r="B1065" s="252">
        <v>44407</v>
      </c>
      <c r="C1065" s="251">
        <v>293.95</v>
      </c>
      <c r="D1065" s="251">
        <f t="shared" si="35"/>
        <v>-0.40083571137382801</v>
      </c>
      <c r="E1065" s="251">
        <v>3.5848412427450034E-3</v>
      </c>
      <c r="G1065" s="251">
        <v>1056</v>
      </c>
      <c r="H1065" s="251">
        <f t="shared" ca="1" si="36"/>
        <v>-1.6872464853038362E-2</v>
      </c>
    </row>
    <row r="1066" spans="2:8">
      <c r="B1066" s="252">
        <v>44568</v>
      </c>
      <c r="C1066" s="251">
        <v>490.6</v>
      </c>
      <c r="D1066" s="251">
        <f t="shared" si="35"/>
        <v>-0.2717286424701254</v>
      </c>
      <c r="E1066" s="251">
        <v>3.5798302137670041E-3</v>
      </c>
      <c r="G1066" s="251">
        <v>1057</v>
      </c>
      <c r="H1066" s="251">
        <f t="shared" ca="1" si="36"/>
        <v>-3.9183113399153605E-2</v>
      </c>
    </row>
    <row r="1067" spans="2:8">
      <c r="B1067" s="252">
        <v>45832</v>
      </c>
      <c r="C1067" s="251">
        <v>673.65</v>
      </c>
      <c r="D1067" s="251">
        <f t="shared" si="35"/>
        <v>-7.8075817709046202E-2</v>
      </c>
      <c r="E1067" s="251">
        <v>3.575418994413374E-3</v>
      </c>
      <c r="G1067" s="251">
        <v>1058</v>
      </c>
      <c r="H1067" s="251">
        <f t="shared" ca="1" si="36"/>
        <v>1.2155670409180874E-3</v>
      </c>
    </row>
    <row r="1068" spans="2:8">
      <c r="B1068" s="252">
        <v>45793</v>
      </c>
      <c r="C1068" s="251">
        <v>730.7</v>
      </c>
      <c r="D1068" s="251">
        <f t="shared" si="35"/>
        <v>1.8835832675611683</v>
      </c>
      <c r="E1068" s="251">
        <v>3.5709380579591029E-3</v>
      </c>
      <c r="G1068" s="251">
        <v>1059</v>
      </c>
      <c r="H1068" s="251">
        <f t="shared" ca="1" si="36"/>
        <v>4.0208839126111971E-2</v>
      </c>
    </row>
    <row r="1069" spans="2:8">
      <c r="B1069" s="252">
        <v>43301</v>
      </c>
      <c r="C1069" s="251">
        <v>253.4</v>
      </c>
      <c r="D1069" s="251">
        <f t="shared" si="35"/>
        <v>-0.42093235831809872</v>
      </c>
      <c r="E1069" s="251">
        <v>3.564356435643587E-3</v>
      </c>
      <c r="G1069" s="251">
        <v>1060</v>
      </c>
      <c r="H1069" s="251">
        <f t="shared" ca="1" si="36"/>
        <v>-1.9770583056882274E-2</v>
      </c>
    </row>
    <row r="1070" spans="2:8">
      <c r="B1070" s="252">
        <v>44680</v>
      </c>
      <c r="C1070" s="251">
        <v>437.6</v>
      </c>
      <c r="D1070" s="251">
        <f t="shared" si="35"/>
        <v>-0.14027504911591351</v>
      </c>
      <c r="E1070" s="251">
        <v>3.5546382295608562E-3</v>
      </c>
      <c r="G1070" s="251">
        <v>1061</v>
      </c>
      <c r="H1070" s="251">
        <f t="shared" ca="1" si="36"/>
        <v>-2.9908252353452781E-2</v>
      </c>
    </row>
    <row r="1071" spans="2:8">
      <c r="B1071" s="252">
        <v>42576</v>
      </c>
      <c r="C1071" s="251">
        <v>509</v>
      </c>
      <c r="D1071" s="251">
        <f t="shared" si="35"/>
        <v>-0.16457399839151771</v>
      </c>
      <c r="E1071" s="251">
        <v>3.5488958990536504E-3</v>
      </c>
      <c r="G1071" s="251">
        <v>1062</v>
      </c>
      <c r="H1071" s="251">
        <f t="shared" ca="1" si="36"/>
        <v>-1.3922333725914214E-2</v>
      </c>
    </row>
    <row r="1072" spans="2:8">
      <c r="B1072" s="252">
        <v>45174</v>
      </c>
      <c r="C1072" s="251">
        <v>609.27</v>
      </c>
      <c r="D1072" s="251">
        <f t="shared" si="35"/>
        <v>0.76038717133776346</v>
      </c>
      <c r="E1072" s="251">
        <v>3.5247805247640312E-3</v>
      </c>
      <c r="G1072" s="251">
        <v>1063</v>
      </c>
      <c r="H1072" s="251">
        <f t="shared" ca="1" si="36"/>
        <v>-3.9214448769058052E-2</v>
      </c>
    </row>
    <row r="1073" spans="2:8">
      <c r="B1073" s="252">
        <v>44382</v>
      </c>
      <c r="C1073" s="251">
        <v>346.1</v>
      </c>
      <c r="D1073" s="251">
        <f t="shared" si="35"/>
        <v>-0.10269373363407731</v>
      </c>
      <c r="E1073" s="251">
        <v>3.4792693534359104E-3</v>
      </c>
      <c r="G1073" s="251">
        <v>1064</v>
      </c>
      <c r="H1073" s="251">
        <f t="shared" ca="1" si="36"/>
        <v>1.6098206731028127E-2</v>
      </c>
    </row>
    <row r="1074" spans="2:8">
      <c r="B1074" s="252">
        <v>44931</v>
      </c>
      <c r="C1074" s="251">
        <v>385.71</v>
      </c>
      <c r="D1074" s="251">
        <f t="shared" si="35"/>
        <v>-0.37171572380316331</v>
      </c>
      <c r="E1074" s="251">
        <v>3.3818058843421202E-3</v>
      </c>
      <c r="G1074" s="251">
        <v>1065</v>
      </c>
      <c r="H1074" s="251">
        <f t="shared" ca="1" si="36"/>
        <v>-5.2457646860782567E-3</v>
      </c>
    </row>
    <row r="1075" spans="2:8">
      <c r="B1075" s="252">
        <v>45156</v>
      </c>
      <c r="C1075" s="251">
        <v>613.91</v>
      </c>
      <c r="D1075" s="251">
        <f t="shared" si="35"/>
        <v>0.41209890741805627</v>
      </c>
      <c r="E1075" s="251">
        <v>3.3504396430555266E-3</v>
      </c>
      <c r="G1075" s="251">
        <v>1066</v>
      </c>
      <c r="H1075" s="251">
        <f t="shared" ca="1" si="36"/>
        <v>2.1128053876784063E-2</v>
      </c>
    </row>
    <row r="1076" spans="2:8">
      <c r="B1076" s="252">
        <v>43111</v>
      </c>
      <c r="C1076" s="251">
        <v>434.75</v>
      </c>
      <c r="D1076" s="251">
        <f t="shared" si="35"/>
        <v>-0.57566736616075354</v>
      </c>
      <c r="E1076" s="251">
        <v>3.3464112624047742E-3</v>
      </c>
      <c r="G1076" s="251">
        <v>1067</v>
      </c>
      <c r="H1076" s="251">
        <f t="shared" ca="1" si="36"/>
        <v>4.0551183468490203E-2</v>
      </c>
    </row>
    <row r="1077" spans="2:8">
      <c r="B1077" s="252">
        <v>45491</v>
      </c>
      <c r="C1077" s="267">
        <v>1024.55</v>
      </c>
      <c r="D1077" s="251">
        <f t="shared" si="35"/>
        <v>4.603226688542521</v>
      </c>
      <c r="E1077" s="251">
        <v>3.3295793957792462E-3</v>
      </c>
      <c r="G1077" s="251">
        <v>1068</v>
      </c>
      <c r="H1077" s="251">
        <f t="shared" ca="1" si="36"/>
        <v>1.183815816542525E-2</v>
      </c>
    </row>
    <row r="1078" spans="2:8">
      <c r="B1078" s="252">
        <v>43543</v>
      </c>
      <c r="C1078" s="251">
        <v>182.85</v>
      </c>
      <c r="D1078" s="251">
        <f t="shared" si="35"/>
        <v>-0.6748813143436283</v>
      </c>
      <c r="E1078" s="251">
        <v>3.2921810699588164E-3</v>
      </c>
      <c r="G1078" s="251">
        <v>1069</v>
      </c>
      <c r="H1078" s="251">
        <f t="shared" ca="1" si="36"/>
        <v>-4.3104565897295597E-4</v>
      </c>
    </row>
    <row r="1079" spans="2:8">
      <c r="B1079" s="252">
        <v>45089</v>
      </c>
      <c r="C1079" s="251">
        <v>562.41</v>
      </c>
      <c r="D1079" s="251">
        <f t="shared" si="35"/>
        <v>2.0507729861676158</v>
      </c>
      <c r="E1079" s="251">
        <v>3.2823732986066289E-3</v>
      </c>
      <c r="G1079" s="251">
        <v>1070</v>
      </c>
      <c r="H1079" s="251">
        <f t="shared" ca="1" si="36"/>
        <v>-2.7500436607685887E-2</v>
      </c>
    </row>
    <row r="1080" spans="2:8">
      <c r="B1080" s="252">
        <v>43388</v>
      </c>
      <c r="C1080" s="251">
        <v>184.35</v>
      </c>
      <c r="D1080" s="251">
        <f t="shared" si="35"/>
        <v>-0.40146103896103896</v>
      </c>
      <c r="E1080" s="251">
        <v>3.2653061224489485E-3</v>
      </c>
      <c r="G1080" s="251">
        <v>1071</v>
      </c>
      <c r="H1080" s="251">
        <f t="shared" ca="1" si="36"/>
        <v>1.0104296152463509E-2</v>
      </c>
    </row>
    <row r="1081" spans="2:8">
      <c r="B1081" s="252">
        <v>43273</v>
      </c>
      <c r="C1081" s="251">
        <v>308</v>
      </c>
      <c r="D1081" s="251">
        <f t="shared" si="35"/>
        <v>-0.22529365897829312</v>
      </c>
      <c r="E1081" s="251">
        <v>3.2573289902280132E-3</v>
      </c>
      <c r="G1081" s="251">
        <v>1072</v>
      </c>
      <c r="H1081" s="251">
        <f t="shared" ca="1" si="36"/>
        <v>5.2355905192080415E-2</v>
      </c>
    </row>
    <row r="1082" spans="2:8">
      <c r="B1082" s="252">
        <v>44831</v>
      </c>
      <c r="C1082" s="251">
        <v>397.57</v>
      </c>
      <c r="D1082" s="251">
        <f t="shared" si="35"/>
        <v>-0.41726639794796627</v>
      </c>
      <c r="E1082" s="251">
        <v>3.2552740486525198E-3</v>
      </c>
      <c r="G1082" s="251">
        <v>1073</v>
      </c>
      <c r="H1082" s="251">
        <f t="shared" ca="1" si="36"/>
        <v>5.837674569885655E-2</v>
      </c>
    </row>
    <row r="1083" spans="2:8">
      <c r="B1083" s="252">
        <v>45735</v>
      </c>
      <c r="C1083" s="251">
        <v>682.25</v>
      </c>
      <c r="D1083" s="251">
        <f t="shared" si="35"/>
        <v>0.33238941509618214</v>
      </c>
      <c r="E1083" s="251">
        <v>3.2350562458643419E-3</v>
      </c>
      <c r="G1083" s="251">
        <v>1074</v>
      </c>
      <c r="H1083" s="251">
        <f t="shared" ca="1" si="36"/>
        <v>-3.0840038486033748E-2</v>
      </c>
    </row>
    <row r="1084" spans="2:8">
      <c r="B1084" s="252">
        <v>42600</v>
      </c>
      <c r="C1084" s="251">
        <v>512.04999999999995</v>
      </c>
      <c r="D1084" s="251">
        <f t="shared" si="35"/>
        <v>0.64514056224899585</v>
      </c>
      <c r="E1084" s="251">
        <v>3.2327586206896109E-3</v>
      </c>
      <c r="G1084" s="251">
        <v>1075</v>
      </c>
      <c r="H1084" s="251">
        <f t="shared" ca="1" si="36"/>
        <v>-4.0803344062452307E-3</v>
      </c>
    </row>
    <row r="1085" spans="2:8">
      <c r="B1085" s="252">
        <v>44393</v>
      </c>
      <c r="C1085" s="251">
        <v>311.25</v>
      </c>
      <c r="D1085" s="251">
        <f t="shared" si="35"/>
        <v>-0.33649541675548927</v>
      </c>
      <c r="E1085" s="251">
        <v>3.2232070910556002E-3</v>
      </c>
      <c r="G1085" s="251">
        <v>1076</v>
      </c>
      <c r="H1085" s="251">
        <f t="shared" ca="1" si="36"/>
        <v>3.8795720455475802E-2</v>
      </c>
    </row>
    <row r="1086" spans="2:8">
      <c r="B1086" s="252">
        <v>42804</v>
      </c>
      <c r="C1086" s="251">
        <v>469.1</v>
      </c>
      <c r="D1086" s="251">
        <f t="shared" si="35"/>
        <v>0.47261026526447969</v>
      </c>
      <c r="E1086" s="251">
        <v>3.2078699743370402E-3</v>
      </c>
      <c r="G1086" s="251">
        <v>1077</v>
      </c>
      <c r="H1086" s="251">
        <f t="shared" ca="1" si="36"/>
        <v>1.9981763357575122E-2</v>
      </c>
    </row>
    <row r="1087" spans="2:8">
      <c r="B1087" s="252">
        <v>44270</v>
      </c>
      <c r="C1087" s="251">
        <v>318.55</v>
      </c>
      <c r="D1087" s="251">
        <f t="shared" si="35"/>
        <v>-0.29749696769213801</v>
      </c>
      <c r="E1087" s="251">
        <v>3.1491103763186899E-3</v>
      </c>
      <c r="G1087" s="251">
        <v>1078</v>
      </c>
      <c r="H1087" s="251">
        <f t="shared" ca="1" si="36"/>
        <v>3.0522349058600518E-2</v>
      </c>
    </row>
    <row r="1088" spans="2:8">
      <c r="B1088" s="252">
        <v>44763</v>
      </c>
      <c r="C1088" s="251">
        <v>453.45</v>
      </c>
      <c r="D1088" s="251">
        <f t="shared" si="35"/>
        <v>-0.32552431950022309</v>
      </c>
      <c r="E1088" s="251">
        <v>3.0970025439663249E-3</v>
      </c>
      <c r="G1088" s="251">
        <v>1079</v>
      </c>
      <c r="H1088" s="251">
        <f t="shared" ca="1" si="36"/>
        <v>8.7899869053681E-4</v>
      </c>
    </row>
    <row r="1089" spans="2:8">
      <c r="B1089" s="252">
        <v>45827</v>
      </c>
      <c r="C1089" s="251">
        <v>672.3</v>
      </c>
      <c r="D1089" s="251">
        <f t="shared" si="35"/>
        <v>0.46136289533746316</v>
      </c>
      <c r="E1089" s="251">
        <v>3.058560238716829E-3</v>
      </c>
      <c r="G1089" s="251">
        <v>1080</v>
      </c>
      <c r="H1089" s="251">
        <f t="shared" ca="1" si="36"/>
        <v>4.0319860862278123E-2</v>
      </c>
    </row>
    <row r="1090" spans="2:8">
      <c r="B1090" s="252">
        <v>42788</v>
      </c>
      <c r="C1090" s="251">
        <v>460.05</v>
      </c>
      <c r="D1090" s="251">
        <f t="shared" si="35"/>
        <v>-7.980798079807977E-2</v>
      </c>
      <c r="E1090" s="251">
        <v>3.0524364984193483E-3</v>
      </c>
      <c r="G1090" s="251">
        <v>1081</v>
      </c>
      <c r="H1090" s="251">
        <f t="shared" ca="1" si="36"/>
        <v>2.953396734338417E-2</v>
      </c>
    </row>
    <row r="1091" spans="2:8">
      <c r="B1091" s="252">
        <v>44609</v>
      </c>
      <c r="C1091" s="251">
        <v>499.95</v>
      </c>
      <c r="D1091" s="251">
        <f t="shared" si="35"/>
        <v>2.7337565347274082</v>
      </c>
      <c r="E1091" s="251">
        <v>3.0093289196509178E-3</v>
      </c>
      <c r="G1091" s="251">
        <v>1082</v>
      </c>
      <c r="H1091" s="251">
        <f t="shared" ca="1" si="36"/>
        <v>6.2291730325700735E-3</v>
      </c>
    </row>
    <row r="1092" spans="2:8">
      <c r="B1092" s="252">
        <v>44109</v>
      </c>
      <c r="C1092" s="251">
        <v>133.9</v>
      </c>
      <c r="D1092" s="251">
        <f t="shared" si="35"/>
        <v>-0.6843842074248675</v>
      </c>
      <c r="E1092" s="251">
        <v>2.9962546816479827E-3</v>
      </c>
      <c r="G1092" s="251">
        <v>1083</v>
      </c>
      <c r="H1092" s="251">
        <f t="shared" ca="1" si="36"/>
        <v>1.710907184231179E-2</v>
      </c>
    </row>
    <row r="1093" spans="2:8">
      <c r="B1093" s="252">
        <v>43060</v>
      </c>
      <c r="C1093" s="251">
        <v>424.25</v>
      </c>
      <c r="D1093" s="251">
        <f t="shared" si="35"/>
        <v>0.28502195971528105</v>
      </c>
      <c r="E1093" s="251">
        <v>2.9550827423167848E-3</v>
      </c>
      <c r="G1093" s="251">
        <v>1084</v>
      </c>
      <c r="H1093" s="251">
        <f t="shared" ca="1" si="36"/>
        <v>-3.8201448069164055E-2</v>
      </c>
    </row>
    <row r="1094" spans="2:8">
      <c r="B1094" s="252">
        <v>44244</v>
      </c>
      <c r="C1094" s="251">
        <v>330.15</v>
      </c>
      <c r="D1094" s="251">
        <f t="shared" si="35"/>
        <v>-3.0280090840279405E-4</v>
      </c>
      <c r="E1094" s="251">
        <v>2.8857837181044611E-3</v>
      </c>
      <c r="G1094" s="251">
        <v>1085</v>
      </c>
      <c r="H1094" s="251">
        <f t="shared" ca="1" si="36"/>
        <v>2.1547959684846522E-2</v>
      </c>
    </row>
    <row r="1095" spans="2:8">
      <c r="B1095" s="252">
        <v>44468</v>
      </c>
      <c r="C1095" s="251">
        <v>330.25</v>
      </c>
      <c r="D1095" s="251">
        <f t="shared" si="35"/>
        <v>-0.30201838740357179</v>
      </c>
      <c r="E1095" s="251">
        <v>2.8849073792893672E-3</v>
      </c>
      <c r="G1095" s="251">
        <v>1086</v>
      </c>
      <c r="H1095" s="251">
        <f t="shared" ca="1" si="36"/>
        <v>2.2687854765322292E-2</v>
      </c>
    </row>
    <row r="1096" spans="2:8">
      <c r="B1096" s="252">
        <v>42724</v>
      </c>
      <c r="C1096" s="251">
        <v>473.15</v>
      </c>
      <c r="D1096" s="251">
        <f t="shared" si="35"/>
        <v>0.12120853080568715</v>
      </c>
      <c r="E1096" s="251">
        <v>2.8613819415005634E-3</v>
      </c>
      <c r="G1096" s="251">
        <v>1087</v>
      </c>
      <c r="H1096" s="251">
        <f t="shared" ca="1" si="36"/>
        <v>1.5404519528334094E-2</v>
      </c>
    </row>
    <row r="1097" spans="2:8">
      <c r="B1097" s="252">
        <v>43091</v>
      </c>
      <c r="C1097" s="251">
        <v>422</v>
      </c>
      <c r="D1097" s="251">
        <f t="shared" si="35"/>
        <v>1.6624605678233439</v>
      </c>
      <c r="E1097" s="251">
        <v>2.8517110266159424E-3</v>
      </c>
      <c r="G1097" s="251">
        <v>1088</v>
      </c>
      <c r="H1097" s="251">
        <f t="shared" ca="1" si="36"/>
        <v>-4.331191177535712E-2</v>
      </c>
    </row>
    <row r="1098" spans="2:8">
      <c r="B1098" s="252">
        <v>43881</v>
      </c>
      <c r="C1098" s="251">
        <v>158.5</v>
      </c>
      <c r="D1098" s="251">
        <f t="shared" ref="D1098:D1161" si="37">(C1098-C1099)/C1099</f>
        <v>-0.62529550827423164</v>
      </c>
      <c r="E1098" s="251">
        <v>2.8472002530843948E-3</v>
      </c>
      <c r="G1098" s="251">
        <v>1089</v>
      </c>
      <c r="H1098" s="251">
        <f t="shared" ca="1" si="36"/>
        <v>-8.2461545966427199E-3</v>
      </c>
    </row>
    <row r="1099" spans="2:8">
      <c r="B1099" s="252">
        <v>43059</v>
      </c>
      <c r="C1099" s="251">
        <v>423</v>
      </c>
      <c r="D1099" s="251">
        <f t="shared" si="37"/>
        <v>1.9539106145251399</v>
      </c>
      <c r="E1099" s="251">
        <v>2.8449502133712388E-3</v>
      </c>
      <c r="G1099" s="251">
        <v>1090</v>
      </c>
      <c r="H1099" s="251">
        <f t="shared" ref="H1099:H1162" ca="1" si="38">_xlfn.NORM.INV(RAND(),N$12,N$13)</f>
        <v>-3.7733390454040082E-2</v>
      </c>
    </row>
    <row r="1100" spans="2:8">
      <c r="B1100" s="252">
        <v>44074</v>
      </c>
      <c r="C1100" s="251">
        <v>143.19999999999999</v>
      </c>
      <c r="D1100" s="251">
        <f t="shared" si="37"/>
        <v>-0.85864747746947401</v>
      </c>
      <c r="E1100" s="251">
        <v>2.8011204481791121E-3</v>
      </c>
      <c r="G1100" s="251">
        <v>1091</v>
      </c>
      <c r="H1100" s="251">
        <f t="shared" ca="1" si="38"/>
        <v>-3.4024117453182574E-2</v>
      </c>
    </row>
    <row r="1101" spans="2:8">
      <c r="B1101" s="252">
        <v>45418</v>
      </c>
      <c r="C1101" s="267">
        <v>1013.07</v>
      </c>
      <c r="D1101" s="251">
        <f t="shared" si="37"/>
        <v>1.1954057861090046</v>
      </c>
      <c r="E1101" s="251">
        <v>2.761610642594209E-3</v>
      </c>
      <c r="G1101" s="251">
        <v>1092</v>
      </c>
      <c r="H1101" s="251">
        <f t="shared" ca="1" si="38"/>
        <v>9.6649902910145389E-3</v>
      </c>
    </row>
    <row r="1102" spans="2:8">
      <c r="B1102" s="252">
        <v>44529</v>
      </c>
      <c r="C1102" s="251">
        <v>461.45</v>
      </c>
      <c r="D1102" s="251">
        <f t="shared" si="37"/>
        <v>0.37993421052631587</v>
      </c>
      <c r="E1102" s="251">
        <v>2.7162103433289874E-3</v>
      </c>
      <c r="G1102" s="251">
        <v>1093</v>
      </c>
      <c r="H1102" s="251">
        <f t="shared" ca="1" si="38"/>
        <v>2.1514208317438867E-2</v>
      </c>
    </row>
    <row r="1103" spans="2:8">
      <c r="B1103" s="252">
        <v>43224</v>
      </c>
      <c r="C1103" s="251">
        <v>334.4</v>
      </c>
      <c r="D1103" s="251">
        <f t="shared" si="37"/>
        <v>-0.51564310544611824</v>
      </c>
      <c r="E1103" s="251">
        <v>2.6986506746626004E-3</v>
      </c>
      <c r="G1103" s="251">
        <v>1094</v>
      </c>
      <c r="H1103" s="251">
        <f t="shared" ca="1" si="38"/>
        <v>1.1309138809151621E-2</v>
      </c>
    </row>
    <row r="1104" spans="2:8">
      <c r="B1104" s="252">
        <v>45841</v>
      </c>
      <c r="C1104" s="251">
        <v>690.4</v>
      </c>
      <c r="D1104" s="251">
        <f t="shared" si="37"/>
        <v>-0.21545454545454548</v>
      </c>
      <c r="E1104" s="251">
        <v>2.6868056059836218E-3</v>
      </c>
      <c r="G1104" s="251">
        <v>1095</v>
      </c>
      <c r="H1104" s="251">
        <f t="shared" ca="1" si="38"/>
        <v>1.24491442172091E-2</v>
      </c>
    </row>
    <row r="1105" spans="2:8">
      <c r="B1105" s="252">
        <v>45589</v>
      </c>
      <c r="C1105" s="251">
        <v>880</v>
      </c>
      <c r="D1105" s="251">
        <f t="shared" si="37"/>
        <v>3.6487057580559958</v>
      </c>
      <c r="E1105" s="251">
        <v>2.6776049678117961E-3</v>
      </c>
      <c r="G1105" s="251">
        <v>1096</v>
      </c>
      <c r="H1105" s="251">
        <f t="shared" ca="1" si="38"/>
        <v>-2.2815538635058363E-2</v>
      </c>
    </row>
    <row r="1106" spans="2:8">
      <c r="B1106" s="252">
        <v>43531</v>
      </c>
      <c r="C1106" s="251">
        <v>189.3</v>
      </c>
      <c r="D1106" s="251">
        <f t="shared" si="37"/>
        <v>-0.65575559192580468</v>
      </c>
      <c r="E1106" s="251">
        <v>2.6483050847457626E-3</v>
      </c>
      <c r="G1106" s="251">
        <v>1097</v>
      </c>
      <c r="H1106" s="251">
        <f t="shared" ca="1" si="38"/>
        <v>1.6211162482959479E-2</v>
      </c>
    </row>
    <row r="1107" spans="2:8">
      <c r="B1107" s="252">
        <v>42634</v>
      </c>
      <c r="C1107" s="251">
        <v>549.9</v>
      </c>
      <c r="D1107" s="251">
        <f t="shared" si="37"/>
        <v>0.11214480736171502</v>
      </c>
      <c r="E1107" s="251">
        <v>2.6438143859967757E-3</v>
      </c>
      <c r="G1107" s="251">
        <v>1098</v>
      </c>
      <c r="H1107" s="251">
        <f t="shared" ca="1" si="38"/>
        <v>-1.0318743816107827E-2</v>
      </c>
    </row>
    <row r="1108" spans="2:8">
      <c r="B1108" s="252">
        <v>44613</v>
      </c>
      <c r="C1108" s="251">
        <v>494.45</v>
      </c>
      <c r="D1108" s="251">
        <f t="shared" si="37"/>
        <v>8.1237699540782804E-2</v>
      </c>
      <c r="E1108" s="251">
        <v>2.6361147723816514E-3</v>
      </c>
      <c r="G1108" s="251">
        <v>1099</v>
      </c>
      <c r="H1108" s="251">
        <f t="shared" ca="1" si="38"/>
        <v>1.5898273638374351E-2</v>
      </c>
    </row>
    <row r="1109" spans="2:8">
      <c r="B1109" s="252">
        <v>42942</v>
      </c>
      <c r="C1109" s="251">
        <v>457.3</v>
      </c>
      <c r="D1109" s="251">
        <f t="shared" si="37"/>
        <v>-0.29543178491641625</v>
      </c>
      <c r="E1109" s="251">
        <v>2.6310019732514547E-3</v>
      </c>
      <c r="G1109" s="251">
        <v>1100</v>
      </c>
      <c r="H1109" s="251">
        <f t="shared" ca="1" si="38"/>
        <v>9.7297858956264832E-2</v>
      </c>
    </row>
    <row r="1110" spans="2:8">
      <c r="B1110" s="252">
        <v>45240</v>
      </c>
      <c r="C1110" s="251">
        <v>649.04999999999995</v>
      </c>
      <c r="D1110" s="251">
        <f t="shared" si="37"/>
        <v>0.46330740615488658</v>
      </c>
      <c r="E1110" s="251">
        <v>2.6260909863287736E-3</v>
      </c>
      <c r="G1110" s="251">
        <v>1101</v>
      </c>
      <c r="H1110" s="251">
        <f t="shared" ca="1" si="38"/>
        <v>3.5249812908968975E-2</v>
      </c>
    </row>
    <row r="1111" spans="2:8">
      <c r="B1111" s="252">
        <v>44712</v>
      </c>
      <c r="C1111" s="251">
        <v>443.55</v>
      </c>
      <c r="D1111" s="251">
        <f t="shared" si="37"/>
        <v>9.4239546071296379E-2</v>
      </c>
      <c r="E1111" s="251">
        <v>2.5994575045208729E-3</v>
      </c>
      <c r="G1111" s="251">
        <v>1102</v>
      </c>
      <c r="H1111" s="251">
        <f t="shared" ca="1" si="38"/>
        <v>-2.8579610027596073E-2</v>
      </c>
    </row>
    <row r="1112" spans="2:8">
      <c r="B1112" s="252">
        <v>44697</v>
      </c>
      <c r="C1112" s="251">
        <v>405.35</v>
      </c>
      <c r="D1112" s="251">
        <f t="shared" si="37"/>
        <v>-0.36577848012141501</v>
      </c>
      <c r="E1112" s="251">
        <v>2.5970813752164514E-3</v>
      </c>
      <c r="G1112" s="251">
        <v>1103</v>
      </c>
      <c r="H1112" s="251">
        <f t="shared" ca="1" si="38"/>
        <v>2.0203707623335669E-2</v>
      </c>
    </row>
    <row r="1113" spans="2:8">
      <c r="B1113" s="252">
        <v>45133</v>
      </c>
      <c r="C1113" s="251">
        <v>639.13</v>
      </c>
      <c r="D1113" s="251">
        <f t="shared" si="37"/>
        <v>1.5312079207920792</v>
      </c>
      <c r="E1113" s="251">
        <v>2.5883164962037667E-3</v>
      </c>
      <c r="G1113" s="251">
        <v>1104</v>
      </c>
      <c r="H1113" s="251">
        <f t="shared" ca="1" si="38"/>
        <v>-1.2677946516481658E-3</v>
      </c>
    </row>
    <row r="1114" spans="2:8">
      <c r="B1114" s="252">
        <v>43300</v>
      </c>
      <c r="C1114" s="251">
        <v>252.5</v>
      </c>
      <c r="D1114" s="251">
        <f t="shared" si="37"/>
        <v>-0.28682389493009464</v>
      </c>
      <c r="E1114" s="251">
        <v>2.5809013301568619E-3</v>
      </c>
      <c r="G1114" s="251">
        <v>1105</v>
      </c>
      <c r="H1114" s="251">
        <f t="shared" ca="1" si="38"/>
        <v>-3.3986099399024736E-2</v>
      </c>
    </row>
    <row r="1115" spans="2:8">
      <c r="B1115" s="252">
        <v>43173</v>
      </c>
      <c r="C1115" s="251">
        <v>354.05</v>
      </c>
      <c r="D1115" s="251">
        <f t="shared" si="37"/>
        <v>1.2225360954174513</v>
      </c>
      <c r="E1115" s="251">
        <v>2.5484921421493252E-3</v>
      </c>
      <c r="G1115" s="251">
        <v>1106</v>
      </c>
      <c r="H1115" s="251">
        <f t="shared" ca="1" si="38"/>
        <v>-3.0662766853473807E-2</v>
      </c>
    </row>
    <row r="1116" spans="2:8">
      <c r="B1116" s="252">
        <v>43640</v>
      </c>
      <c r="C1116" s="251">
        <v>159.30000000000001</v>
      </c>
      <c r="D1116" s="251">
        <f t="shared" si="37"/>
        <v>-0.11499999999999994</v>
      </c>
      <c r="E1116" s="251">
        <v>2.517306482064227E-3</v>
      </c>
      <c r="G1116" s="251">
        <v>1107</v>
      </c>
      <c r="H1116" s="251">
        <f t="shared" ca="1" si="38"/>
        <v>1.9974645234867996E-2</v>
      </c>
    </row>
    <row r="1117" spans="2:8">
      <c r="B1117" s="252">
        <v>43539</v>
      </c>
      <c r="C1117" s="251">
        <v>180</v>
      </c>
      <c r="D1117" s="251">
        <f t="shared" si="37"/>
        <v>-0.5268760678144303</v>
      </c>
      <c r="E1117" s="251">
        <v>2.5062656641603375E-3</v>
      </c>
      <c r="G1117" s="251">
        <v>1108</v>
      </c>
      <c r="H1117" s="251">
        <f t="shared" ca="1" si="38"/>
        <v>-1.2643323266842807E-3</v>
      </c>
    </row>
    <row r="1118" spans="2:8">
      <c r="B1118" s="252">
        <v>42354</v>
      </c>
      <c r="C1118" s="251">
        <v>380.45</v>
      </c>
      <c r="D1118" s="251">
        <f t="shared" si="37"/>
        <v>0.5799418604651162</v>
      </c>
      <c r="E1118" s="251">
        <v>2.503293807641604E-3</v>
      </c>
      <c r="G1118" s="251">
        <v>1109</v>
      </c>
      <c r="H1118" s="251">
        <f t="shared" ca="1" si="38"/>
        <v>-7.6186689704980451E-2</v>
      </c>
    </row>
    <row r="1119" spans="2:8">
      <c r="B1119" s="252">
        <v>43368</v>
      </c>
      <c r="C1119" s="251">
        <v>240.8</v>
      </c>
      <c r="D1119" s="251">
        <f t="shared" si="37"/>
        <v>-0.43066556330535521</v>
      </c>
      <c r="E1119" s="251">
        <v>2.4979184013323181E-3</v>
      </c>
      <c r="G1119" s="251">
        <v>1110</v>
      </c>
      <c r="H1119" s="251">
        <f t="shared" ca="1" si="38"/>
        <v>4.3335860347212207E-2</v>
      </c>
    </row>
    <row r="1120" spans="2:8">
      <c r="B1120" s="252">
        <v>43117</v>
      </c>
      <c r="C1120" s="251">
        <v>422.95</v>
      </c>
      <c r="D1120" s="251">
        <f t="shared" si="37"/>
        <v>1.328378750344068</v>
      </c>
      <c r="E1120" s="251">
        <v>2.4887414079165951E-3</v>
      </c>
      <c r="G1120" s="251">
        <v>1111</v>
      </c>
      <c r="H1120" s="251">
        <f t="shared" ca="1" si="38"/>
        <v>-3.9371421864685709E-3</v>
      </c>
    </row>
    <row r="1121" spans="2:8">
      <c r="B1121" s="252">
        <v>43497</v>
      </c>
      <c r="C1121" s="251">
        <v>181.65</v>
      </c>
      <c r="D1121" s="251">
        <f t="shared" si="37"/>
        <v>0.49876237623762376</v>
      </c>
      <c r="E1121" s="251">
        <v>2.4834437086093657E-3</v>
      </c>
      <c r="G1121" s="251">
        <v>1112</v>
      </c>
      <c r="H1121" s="251">
        <f t="shared" ca="1" si="38"/>
        <v>1.0287698480815151E-2</v>
      </c>
    </row>
    <row r="1122" spans="2:8">
      <c r="B1122" s="252">
        <v>44067</v>
      </c>
      <c r="C1122" s="251">
        <v>121.2</v>
      </c>
      <c r="D1122" s="251">
        <f t="shared" si="37"/>
        <v>-0.86793357451074393</v>
      </c>
      <c r="E1122" s="251">
        <v>2.4813895781637483E-3</v>
      </c>
      <c r="G1122" s="251">
        <v>1113</v>
      </c>
      <c r="H1122" s="251">
        <f t="shared" ca="1" si="38"/>
        <v>1.0560425005487135E-2</v>
      </c>
    </row>
    <row r="1123" spans="2:8">
      <c r="B1123" s="252">
        <v>45337</v>
      </c>
      <c r="C1123" s="251">
        <v>917.72</v>
      </c>
      <c r="D1123" s="251">
        <f t="shared" si="37"/>
        <v>1.1248437138226444</v>
      </c>
      <c r="E1123" s="251">
        <v>2.457753940598818E-3</v>
      </c>
      <c r="G1123" s="251">
        <v>1114</v>
      </c>
      <c r="H1123" s="251">
        <f t="shared" ca="1" si="38"/>
        <v>-1.9897429874633721E-2</v>
      </c>
    </row>
    <row r="1124" spans="2:8">
      <c r="B1124" s="252">
        <v>42870</v>
      </c>
      <c r="C1124" s="251">
        <v>431.9</v>
      </c>
      <c r="D1124" s="251">
        <f t="shared" si="37"/>
        <v>1.618369202788724</v>
      </c>
      <c r="E1124" s="251">
        <v>2.4370430544271892E-3</v>
      </c>
      <c r="G1124" s="251">
        <v>1115</v>
      </c>
      <c r="H1124" s="251">
        <f t="shared" ca="1" si="38"/>
        <v>1.0677107276255149E-2</v>
      </c>
    </row>
    <row r="1125" spans="2:8">
      <c r="B1125" s="252">
        <v>44187</v>
      </c>
      <c r="C1125" s="251">
        <v>164.95</v>
      </c>
      <c r="D1125" s="251">
        <f t="shared" si="37"/>
        <v>-0.83643863598052526</v>
      </c>
      <c r="E1125" s="251">
        <v>2.4308720753568958E-3</v>
      </c>
      <c r="G1125" s="251">
        <v>1116</v>
      </c>
      <c r="H1125" s="251">
        <f t="shared" ca="1" si="38"/>
        <v>6.5485472951550081E-3</v>
      </c>
    </row>
    <row r="1126" spans="2:8">
      <c r="B1126" s="252">
        <v>45386</v>
      </c>
      <c r="C1126" s="267">
        <v>1008.49</v>
      </c>
      <c r="D1126" s="251">
        <f t="shared" si="37"/>
        <v>1.6864411294619075</v>
      </c>
      <c r="E1126" s="251">
        <v>2.4253267730232641E-3</v>
      </c>
      <c r="G1126" s="251">
        <v>1117</v>
      </c>
      <c r="H1126" s="251">
        <f t="shared" ca="1" si="38"/>
        <v>-4.1884056834075589E-3</v>
      </c>
    </row>
    <row r="1127" spans="2:8">
      <c r="B1127" s="252">
        <v>42961</v>
      </c>
      <c r="C1127" s="251">
        <v>375.4</v>
      </c>
      <c r="D1127" s="251">
        <f t="shared" si="37"/>
        <v>-0.33914268110201568</v>
      </c>
      <c r="E1127" s="251">
        <v>2.4032042723630903E-3</v>
      </c>
      <c r="G1127" s="251">
        <v>1118</v>
      </c>
      <c r="H1127" s="251">
        <f t="shared" ca="1" si="38"/>
        <v>6.9750333241177008E-3</v>
      </c>
    </row>
    <row r="1128" spans="2:8">
      <c r="B1128" s="252">
        <v>45093</v>
      </c>
      <c r="C1128" s="251">
        <v>568.04999999999995</v>
      </c>
      <c r="D1128" s="251">
        <f t="shared" si="37"/>
        <v>-0.38965294939293016</v>
      </c>
      <c r="E1128" s="251">
        <v>2.3822128110109562E-3</v>
      </c>
      <c r="G1128" s="251">
        <v>1119</v>
      </c>
      <c r="H1128" s="251">
        <f t="shared" ca="1" si="38"/>
        <v>2.3166602138940767E-2</v>
      </c>
    </row>
    <row r="1129" spans="2:8">
      <c r="B1129" s="252">
        <v>45576</v>
      </c>
      <c r="C1129" s="251">
        <v>930.7</v>
      </c>
      <c r="D1129" s="251">
        <f t="shared" si="37"/>
        <v>1.0933423301844354</v>
      </c>
      <c r="E1129" s="251">
        <v>2.3694130317717236E-3</v>
      </c>
      <c r="G1129" s="251">
        <v>1120</v>
      </c>
      <c r="H1129" s="251">
        <f t="shared" ca="1" si="38"/>
        <v>1.4464373347330413E-3</v>
      </c>
    </row>
    <row r="1130" spans="2:8">
      <c r="B1130" s="252">
        <v>44713</v>
      </c>
      <c r="C1130" s="251">
        <v>444.6</v>
      </c>
      <c r="D1130" s="251">
        <f t="shared" si="37"/>
        <v>-4.8902579899884391E-2</v>
      </c>
      <c r="E1130" s="251">
        <v>2.3672641190395929E-3</v>
      </c>
      <c r="G1130" s="251">
        <v>1121</v>
      </c>
      <c r="H1130" s="251">
        <f t="shared" ca="1" si="38"/>
        <v>4.9107795465511944E-2</v>
      </c>
    </row>
    <row r="1131" spans="2:8">
      <c r="B1131" s="252">
        <v>44777</v>
      </c>
      <c r="C1131" s="251">
        <v>467.46</v>
      </c>
      <c r="D1131" s="251">
        <f t="shared" si="37"/>
        <v>-4.557069846678116E-3</v>
      </c>
      <c r="E1131" s="251">
        <v>2.3586928553048416E-3</v>
      </c>
      <c r="G1131" s="251">
        <v>1122</v>
      </c>
      <c r="H1131" s="251">
        <f t="shared" ca="1" si="38"/>
        <v>-2.6250053108250068E-2</v>
      </c>
    </row>
    <row r="1132" spans="2:8">
      <c r="B1132" s="252">
        <v>42726</v>
      </c>
      <c r="C1132" s="251">
        <v>469.6</v>
      </c>
      <c r="D1132" s="251">
        <f t="shared" si="37"/>
        <v>-5.0847457627118163E-3</v>
      </c>
      <c r="E1132" s="251">
        <v>2.3479188900747548E-3</v>
      </c>
      <c r="G1132" s="251">
        <v>1123</v>
      </c>
      <c r="H1132" s="251">
        <f t="shared" ca="1" si="38"/>
        <v>5.397502807251519E-2</v>
      </c>
    </row>
    <row r="1133" spans="2:8">
      <c r="B1133" s="252">
        <v>42734</v>
      </c>
      <c r="C1133" s="251">
        <v>472</v>
      </c>
      <c r="D1133" s="251">
        <f t="shared" si="37"/>
        <v>8.8309891630159121E-2</v>
      </c>
      <c r="E1133" s="251">
        <v>2.3359524315141704E-3</v>
      </c>
      <c r="G1133" s="251">
        <v>1124</v>
      </c>
      <c r="H1133" s="251">
        <f t="shared" ca="1" si="38"/>
        <v>-1.4677582844969611E-2</v>
      </c>
    </row>
    <row r="1134" spans="2:8">
      <c r="B1134" s="252">
        <v>44649</v>
      </c>
      <c r="C1134" s="251">
        <v>433.7</v>
      </c>
      <c r="D1134" s="251">
        <f t="shared" si="37"/>
        <v>0.24447632711621231</v>
      </c>
      <c r="E1134" s="251">
        <v>2.3110700254217703E-3</v>
      </c>
      <c r="G1134" s="251">
        <v>1125</v>
      </c>
      <c r="H1134" s="251">
        <f t="shared" ca="1" si="38"/>
        <v>3.5520512788651858E-3</v>
      </c>
    </row>
    <row r="1135" spans="2:8">
      <c r="B1135" s="252">
        <v>42439</v>
      </c>
      <c r="C1135" s="251">
        <v>348.5</v>
      </c>
      <c r="D1135" s="251">
        <f t="shared" si="37"/>
        <v>-0.26659371185655961</v>
      </c>
      <c r="E1135" s="251">
        <v>2.3008340523440075E-3</v>
      </c>
      <c r="G1135" s="251">
        <v>1126</v>
      </c>
      <c r="H1135" s="251">
        <f t="shared" ca="1" si="38"/>
        <v>-5.1201339748202686E-4</v>
      </c>
    </row>
    <row r="1136" spans="2:8">
      <c r="B1136" s="252">
        <v>44784</v>
      </c>
      <c r="C1136" s="251">
        <v>475.18</v>
      </c>
      <c r="D1136" s="251">
        <f t="shared" si="37"/>
        <v>0.28167228590694537</v>
      </c>
      <c r="E1136" s="251">
        <v>2.2991415132148575E-3</v>
      </c>
      <c r="G1136" s="251">
        <v>1127</v>
      </c>
      <c r="H1136" s="251">
        <f t="shared" ca="1" si="38"/>
        <v>2.4188200322356912E-2</v>
      </c>
    </row>
    <row r="1137" spans="2:8">
      <c r="B1137" s="252">
        <v>43160</v>
      </c>
      <c r="C1137" s="251">
        <v>370.75</v>
      </c>
      <c r="D1137" s="251">
        <f t="shared" si="37"/>
        <v>-0.19129676082451738</v>
      </c>
      <c r="E1137" s="251">
        <v>2.2979183563125783E-3</v>
      </c>
      <c r="G1137" s="251">
        <v>1128</v>
      </c>
      <c r="H1137" s="251">
        <f t="shared" ca="1" si="38"/>
        <v>4.7296142347296323E-4</v>
      </c>
    </row>
    <row r="1138" spans="2:8">
      <c r="B1138" s="252">
        <v>42690</v>
      </c>
      <c r="C1138" s="251">
        <v>458.45</v>
      </c>
      <c r="D1138" s="251">
        <f t="shared" si="37"/>
        <v>0.47767929089443995</v>
      </c>
      <c r="E1138" s="251">
        <v>2.2955837341495657E-3</v>
      </c>
      <c r="G1138" s="251">
        <v>1129</v>
      </c>
      <c r="H1138" s="251">
        <f t="shared" ca="1" si="38"/>
        <v>2.33880787495322E-2</v>
      </c>
    </row>
    <row r="1139" spans="2:8">
      <c r="B1139" s="252">
        <v>44392</v>
      </c>
      <c r="C1139" s="251">
        <v>310.25</v>
      </c>
      <c r="D1139" s="251">
        <f t="shared" si="37"/>
        <v>-7.4295091749962641E-2</v>
      </c>
      <c r="E1139" s="251">
        <v>2.2613471167823892E-3</v>
      </c>
      <c r="G1139" s="251">
        <v>1130</v>
      </c>
      <c r="H1139" s="251">
        <f t="shared" ca="1" si="38"/>
        <v>1.0620654630743062E-2</v>
      </c>
    </row>
    <row r="1140" spans="2:8">
      <c r="B1140" s="252">
        <v>43227</v>
      </c>
      <c r="C1140" s="251">
        <v>335.15</v>
      </c>
      <c r="D1140" s="251">
        <f t="shared" si="37"/>
        <v>6.2113769608619758E-2</v>
      </c>
      <c r="E1140" s="251">
        <v>2.242822966507177E-3</v>
      </c>
      <c r="G1140" s="251">
        <v>1131</v>
      </c>
      <c r="H1140" s="251">
        <f t="shared" ca="1" si="38"/>
        <v>4.1330133470106598E-2</v>
      </c>
    </row>
    <row r="1141" spans="2:8">
      <c r="B1141" s="252">
        <v>44327</v>
      </c>
      <c r="C1141" s="251">
        <v>315.55</v>
      </c>
      <c r="D1141" s="251">
        <f t="shared" si="37"/>
        <v>-0.26053945117521621</v>
      </c>
      <c r="E1141" s="251">
        <v>2.2232809274257219E-3</v>
      </c>
      <c r="G1141" s="251">
        <v>1132</v>
      </c>
      <c r="H1141" s="251">
        <f t="shared" ca="1" si="38"/>
        <v>1.9583182101339948E-2</v>
      </c>
    </row>
    <row r="1142" spans="2:8">
      <c r="B1142" s="252">
        <v>44756</v>
      </c>
      <c r="C1142" s="251">
        <v>426.73</v>
      </c>
      <c r="D1142" s="251">
        <f t="shared" si="37"/>
        <v>0.44531752751905174</v>
      </c>
      <c r="E1142" s="251">
        <v>2.2076610535710036E-3</v>
      </c>
      <c r="G1142" s="251">
        <v>1133</v>
      </c>
      <c r="H1142" s="251">
        <f t="shared" ca="1" si="38"/>
        <v>1.6738458660699716E-3</v>
      </c>
    </row>
    <row r="1143" spans="2:8">
      <c r="B1143" s="252">
        <v>44447</v>
      </c>
      <c r="C1143" s="251">
        <v>295.25</v>
      </c>
      <c r="D1143" s="251">
        <f t="shared" si="37"/>
        <v>-6.0595859282949376E-3</v>
      </c>
      <c r="E1143" s="251">
        <v>2.2063815342836975E-3</v>
      </c>
      <c r="G1143" s="251">
        <v>1134</v>
      </c>
      <c r="H1143" s="251">
        <f t="shared" ca="1" si="38"/>
        <v>2.282147428139937E-2</v>
      </c>
    </row>
    <row r="1144" spans="2:8">
      <c r="B1144" s="252">
        <v>44285</v>
      </c>
      <c r="C1144" s="251">
        <v>297.05</v>
      </c>
      <c r="D1144" s="251">
        <f t="shared" si="37"/>
        <v>0.61308715720879714</v>
      </c>
      <c r="E1144" s="251">
        <v>2.1929824561404661E-3</v>
      </c>
      <c r="G1144" s="251">
        <v>1135</v>
      </c>
      <c r="H1144" s="251">
        <f t="shared" ca="1" si="38"/>
        <v>1.4979324933354448E-2</v>
      </c>
    </row>
    <row r="1145" spans="2:8">
      <c r="B1145" s="252">
        <v>43425</v>
      </c>
      <c r="C1145" s="251">
        <v>184.15</v>
      </c>
      <c r="D1145" s="251">
        <f t="shared" si="37"/>
        <v>-0.63945178658835056</v>
      </c>
      <c r="E1145" s="251">
        <v>2.1768707482993505E-3</v>
      </c>
      <c r="G1145" s="251">
        <v>1136</v>
      </c>
      <c r="H1145" s="251">
        <f t="shared" ca="1" si="38"/>
        <v>-4.5327867916520957E-2</v>
      </c>
    </row>
    <row r="1146" spans="2:8">
      <c r="B1146" s="252">
        <v>44510</v>
      </c>
      <c r="C1146" s="251">
        <v>510.75</v>
      </c>
      <c r="D1146" s="251">
        <f t="shared" si="37"/>
        <v>0.68286655683690278</v>
      </c>
      <c r="E1146" s="251">
        <v>2.1583439615422795E-3</v>
      </c>
      <c r="G1146" s="251">
        <v>1137</v>
      </c>
      <c r="H1146" s="251">
        <f t="shared" ca="1" si="38"/>
        <v>4.6697557077214971E-3</v>
      </c>
    </row>
    <row r="1147" spans="2:8">
      <c r="B1147" s="252">
        <v>44301</v>
      </c>
      <c r="C1147" s="251">
        <v>303.5</v>
      </c>
      <c r="D1147" s="251">
        <f t="shared" si="37"/>
        <v>-0.35031574440757784</v>
      </c>
      <c r="E1147" s="251">
        <v>2.146277034835652E-3</v>
      </c>
      <c r="G1147" s="251">
        <v>1138</v>
      </c>
      <c r="H1147" s="251">
        <f t="shared" ca="1" si="38"/>
        <v>2.1762195036127568E-2</v>
      </c>
    </row>
    <row r="1148" spans="2:8">
      <c r="B1148" s="252">
        <v>42530</v>
      </c>
      <c r="C1148" s="251">
        <v>467.15</v>
      </c>
      <c r="D1148" s="251">
        <f t="shared" si="37"/>
        <v>-0.41235297817472805</v>
      </c>
      <c r="E1148" s="251">
        <v>2.1452322213879652E-3</v>
      </c>
      <c r="G1148" s="251">
        <v>1139</v>
      </c>
      <c r="H1148" s="251">
        <f t="shared" ca="1" si="38"/>
        <v>4.7995740088644975E-2</v>
      </c>
    </row>
    <row r="1149" spans="2:8">
      <c r="B1149" s="252">
        <v>45665</v>
      </c>
      <c r="C1149" s="251">
        <v>794.95</v>
      </c>
      <c r="D1149" s="251">
        <f t="shared" si="37"/>
        <v>0.10724980848248485</v>
      </c>
      <c r="E1149" s="251">
        <v>2.14308225653961E-3</v>
      </c>
      <c r="G1149" s="251">
        <v>1140</v>
      </c>
      <c r="H1149" s="251">
        <f t="shared" ca="1" si="38"/>
        <v>2.1552636650846283E-2</v>
      </c>
    </row>
    <row r="1150" spans="2:8">
      <c r="B1150" s="252">
        <v>45805</v>
      </c>
      <c r="C1150" s="251">
        <v>717.95</v>
      </c>
      <c r="D1150" s="251">
        <f t="shared" si="37"/>
        <v>0.49541762132888983</v>
      </c>
      <c r="E1150" s="251">
        <v>2.0936562216484051E-3</v>
      </c>
      <c r="G1150" s="251">
        <v>1141</v>
      </c>
      <c r="H1150" s="251">
        <f t="shared" ca="1" si="38"/>
        <v>3.1210209981338759E-2</v>
      </c>
    </row>
    <row r="1151" spans="2:8">
      <c r="B1151" s="252">
        <v>44533</v>
      </c>
      <c r="C1151" s="251">
        <v>480.1</v>
      </c>
      <c r="D1151" s="251">
        <f t="shared" si="37"/>
        <v>0.10826408125577108</v>
      </c>
      <c r="E1151" s="251">
        <v>2.0872469213107912E-3</v>
      </c>
      <c r="G1151" s="251">
        <v>1142</v>
      </c>
      <c r="H1151" s="251">
        <f t="shared" ca="1" si="38"/>
        <v>3.9776214893300015E-2</v>
      </c>
    </row>
    <row r="1152" spans="2:8">
      <c r="B1152" s="252">
        <v>43026</v>
      </c>
      <c r="C1152" s="251">
        <v>433.2</v>
      </c>
      <c r="D1152" s="251">
        <f t="shared" si="37"/>
        <v>4.9215268358845168E-2</v>
      </c>
      <c r="E1152" s="251">
        <v>2.0818875780707316E-3</v>
      </c>
      <c r="G1152" s="251">
        <v>1143</v>
      </c>
      <c r="H1152" s="251">
        <f t="shared" ca="1" si="38"/>
        <v>2.0614475477603051E-2</v>
      </c>
    </row>
    <row r="1153" spans="2:8">
      <c r="B1153" s="252">
        <v>44907</v>
      </c>
      <c r="C1153" s="251">
        <v>412.88</v>
      </c>
      <c r="D1153" s="251">
        <f t="shared" si="37"/>
        <v>1.1146222791293214</v>
      </c>
      <c r="E1153" s="251">
        <v>2.0629565808315481E-3</v>
      </c>
      <c r="G1153" s="251">
        <v>1144</v>
      </c>
      <c r="H1153" s="251">
        <f t="shared" ca="1" si="38"/>
        <v>-2.3483107213070641E-2</v>
      </c>
    </row>
    <row r="1154" spans="2:8">
      <c r="B1154" s="252">
        <v>43413</v>
      </c>
      <c r="C1154" s="251">
        <v>195.25</v>
      </c>
      <c r="D1154" s="251">
        <f t="shared" si="37"/>
        <v>-0.38764309236318023</v>
      </c>
      <c r="E1154" s="251">
        <v>2.0528611752630519E-3</v>
      </c>
      <c r="G1154" s="251">
        <v>1145</v>
      </c>
      <c r="H1154" s="251">
        <f t="shared" ca="1" si="38"/>
        <v>-2.9746015803713485E-3</v>
      </c>
    </row>
    <row r="1155" spans="2:8">
      <c r="B1155" s="252">
        <v>42422</v>
      </c>
      <c r="C1155" s="251">
        <v>318.85000000000002</v>
      </c>
      <c r="D1155" s="251">
        <f t="shared" si="37"/>
        <v>-0.28178848969478537</v>
      </c>
      <c r="E1155" s="251">
        <v>2.0427404148335455E-3</v>
      </c>
      <c r="G1155" s="251">
        <v>1146</v>
      </c>
      <c r="H1155" s="251">
        <f t="shared" ca="1" si="38"/>
        <v>1.5353448590847731E-2</v>
      </c>
    </row>
    <row r="1156" spans="2:8">
      <c r="B1156" s="252">
        <v>42845</v>
      </c>
      <c r="C1156" s="251">
        <v>443.95</v>
      </c>
      <c r="D1156" s="251">
        <f t="shared" si="37"/>
        <v>1.4739481749791028</v>
      </c>
      <c r="E1156" s="251">
        <v>2.031373434149593E-3</v>
      </c>
      <c r="G1156" s="251">
        <v>1147</v>
      </c>
      <c r="H1156" s="251">
        <f t="shared" ca="1" si="38"/>
        <v>5.8427609514449946E-3</v>
      </c>
    </row>
    <row r="1157" spans="2:8">
      <c r="B1157" s="252">
        <v>43405</v>
      </c>
      <c r="C1157" s="251">
        <v>179.45</v>
      </c>
      <c r="D1157" s="251">
        <f t="shared" si="37"/>
        <v>-0.41812581063553828</v>
      </c>
      <c r="E1157" s="251">
        <v>1.9542155220546864E-3</v>
      </c>
      <c r="G1157" s="251">
        <v>1148</v>
      </c>
      <c r="H1157" s="251">
        <f t="shared" ca="1" si="38"/>
        <v>2.6303758368239954E-3</v>
      </c>
    </row>
    <row r="1158" spans="2:8">
      <c r="B1158" s="252">
        <v>43264</v>
      </c>
      <c r="C1158" s="251">
        <v>308.39999999999998</v>
      </c>
      <c r="D1158" s="251">
        <f t="shared" si="37"/>
        <v>-0.26719733871925871</v>
      </c>
      <c r="E1158" s="251">
        <v>1.9493177387913121E-3</v>
      </c>
      <c r="G1158" s="251">
        <v>1149</v>
      </c>
      <c r="H1158" s="251">
        <f t="shared" ca="1" si="38"/>
        <v>-4.4754434461582206E-2</v>
      </c>
    </row>
    <row r="1159" spans="2:8">
      <c r="B1159" s="252">
        <v>44867</v>
      </c>
      <c r="C1159" s="251">
        <v>420.85</v>
      </c>
      <c r="D1159" s="251">
        <f t="shared" si="37"/>
        <v>-0.11600991430011755</v>
      </c>
      <c r="E1159" s="251">
        <v>1.9045351743840289E-3</v>
      </c>
      <c r="G1159" s="251">
        <v>1150</v>
      </c>
      <c r="H1159" s="251">
        <f t="shared" ca="1" si="38"/>
        <v>-1.6289812083979168E-2</v>
      </c>
    </row>
    <row r="1160" spans="2:8">
      <c r="B1160" s="252">
        <v>44785</v>
      </c>
      <c r="C1160" s="251">
        <v>476.08</v>
      </c>
      <c r="D1160" s="251">
        <f t="shared" si="37"/>
        <v>5.6781354051054347E-2</v>
      </c>
      <c r="E1160" s="251">
        <v>1.8940191085482917E-3</v>
      </c>
      <c r="G1160" s="251">
        <v>1151</v>
      </c>
      <c r="H1160" s="251">
        <f t="shared" ca="1" si="38"/>
        <v>2.5614831825594871E-2</v>
      </c>
    </row>
    <row r="1161" spans="2:8">
      <c r="B1161" s="252">
        <v>42878</v>
      </c>
      <c r="C1161" s="251">
        <v>450.5</v>
      </c>
      <c r="D1161" s="251">
        <f t="shared" si="37"/>
        <v>0.3061757031023486</v>
      </c>
      <c r="E1161" s="251">
        <v>1.8903591682420165E-3</v>
      </c>
      <c r="G1161" s="251">
        <v>1152</v>
      </c>
      <c r="H1161" s="251">
        <f t="shared" ca="1" si="38"/>
        <v>3.1472415937474359E-2</v>
      </c>
    </row>
    <row r="1162" spans="2:8">
      <c r="B1162" s="252">
        <v>44379</v>
      </c>
      <c r="C1162" s="251">
        <v>344.9</v>
      </c>
      <c r="D1162" s="251">
        <f t="shared" ref="D1162:D1225" si="39">(C1162-C1163)/C1163</f>
        <v>-0.30372463914403963</v>
      </c>
      <c r="E1162" s="251">
        <v>1.8881626724763319E-3</v>
      </c>
      <c r="G1162" s="251">
        <v>1153</v>
      </c>
      <c r="H1162" s="251">
        <f t="shared" ca="1" si="38"/>
        <v>4.1891298396447126E-2</v>
      </c>
    </row>
    <row r="1163" spans="2:8">
      <c r="B1163" s="252">
        <v>44543</v>
      </c>
      <c r="C1163" s="251">
        <v>495.35</v>
      </c>
      <c r="D1163" s="251">
        <f t="shared" si="39"/>
        <v>5.0471848160322366E-2</v>
      </c>
      <c r="E1163" s="251">
        <v>1.8202042673678513E-3</v>
      </c>
      <c r="G1163" s="251">
        <v>1154</v>
      </c>
      <c r="H1163" s="251">
        <f t="shared" ref="H1163:H1226" ca="1" si="40">_xlfn.NORM.INV(RAND(),N$12,N$13)</f>
        <v>-1.1618630547767871E-2</v>
      </c>
    </row>
    <row r="1164" spans="2:8">
      <c r="B1164" s="252">
        <v>45034</v>
      </c>
      <c r="C1164" s="251">
        <v>471.55</v>
      </c>
      <c r="D1164" s="251">
        <f t="shared" si="39"/>
        <v>0.54303010471204183</v>
      </c>
      <c r="E1164" s="251">
        <v>1.8058211174846457E-3</v>
      </c>
      <c r="G1164" s="251">
        <v>1155</v>
      </c>
      <c r="H1164" s="251">
        <f t="shared" ca="1" si="40"/>
        <v>-1.8341215060086547E-3</v>
      </c>
    </row>
    <row r="1165" spans="2:8">
      <c r="B1165" s="252">
        <v>43271</v>
      </c>
      <c r="C1165" s="251">
        <v>305.60000000000002</v>
      </c>
      <c r="D1165" s="251">
        <f t="shared" si="39"/>
        <v>-0.61131955484896661</v>
      </c>
      <c r="E1165" s="251">
        <v>1.8029831175217549E-3</v>
      </c>
      <c r="G1165" s="251">
        <v>1156</v>
      </c>
      <c r="H1165" s="251">
        <f t="shared" ca="1" si="40"/>
        <v>-1.4667710450318063E-2</v>
      </c>
    </row>
    <row r="1166" spans="2:8">
      <c r="B1166" s="252">
        <v>45609</v>
      </c>
      <c r="C1166" s="251">
        <v>786.25</v>
      </c>
      <c r="D1166" s="251">
        <f t="shared" si="39"/>
        <v>0.27247568337406336</v>
      </c>
      <c r="E1166" s="251">
        <v>1.7837803401923645E-3</v>
      </c>
      <c r="G1166" s="251">
        <v>1157</v>
      </c>
      <c r="H1166" s="251">
        <f t="shared" ca="1" si="40"/>
        <v>1.3721758337281077E-2</v>
      </c>
    </row>
    <row r="1167" spans="2:8">
      <c r="B1167" s="252">
        <v>45195</v>
      </c>
      <c r="C1167" s="251">
        <v>617.89</v>
      </c>
      <c r="D1167" s="251">
        <f t="shared" si="39"/>
        <v>0.45180921052631567</v>
      </c>
      <c r="E1167" s="251">
        <v>1.7671854734112062E-3</v>
      </c>
      <c r="G1167" s="251">
        <v>1158</v>
      </c>
      <c r="H1167" s="251">
        <f t="shared" ca="1" si="40"/>
        <v>3.9790001052904242E-2</v>
      </c>
    </row>
    <row r="1168" spans="2:8">
      <c r="B1168" s="252">
        <v>43017</v>
      </c>
      <c r="C1168" s="251">
        <v>425.6</v>
      </c>
      <c r="D1168" s="251">
        <f t="shared" si="39"/>
        <v>4.8792508624938419E-2</v>
      </c>
      <c r="E1168" s="251">
        <v>1.7653289396257501E-3</v>
      </c>
      <c r="G1168" s="251">
        <v>1159</v>
      </c>
      <c r="H1168" s="251">
        <f t="shared" ca="1" si="40"/>
        <v>2.0350745977061598E-2</v>
      </c>
    </row>
    <row r="1169" spans="2:8">
      <c r="B1169" s="252">
        <v>43087</v>
      </c>
      <c r="C1169" s="251">
        <v>405.8</v>
      </c>
      <c r="D1169" s="251">
        <f t="shared" si="39"/>
        <v>-2.8258999877134225E-3</v>
      </c>
      <c r="E1169" s="251">
        <v>1.7279684028634623E-3</v>
      </c>
      <c r="G1169" s="251">
        <v>1160</v>
      </c>
      <c r="H1169" s="251">
        <f t="shared" ca="1" si="40"/>
        <v>2.0718096790509049E-2</v>
      </c>
    </row>
    <row r="1170" spans="2:8">
      <c r="B1170" s="252">
        <v>42327</v>
      </c>
      <c r="C1170" s="251">
        <v>406.95</v>
      </c>
      <c r="D1170" s="251">
        <f t="shared" si="39"/>
        <v>1.3155049786628734</v>
      </c>
      <c r="E1170" s="251">
        <v>1.7230769230768951E-3</v>
      </c>
      <c r="G1170" s="251">
        <v>1161</v>
      </c>
      <c r="H1170" s="251">
        <f t="shared" ca="1" si="40"/>
        <v>1.1474428078278963E-2</v>
      </c>
    </row>
    <row r="1171" spans="2:8">
      <c r="B1171" s="252">
        <v>43438</v>
      </c>
      <c r="C1171" s="251">
        <v>175.75</v>
      </c>
      <c r="D1171" s="251">
        <f t="shared" si="39"/>
        <v>-0.71641333462419721</v>
      </c>
      <c r="E1171" s="251">
        <v>1.7098888572243452E-3</v>
      </c>
      <c r="G1171" s="251">
        <v>1162</v>
      </c>
      <c r="H1171" s="251">
        <f t="shared" ca="1" si="40"/>
        <v>4.8866193651385594E-2</v>
      </c>
    </row>
    <row r="1172" spans="2:8">
      <c r="B1172" s="252">
        <v>45127</v>
      </c>
      <c r="C1172" s="251">
        <v>619.74</v>
      </c>
      <c r="D1172" s="251">
        <f t="shared" si="39"/>
        <v>3.1902636916835703</v>
      </c>
      <c r="E1172" s="251">
        <v>1.697134267565266E-3</v>
      </c>
      <c r="G1172" s="251">
        <v>1163</v>
      </c>
      <c r="H1172" s="251">
        <f t="shared" ca="1" si="40"/>
        <v>2.7271586360908769E-2</v>
      </c>
    </row>
    <row r="1173" spans="2:8">
      <c r="B1173" s="252">
        <v>44092</v>
      </c>
      <c r="C1173" s="251">
        <v>147.9</v>
      </c>
      <c r="D1173" s="251">
        <f t="shared" si="39"/>
        <v>-0.78232393847965276</v>
      </c>
      <c r="E1173" s="251">
        <v>1.6931933626820183E-3</v>
      </c>
      <c r="G1173" s="251">
        <v>1164</v>
      </c>
      <c r="H1173" s="251">
        <f t="shared" ca="1" si="40"/>
        <v>1.6965634863300324E-2</v>
      </c>
    </row>
    <row r="1174" spans="2:8">
      <c r="B1174" s="252">
        <v>45247</v>
      </c>
      <c r="C1174" s="251">
        <v>679.45</v>
      </c>
      <c r="D1174" s="251">
        <f t="shared" si="39"/>
        <v>3.4937169312169316</v>
      </c>
      <c r="E1174" s="251">
        <v>1.6806474915600539E-3</v>
      </c>
      <c r="G1174" s="251">
        <v>1165</v>
      </c>
      <c r="H1174" s="251">
        <f t="shared" ca="1" si="40"/>
        <v>-4.256987601808504E-2</v>
      </c>
    </row>
    <row r="1175" spans="2:8">
      <c r="B1175" s="252">
        <v>44147</v>
      </c>
      <c r="C1175" s="251">
        <v>151.19999999999999</v>
      </c>
      <c r="D1175" s="251">
        <f t="shared" si="39"/>
        <v>-0.84707191261252146</v>
      </c>
      <c r="E1175" s="251">
        <v>1.6561775422325275E-3</v>
      </c>
      <c r="G1175" s="251">
        <v>1166</v>
      </c>
      <c r="H1175" s="251">
        <f t="shared" ca="1" si="40"/>
        <v>-1.5930205827169249E-2</v>
      </c>
    </row>
    <row r="1176" spans="2:8">
      <c r="B1176" s="252">
        <v>45455</v>
      </c>
      <c r="C1176" s="251">
        <v>988.7</v>
      </c>
      <c r="D1176" s="251">
        <f t="shared" si="39"/>
        <v>0.43706395348837218</v>
      </c>
      <c r="E1176" s="251">
        <v>1.6209097355891224E-3</v>
      </c>
      <c r="G1176" s="251">
        <v>1167</v>
      </c>
      <c r="H1176" s="251">
        <f t="shared" ca="1" si="40"/>
        <v>-2.1287230986433217E-2</v>
      </c>
    </row>
    <row r="1177" spans="2:8">
      <c r="B1177" s="252">
        <v>45838</v>
      </c>
      <c r="C1177" s="251">
        <v>688</v>
      </c>
      <c r="D1177" s="251">
        <f t="shared" si="39"/>
        <v>0.94818065977629917</v>
      </c>
      <c r="E1177" s="251">
        <v>1.6013975833454983E-3</v>
      </c>
      <c r="G1177" s="251">
        <v>1168</v>
      </c>
      <c r="H1177" s="251">
        <f t="shared" ca="1" si="40"/>
        <v>1.4871848101576263E-2</v>
      </c>
    </row>
    <row r="1178" spans="2:8">
      <c r="B1178" s="252">
        <v>43172</v>
      </c>
      <c r="C1178" s="251">
        <v>353.15</v>
      </c>
      <c r="D1178" s="251">
        <f t="shared" si="39"/>
        <v>0.36747337850919642</v>
      </c>
      <c r="E1178" s="251">
        <v>1.5598411798070178E-3</v>
      </c>
      <c r="G1178" s="251">
        <v>1169</v>
      </c>
      <c r="H1178" s="251">
        <f t="shared" ca="1" si="40"/>
        <v>1.6784869907414724E-2</v>
      </c>
    </row>
    <row r="1179" spans="2:8">
      <c r="B1179" s="252">
        <v>43307</v>
      </c>
      <c r="C1179" s="251">
        <v>258.25</v>
      </c>
      <c r="D1179" s="251">
        <f t="shared" si="39"/>
        <v>-0.38875739644970414</v>
      </c>
      <c r="E1179" s="251">
        <v>1.5512895094046044E-3</v>
      </c>
      <c r="G1179" s="251">
        <v>1170</v>
      </c>
      <c r="H1179" s="251">
        <f t="shared" ca="1" si="40"/>
        <v>-2.6181098410231949E-2</v>
      </c>
    </row>
    <row r="1180" spans="2:8">
      <c r="B1180" s="252">
        <v>44883</v>
      </c>
      <c r="C1180" s="251">
        <v>422.5</v>
      </c>
      <c r="D1180" s="251">
        <f t="shared" si="39"/>
        <v>-0.35456767491597924</v>
      </c>
      <c r="E1180" s="251">
        <v>1.5408320493065716E-3</v>
      </c>
      <c r="G1180" s="251">
        <v>1171</v>
      </c>
      <c r="H1180" s="251">
        <f t="shared" ca="1" si="40"/>
        <v>-2.0215290077337647E-2</v>
      </c>
    </row>
    <row r="1181" spans="2:8">
      <c r="B1181" s="252">
        <v>45874</v>
      </c>
      <c r="C1181" s="251">
        <v>654.6</v>
      </c>
      <c r="D1181" s="251">
        <f t="shared" si="39"/>
        <v>3.9273616861121567</v>
      </c>
      <c r="E1181" s="251">
        <v>1.5299877600979191E-3</v>
      </c>
      <c r="G1181" s="251">
        <v>1172</v>
      </c>
      <c r="H1181" s="251">
        <f t="shared" ca="1" si="40"/>
        <v>1.7512473839028497E-2</v>
      </c>
    </row>
    <row r="1182" spans="2:8">
      <c r="B1182" s="252">
        <v>44137</v>
      </c>
      <c r="C1182" s="251">
        <v>132.85</v>
      </c>
      <c r="D1182" s="251">
        <f t="shared" si="39"/>
        <v>-4.868913857677945E-3</v>
      </c>
      <c r="E1182" s="251">
        <v>1.5077271013945617E-3</v>
      </c>
      <c r="G1182" s="251">
        <v>1173</v>
      </c>
      <c r="H1182" s="251">
        <f t="shared" ca="1" si="40"/>
        <v>-1.9442809021810628E-3</v>
      </c>
    </row>
    <row r="1183" spans="2:8">
      <c r="B1183" s="252">
        <v>44105</v>
      </c>
      <c r="C1183" s="251">
        <v>133.5</v>
      </c>
      <c r="D1183" s="251">
        <f t="shared" si="39"/>
        <v>-0.63850528025995124</v>
      </c>
      <c r="E1183" s="251">
        <v>1.500375093773358E-3</v>
      </c>
      <c r="G1183" s="251">
        <v>1174</v>
      </c>
      <c r="H1183" s="251">
        <f t="shared" ca="1" si="40"/>
        <v>4.677254757826995E-2</v>
      </c>
    </row>
    <row r="1184" spans="2:8">
      <c r="B1184" s="252">
        <v>43151</v>
      </c>
      <c r="C1184" s="251">
        <v>369.3</v>
      </c>
      <c r="D1184" s="251">
        <f t="shared" si="39"/>
        <v>-0.16839308232750849</v>
      </c>
      <c r="E1184" s="251">
        <v>1.4915254237288444E-3</v>
      </c>
      <c r="G1184" s="251">
        <v>1175</v>
      </c>
      <c r="H1184" s="251">
        <f t="shared" ca="1" si="40"/>
        <v>-5.3407285173892101E-2</v>
      </c>
    </row>
    <row r="1185" spans="2:8">
      <c r="B1185" s="252">
        <v>44960</v>
      </c>
      <c r="C1185" s="251">
        <v>444.08</v>
      </c>
      <c r="D1185" s="251">
        <f t="shared" si="39"/>
        <v>3.3261568436434481</v>
      </c>
      <c r="E1185" s="251">
        <v>1.4658457930225228E-3</v>
      </c>
      <c r="G1185" s="251">
        <v>1176</v>
      </c>
      <c r="H1185" s="251">
        <f t="shared" ca="1" si="40"/>
        <v>2.47157587027746E-2</v>
      </c>
    </row>
    <row r="1186" spans="2:8">
      <c r="B1186" s="252">
        <v>44004</v>
      </c>
      <c r="C1186" s="251">
        <v>102.65</v>
      </c>
      <c r="D1186" s="251">
        <f t="shared" si="39"/>
        <v>-0.87167145893236653</v>
      </c>
      <c r="E1186" s="251">
        <v>1.463414634146397E-3</v>
      </c>
      <c r="G1186" s="251">
        <v>1177</v>
      </c>
      <c r="H1186" s="251">
        <f t="shared" ca="1" si="40"/>
        <v>2.6992322048729627E-2</v>
      </c>
    </row>
    <row r="1187" spans="2:8">
      <c r="B1187" s="252">
        <v>45636</v>
      </c>
      <c r="C1187" s="251">
        <v>799.9</v>
      </c>
      <c r="D1187" s="251">
        <f t="shared" si="39"/>
        <v>0.12638175033443638</v>
      </c>
      <c r="E1187" s="251">
        <v>1.4397496087636648E-3</v>
      </c>
      <c r="G1187" s="251">
        <v>1178</v>
      </c>
      <c r="H1187" s="251">
        <f t="shared" ca="1" si="40"/>
        <v>6.4764860599624977E-3</v>
      </c>
    </row>
    <row r="1188" spans="2:8">
      <c r="B1188" s="252">
        <v>45813</v>
      </c>
      <c r="C1188" s="251">
        <v>710.15</v>
      </c>
      <c r="D1188" s="251">
        <f t="shared" si="39"/>
        <v>0.64120637855327012</v>
      </c>
      <c r="E1188" s="251">
        <v>1.4101388986815203E-3</v>
      </c>
      <c r="G1188" s="251">
        <v>1179</v>
      </c>
      <c r="H1188" s="251">
        <f t="shared" ca="1" si="40"/>
        <v>-4.2613785376940785E-2</v>
      </c>
    </row>
    <row r="1189" spans="2:8">
      <c r="B1189" s="252">
        <v>44648</v>
      </c>
      <c r="C1189" s="251">
        <v>432.7</v>
      </c>
      <c r="D1189" s="251">
        <f t="shared" si="39"/>
        <v>-7.8871740287386929E-2</v>
      </c>
      <c r="E1189" s="251">
        <v>1.3885674612357461E-3</v>
      </c>
      <c r="G1189" s="251">
        <v>1180</v>
      </c>
      <c r="H1189" s="251">
        <f t="shared" ca="1" si="40"/>
        <v>-1.6439636994045392E-2</v>
      </c>
    </row>
    <row r="1190" spans="2:8">
      <c r="B1190" s="252">
        <v>42808</v>
      </c>
      <c r="C1190" s="251">
        <v>469.75</v>
      </c>
      <c r="D1190" s="251">
        <f t="shared" si="39"/>
        <v>0.26090457656690375</v>
      </c>
      <c r="E1190" s="251">
        <v>1.3856320613941104E-3</v>
      </c>
      <c r="G1190" s="251">
        <v>1181</v>
      </c>
      <c r="H1190" s="251">
        <f t="shared" ca="1" si="40"/>
        <v>-2.5415073694319279E-2</v>
      </c>
    </row>
    <row r="1191" spans="2:8">
      <c r="B1191" s="252">
        <v>43158</v>
      </c>
      <c r="C1191" s="251">
        <v>372.55</v>
      </c>
      <c r="D1191" s="251">
        <f t="shared" si="39"/>
        <v>0.23136671624524871</v>
      </c>
      <c r="E1191" s="251">
        <v>1.3439053890606102E-3</v>
      </c>
      <c r="G1191" s="251">
        <v>1182</v>
      </c>
      <c r="H1191" s="251">
        <f t="shared" ca="1" si="40"/>
        <v>4.5529519403883258E-3</v>
      </c>
    </row>
    <row r="1192" spans="2:8">
      <c r="B1192" s="252">
        <v>44399</v>
      </c>
      <c r="C1192" s="251">
        <v>302.55</v>
      </c>
      <c r="D1192" s="251">
        <f t="shared" si="39"/>
        <v>-0.43369209171736078</v>
      </c>
      <c r="E1192" s="251">
        <v>1.3238457719676787E-3</v>
      </c>
      <c r="G1192" s="251">
        <v>1183</v>
      </c>
      <c r="H1192" s="251">
        <f t="shared" ca="1" si="40"/>
        <v>3.287506711935477E-2</v>
      </c>
    </row>
    <row r="1193" spans="2:8">
      <c r="B1193" s="252">
        <v>45079</v>
      </c>
      <c r="C1193" s="251">
        <v>534.25</v>
      </c>
      <c r="D1193" s="251">
        <f t="shared" si="39"/>
        <v>-0.19613301233824859</v>
      </c>
      <c r="E1193" s="251">
        <v>1.3119670134008913E-3</v>
      </c>
      <c r="G1193" s="251">
        <v>1184</v>
      </c>
      <c r="H1193" s="251">
        <f t="shared" ca="1" si="40"/>
        <v>4.2133512192658207E-2</v>
      </c>
    </row>
    <row r="1194" spans="2:8">
      <c r="B1194" s="252">
        <v>45883</v>
      </c>
      <c r="C1194" s="251">
        <v>664.6</v>
      </c>
      <c r="D1194" s="251">
        <f t="shared" si="39"/>
        <v>5.3499247047634139E-2</v>
      </c>
      <c r="E1194" s="251">
        <v>1.2806026365348741E-3</v>
      </c>
      <c r="G1194" s="251">
        <v>1185</v>
      </c>
      <c r="H1194" s="251">
        <f t="shared" ca="1" si="40"/>
        <v>-1.1906243797584054E-3</v>
      </c>
    </row>
    <row r="1195" spans="2:8">
      <c r="B1195" s="252">
        <v>45769</v>
      </c>
      <c r="C1195" s="251">
        <v>630.85</v>
      </c>
      <c r="D1195" s="251">
        <f t="shared" si="39"/>
        <v>-6.471460340993325E-2</v>
      </c>
      <c r="E1195" s="251">
        <v>1.2697404967860777E-3</v>
      </c>
      <c r="G1195" s="251">
        <v>1186</v>
      </c>
      <c r="H1195" s="251">
        <f t="shared" ca="1" si="40"/>
        <v>-5.5732701065910474E-2</v>
      </c>
    </row>
    <row r="1196" spans="2:8">
      <c r="B1196" s="252">
        <v>45833</v>
      </c>
      <c r="C1196" s="251">
        <v>674.5</v>
      </c>
      <c r="D1196" s="251">
        <f t="shared" si="39"/>
        <v>1.0728334357713585</v>
      </c>
      <c r="E1196" s="251">
        <v>1.2617828249091112E-3</v>
      </c>
      <c r="G1196" s="251">
        <v>1187</v>
      </c>
      <c r="H1196" s="251">
        <f t="shared" ca="1" si="40"/>
        <v>-4.2167402887240364E-2</v>
      </c>
    </row>
    <row r="1197" spans="2:8">
      <c r="B1197" s="252">
        <v>44239</v>
      </c>
      <c r="C1197" s="251">
        <v>325.39999999999998</v>
      </c>
      <c r="D1197" s="251">
        <f t="shared" si="39"/>
        <v>-0.58492250781299837</v>
      </c>
      <c r="E1197" s="251">
        <v>1.2307692307691608E-3</v>
      </c>
      <c r="G1197" s="251">
        <v>1188</v>
      </c>
      <c r="H1197" s="251">
        <f t="shared" ca="1" si="40"/>
        <v>-5.5252407313728338E-2</v>
      </c>
    </row>
    <row r="1198" spans="2:8">
      <c r="B1198" s="252">
        <v>45623</v>
      </c>
      <c r="C1198" s="251">
        <v>783.95</v>
      </c>
      <c r="D1198" s="251">
        <f t="shared" si="39"/>
        <v>0.10260196905766532</v>
      </c>
      <c r="E1198" s="251">
        <v>1.2132822477650645E-3</v>
      </c>
      <c r="G1198" s="251">
        <v>1189</v>
      </c>
      <c r="H1198" s="251">
        <f t="shared" ca="1" si="40"/>
        <v>2.3967437402703198E-2</v>
      </c>
    </row>
    <row r="1199" spans="2:8">
      <c r="B1199" s="252">
        <v>45814</v>
      </c>
      <c r="C1199" s="251">
        <v>711</v>
      </c>
      <c r="D1199" s="251">
        <f t="shared" si="39"/>
        <v>1.3696050658223629</v>
      </c>
      <c r="E1199" s="251">
        <v>1.1969302260086219E-3</v>
      </c>
      <c r="G1199" s="251">
        <v>1190</v>
      </c>
      <c r="H1199" s="251">
        <f t="shared" ca="1" si="40"/>
        <v>-6.9429006742906998E-3</v>
      </c>
    </row>
    <row r="1200" spans="2:8">
      <c r="B1200" s="252">
        <v>44414</v>
      </c>
      <c r="C1200" s="251">
        <v>300.05</v>
      </c>
      <c r="D1200" s="251">
        <f t="shared" si="39"/>
        <v>-0.62927040217458452</v>
      </c>
      <c r="E1200" s="251">
        <v>1.1678345011679103E-3</v>
      </c>
      <c r="G1200" s="251">
        <v>1191</v>
      </c>
      <c r="H1200" s="251">
        <f t="shared" ca="1" si="40"/>
        <v>1.0929202742183291E-2</v>
      </c>
    </row>
    <row r="1201" spans="2:8">
      <c r="B1201" s="252">
        <v>45316</v>
      </c>
      <c r="C1201" s="251">
        <v>809.35</v>
      </c>
      <c r="D1201" s="251">
        <f t="shared" si="39"/>
        <v>8.3892111368909514</v>
      </c>
      <c r="E1201" s="251">
        <v>1.1627763139991521E-3</v>
      </c>
      <c r="G1201" s="251">
        <v>1192</v>
      </c>
      <c r="H1201" s="251">
        <f t="shared" ca="1" si="40"/>
        <v>-3.6947836696465772E-2</v>
      </c>
    </row>
    <row r="1202" spans="2:8">
      <c r="B1202" s="252">
        <v>43963</v>
      </c>
      <c r="C1202" s="251">
        <v>86.2</v>
      </c>
      <c r="D1202" s="251">
        <f t="shared" si="39"/>
        <v>-0.78578528827037775</v>
      </c>
      <c r="E1202" s="251">
        <v>1.1614401858305288E-3</v>
      </c>
      <c r="G1202" s="251">
        <v>1193</v>
      </c>
      <c r="H1202" s="251">
        <f t="shared" ca="1" si="40"/>
        <v>1.467042879515828E-2</v>
      </c>
    </row>
    <row r="1203" spans="2:8">
      <c r="B1203" s="252">
        <v>43083</v>
      </c>
      <c r="C1203" s="251">
        <v>402.4</v>
      </c>
      <c r="D1203" s="251">
        <f t="shared" si="39"/>
        <v>-0.43974939088061266</v>
      </c>
      <c r="E1203" s="251">
        <v>1.11954223162082E-3</v>
      </c>
      <c r="G1203" s="251">
        <v>1194</v>
      </c>
      <c r="H1203" s="251">
        <f t="shared" ca="1" si="40"/>
        <v>-4.1493081155482239E-2</v>
      </c>
    </row>
    <row r="1204" spans="2:8">
      <c r="B1204" s="252">
        <v>45800</v>
      </c>
      <c r="C1204" s="251">
        <v>718.25</v>
      </c>
      <c r="D1204" s="251">
        <f t="shared" si="39"/>
        <v>0.21813679765276531</v>
      </c>
      <c r="E1204" s="251">
        <v>1.1150602829464833E-3</v>
      </c>
      <c r="G1204" s="251">
        <v>1195</v>
      </c>
      <c r="H1204" s="251">
        <f t="shared" ca="1" si="40"/>
        <v>5.1981175428410055E-2</v>
      </c>
    </row>
    <row r="1205" spans="2:8">
      <c r="B1205" s="252">
        <v>45111</v>
      </c>
      <c r="C1205" s="251">
        <v>589.63</v>
      </c>
      <c r="D1205" s="251">
        <f t="shared" si="39"/>
        <v>0.298887542680912</v>
      </c>
      <c r="E1205" s="251">
        <v>1.1036028388060328E-3</v>
      </c>
      <c r="G1205" s="251">
        <v>1196</v>
      </c>
      <c r="H1205" s="251">
        <f t="shared" ca="1" si="40"/>
        <v>3.1507724899791416E-2</v>
      </c>
    </row>
    <row r="1206" spans="2:8">
      <c r="B1206" s="252">
        <v>42524</v>
      </c>
      <c r="C1206" s="251">
        <v>453.95</v>
      </c>
      <c r="D1206" s="251">
        <f t="shared" si="39"/>
        <v>-0.54492140508460973</v>
      </c>
      <c r="E1206" s="251">
        <v>1.1026574043444702E-3</v>
      </c>
      <c r="G1206" s="251">
        <v>1197</v>
      </c>
      <c r="H1206" s="251">
        <f t="shared" ca="1" si="40"/>
        <v>1.1728356966446271E-2</v>
      </c>
    </row>
    <row r="1207" spans="2:8">
      <c r="B1207" s="252">
        <v>45411</v>
      </c>
      <c r="C1207" s="251">
        <v>997.52</v>
      </c>
      <c r="D1207" s="251">
        <f t="shared" si="39"/>
        <v>1.0927724745620477</v>
      </c>
      <c r="E1207" s="251">
        <v>1.093905241712947E-3</v>
      </c>
      <c r="G1207" s="251">
        <v>1198</v>
      </c>
      <c r="H1207" s="251">
        <f t="shared" ca="1" si="40"/>
        <v>-7.3793701288409142E-3</v>
      </c>
    </row>
    <row r="1208" spans="2:8">
      <c r="B1208" s="252">
        <v>42887</v>
      </c>
      <c r="C1208" s="251">
        <v>476.65</v>
      </c>
      <c r="D1208" s="251">
        <f t="shared" si="39"/>
        <v>0.10246328206314317</v>
      </c>
      <c r="E1208" s="251">
        <v>1.0500892575868949E-3</v>
      </c>
      <c r="G1208" s="251">
        <v>1199</v>
      </c>
      <c r="H1208" s="251">
        <f t="shared" ca="1" si="40"/>
        <v>2.6415206680998633E-2</v>
      </c>
    </row>
    <row r="1209" spans="2:8">
      <c r="B1209" s="252">
        <v>44718</v>
      </c>
      <c r="C1209" s="251">
        <v>432.35</v>
      </c>
      <c r="D1209" s="251">
        <f t="shared" si="39"/>
        <v>-0.12559409444837691</v>
      </c>
      <c r="E1209" s="251">
        <v>1.0419078490392349E-3</v>
      </c>
      <c r="G1209" s="251">
        <v>1200</v>
      </c>
      <c r="H1209" s="251">
        <f t="shared" ca="1" si="40"/>
        <v>1.8883913507867119E-2</v>
      </c>
    </row>
    <row r="1210" spans="2:8">
      <c r="B1210" s="252">
        <v>44540</v>
      </c>
      <c r="C1210" s="251">
        <v>494.45</v>
      </c>
      <c r="D1210" s="251">
        <f t="shared" si="39"/>
        <v>0.10900527083099688</v>
      </c>
      <c r="E1210" s="251">
        <v>1.0122482032594393E-3</v>
      </c>
      <c r="G1210" s="251">
        <v>1201</v>
      </c>
      <c r="H1210" s="251">
        <f t="shared" ca="1" si="40"/>
        <v>5.7203412414769568E-3</v>
      </c>
    </row>
    <row r="1211" spans="2:8">
      <c r="B1211" s="252">
        <v>42944</v>
      </c>
      <c r="C1211" s="251">
        <v>445.85</v>
      </c>
      <c r="D1211" s="251">
        <f t="shared" si="39"/>
        <v>-0.45223235127896405</v>
      </c>
      <c r="E1211" s="251">
        <v>1.0103277952403357E-3</v>
      </c>
      <c r="G1211" s="251">
        <v>1202</v>
      </c>
      <c r="H1211" s="251">
        <f t="shared" ca="1" si="40"/>
        <v>-4.1640396895617805E-2</v>
      </c>
    </row>
    <row r="1212" spans="2:8">
      <c r="B1212" s="252">
        <v>45303</v>
      </c>
      <c r="C1212" s="251">
        <v>813.94</v>
      </c>
      <c r="D1212" s="251">
        <f t="shared" si="39"/>
        <v>-0.16244083144679966</v>
      </c>
      <c r="E1212" s="251">
        <v>9.8384042108378409E-4</v>
      </c>
      <c r="G1212" s="251">
        <v>1203</v>
      </c>
      <c r="H1212" s="251">
        <f t="shared" ca="1" si="40"/>
        <v>1.2770622768053718E-2</v>
      </c>
    </row>
    <row r="1213" spans="2:8">
      <c r="B1213" s="252">
        <v>45558</v>
      </c>
      <c r="C1213" s="251">
        <v>971.8</v>
      </c>
      <c r="D1213" s="251">
        <f t="shared" si="39"/>
        <v>1.5678425155238471</v>
      </c>
      <c r="E1213" s="251">
        <v>9.7852397383728883E-4</v>
      </c>
      <c r="G1213" s="251">
        <v>1204</v>
      </c>
      <c r="H1213" s="251">
        <f t="shared" ca="1" si="40"/>
        <v>4.5216672300189109E-2</v>
      </c>
    </row>
    <row r="1214" spans="2:8">
      <c r="B1214" s="252">
        <v>42361</v>
      </c>
      <c r="C1214" s="251">
        <v>378.45</v>
      </c>
      <c r="D1214" s="251">
        <f t="shared" si="39"/>
        <v>-0.61313570150779451</v>
      </c>
      <c r="E1214" s="251">
        <v>9.2568103676267095E-4</v>
      </c>
      <c r="G1214" s="251">
        <v>1205</v>
      </c>
      <c r="H1214" s="251">
        <f t="shared" ca="1" si="40"/>
        <v>-2.0809376525817991E-3</v>
      </c>
    </row>
    <row r="1215" spans="2:8">
      <c r="B1215" s="252">
        <v>45463</v>
      </c>
      <c r="C1215" s="251">
        <v>978.25</v>
      </c>
      <c r="D1215" s="251">
        <f t="shared" si="39"/>
        <v>1.0316718587746625</v>
      </c>
      <c r="E1215" s="251">
        <v>9.2085742057602417E-4</v>
      </c>
      <c r="G1215" s="251">
        <v>1206</v>
      </c>
      <c r="H1215" s="251">
        <f t="shared" ca="1" si="40"/>
        <v>2.6322314150357875E-2</v>
      </c>
    </row>
    <row r="1216" spans="2:8">
      <c r="B1216" s="252">
        <v>42884</v>
      </c>
      <c r="C1216" s="251">
        <v>481.5</v>
      </c>
      <c r="D1216" s="251">
        <f t="shared" si="39"/>
        <v>-0.22482492151654188</v>
      </c>
      <c r="E1216" s="251">
        <v>8.3142797755139729E-4</v>
      </c>
      <c r="G1216" s="251">
        <v>1207</v>
      </c>
      <c r="H1216" s="251">
        <f t="shared" ca="1" si="40"/>
        <v>1.5518003042710563E-2</v>
      </c>
    </row>
    <row r="1217" spans="2:8">
      <c r="B1217" s="252">
        <v>45719</v>
      </c>
      <c r="C1217" s="251">
        <v>621.15</v>
      </c>
      <c r="D1217" s="251">
        <f t="shared" si="39"/>
        <v>0.96877971473851021</v>
      </c>
      <c r="E1217" s="251">
        <v>8.0560702489325712E-4</v>
      </c>
      <c r="G1217" s="251">
        <v>1208</v>
      </c>
      <c r="H1217" s="251">
        <f t="shared" ca="1" si="40"/>
        <v>8.3612093918937723E-3</v>
      </c>
    </row>
    <row r="1218" spans="2:8">
      <c r="B1218" s="252">
        <v>44342</v>
      </c>
      <c r="C1218" s="251">
        <v>315.5</v>
      </c>
      <c r="D1218" s="251">
        <f t="shared" si="39"/>
        <v>-0.20702742101691507</v>
      </c>
      <c r="E1218" s="251">
        <v>7.9302141157811261E-4</v>
      </c>
      <c r="G1218" s="251">
        <v>1209</v>
      </c>
      <c r="H1218" s="251">
        <f t="shared" ca="1" si="40"/>
        <v>-1.6845728111267819E-2</v>
      </c>
    </row>
    <row r="1219" spans="2:8">
      <c r="B1219" s="252">
        <v>44832</v>
      </c>
      <c r="C1219" s="251">
        <v>397.87</v>
      </c>
      <c r="D1219" s="251">
        <f t="shared" si="39"/>
        <v>-0.35489258208350222</v>
      </c>
      <c r="E1219" s="251">
        <v>7.54584098397795E-4</v>
      </c>
      <c r="G1219" s="251">
        <v>1210</v>
      </c>
      <c r="H1219" s="251">
        <f t="shared" ca="1" si="40"/>
        <v>-1.9035300092093207E-3</v>
      </c>
    </row>
    <row r="1220" spans="2:8">
      <c r="B1220" s="252">
        <v>45117</v>
      </c>
      <c r="C1220" s="251">
        <v>616.75</v>
      </c>
      <c r="D1220" s="251">
        <f t="shared" si="39"/>
        <v>0.64335198507860369</v>
      </c>
      <c r="E1220" s="251">
        <v>7.3016388122674916E-4</v>
      </c>
      <c r="G1220" s="251">
        <v>1211</v>
      </c>
      <c r="H1220" s="251">
        <f t="shared" ca="1" si="40"/>
        <v>1.259478729420547E-2</v>
      </c>
    </row>
    <row r="1221" spans="2:8">
      <c r="B1221" s="252">
        <v>42989</v>
      </c>
      <c r="C1221" s="251">
        <v>375.3</v>
      </c>
      <c r="D1221" s="251">
        <f t="shared" si="39"/>
        <v>0.18353831598864706</v>
      </c>
      <c r="E1221" s="251">
        <v>6.6657778962804959E-4</v>
      </c>
      <c r="G1221" s="251">
        <v>1212</v>
      </c>
      <c r="H1221" s="251">
        <f t="shared" ca="1" si="40"/>
        <v>-5.2807963363395521E-2</v>
      </c>
    </row>
    <row r="1222" spans="2:8">
      <c r="B1222" s="252">
        <v>44384</v>
      </c>
      <c r="C1222" s="251">
        <v>317.10000000000002</v>
      </c>
      <c r="D1222" s="251">
        <f t="shared" si="39"/>
        <v>-0.35542229901412742</v>
      </c>
      <c r="E1222" s="251">
        <v>6.3111391606199274E-4</v>
      </c>
      <c r="G1222" s="251">
        <v>1213</v>
      </c>
      <c r="H1222" s="251">
        <f t="shared" ca="1" si="40"/>
        <v>1.0742731746848E-2</v>
      </c>
    </row>
    <row r="1223" spans="2:8">
      <c r="B1223" s="252">
        <v>44546</v>
      </c>
      <c r="C1223" s="251">
        <v>491.95</v>
      </c>
      <c r="D1223" s="251">
        <f t="shared" si="39"/>
        <v>1.9466906259359091</v>
      </c>
      <c r="E1223" s="251">
        <v>6.101901759381906E-4</v>
      </c>
      <c r="G1223" s="251">
        <v>1214</v>
      </c>
      <c r="H1223" s="251">
        <f t="shared" ca="1" si="40"/>
        <v>2.375228184706521E-2</v>
      </c>
    </row>
    <row r="1224" spans="2:8">
      <c r="B1224" s="252">
        <v>43448</v>
      </c>
      <c r="C1224" s="251">
        <v>166.95</v>
      </c>
      <c r="D1224" s="251">
        <f t="shared" si="39"/>
        <v>-5.1689860834990185E-2</v>
      </c>
      <c r="E1224" s="251">
        <v>5.9934072520224349E-4</v>
      </c>
      <c r="G1224" s="251">
        <v>1215</v>
      </c>
      <c r="H1224" s="251">
        <f t="shared" ca="1" si="40"/>
        <v>3.0978327448847633E-3</v>
      </c>
    </row>
    <row r="1225" spans="2:8">
      <c r="B1225" s="252">
        <v>43822</v>
      </c>
      <c r="C1225" s="251">
        <v>176.05</v>
      </c>
      <c r="D1225" s="251">
        <f t="shared" si="39"/>
        <v>-0.71524003623188404</v>
      </c>
      <c r="E1225" s="251">
        <v>5.6834327934085103E-4</v>
      </c>
      <c r="G1225" s="251">
        <v>1216</v>
      </c>
      <c r="H1225" s="251">
        <f t="shared" ca="1" si="40"/>
        <v>1.9756285819208314E-2</v>
      </c>
    </row>
    <row r="1226" spans="2:8">
      <c r="B1226" s="252">
        <v>45196</v>
      </c>
      <c r="C1226" s="251">
        <v>618.24</v>
      </c>
      <c r="D1226" s="251">
        <f t="shared" ref="D1226:D1289" si="41">(C1226-C1227)/C1227</f>
        <v>2.4840236686390536</v>
      </c>
      <c r="E1226" s="251">
        <v>5.6644386541297438E-4</v>
      </c>
      <c r="G1226" s="251">
        <v>1217</v>
      </c>
      <c r="H1226" s="251">
        <f t="shared" ca="1" si="40"/>
        <v>4.4285086876528601E-2</v>
      </c>
    </row>
    <row r="1227" spans="2:8">
      <c r="B1227" s="252">
        <v>43524</v>
      </c>
      <c r="C1227" s="251">
        <v>177.45</v>
      </c>
      <c r="D1227" s="251">
        <f t="shared" si="41"/>
        <v>-4.3138312213534646E-2</v>
      </c>
      <c r="E1227" s="251">
        <v>5.6385678037775206E-4</v>
      </c>
      <c r="G1227" s="251">
        <v>1218</v>
      </c>
      <c r="H1227" s="251">
        <f t="shared" ref="H1227:H1290" ca="1" si="42">_xlfn.NORM.INV(RAND(),N$12,N$13)</f>
        <v>-2.0082412877258969E-3</v>
      </c>
    </row>
    <row r="1228" spans="2:8">
      <c r="B1228" s="252">
        <v>43481</v>
      </c>
      <c r="C1228" s="251">
        <v>185.45</v>
      </c>
      <c r="D1228" s="251">
        <f t="shared" si="41"/>
        <v>-0.71648066044947256</v>
      </c>
      <c r="E1228" s="251">
        <v>5.3951982735362454E-4</v>
      </c>
      <c r="G1228" s="251">
        <v>1219</v>
      </c>
      <c r="H1228" s="251">
        <f t="shared" ca="1" si="42"/>
        <v>2.2614380421910229E-2</v>
      </c>
    </row>
    <row r="1229" spans="2:8">
      <c r="B1229" s="252">
        <v>45881</v>
      </c>
      <c r="C1229" s="251">
        <v>654.1</v>
      </c>
      <c r="D1229" s="251">
        <f t="shared" si="41"/>
        <v>1.1082997582594682</v>
      </c>
      <c r="E1229" s="251">
        <v>5.3537284894840951E-4</v>
      </c>
      <c r="G1229" s="251">
        <v>1220</v>
      </c>
      <c r="H1229" s="251">
        <f t="shared" ca="1" si="42"/>
        <v>4.6879748708149871E-2</v>
      </c>
    </row>
    <row r="1230" spans="2:8">
      <c r="B1230" s="252">
        <v>43236</v>
      </c>
      <c r="C1230" s="251">
        <v>310.25</v>
      </c>
      <c r="D1230" s="251">
        <f t="shared" si="41"/>
        <v>-2.6666666666666668E-2</v>
      </c>
      <c r="E1230" s="251">
        <v>4.8371493066745326E-4</v>
      </c>
      <c r="G1230" s="251">
        <v>1221</v>
      </c>
      <c r="H1230" s="251">
        <f t="shared" ca="1" si="42"/>
        <v>2.6692403871916768E-2</v>
      </c>
    </row>
    <row r="1231" spans="2:8">
      <c r="B1231" s="252">
        <v>44344</v>
      </c>
      <c r="C1231" s="251">
        <v>318.75</v>
      </c>
      <c r="D1231" s="251">
        <f t="shared" si="41"/>
        <v>1.922971114167813</v>
      </c>
      <c r="E1231" s="251">
        <v>4.7080979284361973E-4</v>
      </c>
      <c r="G1231" s="251">
        <v>1222</v>
      </c>
      <c r="H1231" s="251">
        <f t="shared" ca="1" si="42"/>
        <v>3.8509914496999781E-2</v>
      </c>
    </row>
    <row r="1232" spans="2:8">
      <c r="B1232" s="252">
        <v>44019</v>
      </c>
      <c r="C1232" s="251">
        <v>109.05</v>
      </c>
      <c r="D1232" s="251">
        <f t="shared" si="41"/>
        <v>-0.7535593220338983</v>
      </c>
      <c r="E1232" s="251">
        <v>4.5871559633024918E-4</v>
      </c>
      <c r="G1232" s="251">
        <v>1223</v>
      </c>
      <c r="H1232" s="251">
        <f t="shared" ca="1" si="42"/>
        <v>-1.2829382048983994E-2</v>
      </c>
    </row>
    <row r="1233" spans="2:8">
      <c r="B1233" s="252">
        <v>42914</v>
      </c>
      <c r="C1233" s="251">
        <v>442.5</v>
      </c>
      <c r="D1233" s="251">
        <f t="shared" si="41"/>
        <v>-0.33632300446950836</v>
      </c>
      <c r="E1233" s="251">
        <v>4.5218177707435816E-4</v>
      </c>
      <c r="G1233" s="251">
        <v>1224</v>
      </c>
      <c r="H1233" s="251">
        <f t="shared" ca="1" si="42"/>
        <v>-1.650956099643169E-2</v>
      </c>
    </row>
    <row r="1234" spans="2:8">
      <c r="B1234" s="252">
        <v>45218</v>
      </c>
      <c r="C1234" s="251">
        <v>666.74</v>
      </c>
      <c r="D1234" s="251">
        <f t="shared" si="41"/>
        <v>1.6798231511254018</v>
      </c>
      <c r="E1234" s="251">
        <v>4.5015305203762455E-4</v>
      </c>
      <c r="G1234" s="251">
        <v>1225</v>
      </c>
      <c r="H1234" s="251">
        <f t="shared" ca="1" si="42"/>
        <v>-5.8711220619395146E-3</v>
      </c>
    </row>
    <row r="1235" spans="2:8">
      <c r="B1235" s="252">
        <v>43326</v>
      </c>
      <c r="C1235" s="251">
        <v>248.8</v>
      </c>
      <c r="D1235" s="251">
        <f t="shared" si="41"/>
        <v>-0.53382049840734502</v>
      </c>
      <c r="E1235" s="251">
        <v>4.0209087253728485E-4</v>
      </c>
      <c r="G1235" s="251">
        <v>1226</v>
      </c>
      <c r="H1235" s="251">
        <f t="shared" ca="1" si="42"/>
        <v>1.2833425866450643E-2</v>
      </c>
    </row>
    <row r="1236" spans="2:8">
      <c r="B1236" s="252">
        <v>42684</v>
      </c>
      <c r="C1236" s="251">
        <v>533.70000000000005</v>
      </c>
      <c r="D1236" s="251">
        <f t="shared" si="41"/>
        <v>8.9739663093415106E-2</v>
      </c>
      <c r="E1236" s="251">
        <v>3.7488284910973846E-4</v>
      </c>
      <c r="G1236" s="251">
        <v>1227</v>
      </c>
      <c r="H1236" s="251">
        <f t="shared" ca="1" si="42"/>
        <v>-1.2953810905902325E-2</v>
      </c>
    </row>
    <row r="1237" spans="2:8">
      <c r="B1237" s="252">
        <v>44566</v>
      </c>
      <c r="C1237" s="251">
        <v>489.75</v>
      </c>
      <c r="D1237" s="251">
        <f t="shared" si="41"/>
        <v>0.4398059679553139</v>
      </c>
      <c r="E1237" s="251">
        <v>3.0637254901956138E-4</v>
      </c>
      <c r="G1237" s="251">
        <v>1228</v>
      </c>
      <c r="H1237" s="251">
        <f t="shared" ca="1" si="42"/>
        <v>-6.3809266549930284E-4</v>
      </c>
    </row>
    <row r="1238" spans="2:8">
      <c r="B1238" s="252">
        <v>42247</v>
      </c>
      <c r="C1238" s="251">
        <v>340.15</v>
      </c>
      <c r="D1238" s="251">
        <f t="shared" si="41"/>
        <v>-0.61172307516694258</v>
      </c>
      <c r="E1238" s="251">
        <v>2.9407440082330799E-4</v>
      </c>
      <c r="G1238" s="251">
        <v>1229</v>
      </c>
      <c r="H1238" s="251">
        <f t="shared" ca="1" si="42"/>
        <v>4.5386970628764033E-2</v>
      </c>
    </row>
    <row r="1239" spans="2:8">
      <c r="B1239" s="252">
        <v>45324</v>
      </c>
      <c r="C1239" s="251">
        <v>876.05</v>
      </c>
      <c r="D1239" s="251">
        <f t="shared" si="41"/>
        <v>1.181942714819427</v>
      </c>
      <c r="E1239" s="251">
        <v>2.8545329984014617E-4</v>
      </c>
      <c r="G1239" s="251">
        <v>1230</v>
      </c>
      <c r="H1239" s="251">
        <f t="shared" ca="1" si="42"/>
        <v>-1.0813479487859165E-2</v>
      </c>
    </row>
    <row r="1240" spans="2:8">
      <c r="B1240" s="252">
        <v>43007</v>
      </c>
      <c r="C1240" s="251">
        <v>401.5</v>
      </c>
      <c r="D1240" s="251">
        <f t="shared" si="41"/>
        <v>-0.35936303293336741</v>
      </c>
      <c r="E1240" s="251">
        <v>2.4912805181869142E-4</v>
      </c>
      <c r="G1240" s="251">
        <v>1231</v>
      </c>
      <c r="H1240" s="251">
        <f t="shared" ca="1" si="42"/>
        <v>1.899599535326385E-2</v>
      </c>
    </row>
    <row r="1241" spans="2:8">
      <c r="B1241" s="252">
        <v>45230</v>
      </c>
      <c r="C1241" s="251">
        <v>626.72</v>
      </c>
      <c r="D1241" s="251">
        <f t="shared" si="41"/>
        <v>-0.10905136260893042</v>
      </c>
      <c r="E1241" s="251">
        <v>2.3939863063979642E-4</v>
      </c>
      <c r="G1241" s="251">
        <v>1232</v>
      </c>
      <c r="H1241" s="251">
        <f t="shared" ca="1" si="42"/>
        <v>3.931263469059617E-2</v>
      </c>
    </row>
    <row r="1242" spans="2:8">
      <c r="B1242" s="252">
        <v>45264</v>
      </c>
      <c r="C1242" s="251">
        <v>703.43</v>
      </c>
      <c r="D1242" s="251">
        <f t="shared" si="41"/>
        <v>1.7180448222565685</v>
      </c>
      <c r="E1242" s="251">
        <v>2.1328631554996198E-4</v>
      </c>
      <c r="G1242" s="251">
        <v>1233</v>
      </c>
      <c r="H1242" s="251">
        <f t="shared" ca="1" si="42"/>
        <v>3.0536643704538329E-2</v>
      </c>
    </row>
    <row r="1243" spans="2:8">
      <c r="B1243" s="252">
        <v>43305</v>
      </c>
      <c r="C1243" s="251">
        <v>258.8</v>
      </c>
      <c r="D1243" s="251">
        <f t="shared" si="41"/>
        <v>-0.15919428200129954</v>
      </c>
      <c r="E1243" s="251">
        <v>1.9323671497588934E-4</v>
      </c>
      <c r="G1243" s="251">
        <v>1234</v>
      </c>
      <c r="H1243" s="251">
        <f t="shared" ca="1" si="42"/>
        <v>1.9002588798397238E-2</v>
      </c>
    </row>
    <row r="1244" spans="2:8">
      <c r="B1244" s="252">
        <v>44293</v>
      </c>
      <c r="C1244" s="251">
        <v>307.8</v>
      </c>
      <c r="D1244" s="251">
        <f t="shared" si="41"/>
        <v>-0.28736803111687348</v>
      </c>
      <c r="E1244" s="251">
        <v>1.6246953696185659E-4</v>
      </c>
      <c r="G1244" s="251">
        <v>1235</v>
      </c>
      <c r="H1244" s="251">
        <f t="shared" ca="1" si="42"/>
        <v>-2.1081575853208322E-2</v>
      </c>
    </row>
    <row r="1245" spans="2:8">
      <c r="B1245" s="252">
        <v>44893</v>
      </c>
      <c r="C1245" s="251">
        <v>431.92</v>
      </c>
      <c r="D1245" s="251">
        <f t="shared" si="41"/>
        <v>-4.758544652701209E-2</v>
      </c>
      <c r="E1245" s="251">
        <v>1.1577558061456311E-4</v>
      </c>
      <c r="G1245" s="251">
        <v>1236</v>
      </c>
      <c r="H1245" s="251">
        <f t="shared" ca="1" si="42"/>
        <v>3.8699511484773491E-2</v>
      </c>
    </row>
    <row r="1246" spans="2:8">
      <c r="B1246" s="252">
        <v>44764</v>
      </c>
      <c r="C1246" s="251">
        <v>453.5</v>
      </c>
      <c r="D1246" s="251">
        <f t="shared" si="41"/>
        <v>-8.1890879643688616E-2</v>
      </c>
      <c r="E1246" s="251">
        <v>1.1026574043447209E-4</v>
      </c>
      <c r="G1246" s="251">
        <v>1237</v>
      </c>
      <c r="H1246" s="251">
        <f t="shared" ca="1" si="42"/>
        <v>-3.3200287330652348E-2</v>
      </c>
    </row>
    <row r="1247" spans="2:8">
      <c r="B1247" s="252">
        <v>44539</v>
      </c>
      <c r="C1247" s="251">
        <v>493.95</v>
      </c>
      <c r="D1247" s="251">
        <f t="shared" si="41"/>
        <v>-1.9940476190476213E-2</v>
      </c>
      <c r="E1247" s="251">
        <v>1.0123506782751847E-4</v>
      </c>
      <c r="G1247" s="251">
        <v>1238</v>
      </c>
      <c r="H1247" s="251">
        <f t="shared" ca="1" si="42"/>
        <v>2.7945776798707243E-3</v>
      </c>
    </row>
    <row r="1248" spans="2:8">
      <c r="B1248" s="252">
        <v>42605</v>
      </c>
      <c r="C1248" s="251">
        <v>504</v>
      </c>
      <c r="D1248" s="251">
        <f t="shared" si="41"/>
        <v>-0.24988837624646523</v>
      </c>
      <c r="E1248" s="251">
        <v>9.9216192082570437E-5</v>
      </c>
      <c r="G1248" s="251">
        <v>1239</v>
      </c>
      <c r="H1248" s="251">
        <f t="shared" ca="1" si="42"/>
        <v>-1.9630418451479732E-2</v>
      </c>
    </row>
    <row r="1249" spans="2:8">
      <c r="B1249" s="252">
        <v>45749</v>
      </c>
      <c r="C1249" s="251">
        <v>671.9</v>
      </c>
      <c r="D1249" s="251">
        <f t="shared" si="41"/>
        <v>0.48634000663643395</v>
      </c>
      <c r="E1249" s="251">
        <v>7.4421373818493004E-5</v>
      </c>
      <c r="G1249" s="251">
        <v>1240</v>
      </c>
      <c r="H1249" s="251">
        <f t="shared" ca="1" si="42"/>
        <v>-5.5463768689290489E-3</v>
      </c>
    </row>
    <row r="1250" spans="2:8">
      <c r="B1250" s="252">
        <v>44662</v>
      </c>
      <c r="C1250" s="251">
        <v>452.05</v>
      </c>
      <c r="D1250" s="251">
        <f t="shared" si="41"/>
        <v>0.41819607843137258</v>
      </c>
      <c r="E1250" s="251">
        <v>0</v>
      </c>
      <c r="G1250" s="251">
        <v>1241</v>
      </c>
      <c r="H1250" s="251">
        <f t="shared" ca="1" si="42"/>
        <v>3.5059133318620928E-2</v>
      </c>
    </row>
    <row r="1251" spans="2:8">
      <c r="B1251" s="252">
        <v>44347</v>
      </c>
      <c r="C1251" s="251">
        <v>318.75</v>
      </c>
      <c r="D1251" s="251">
        <f t="shared" si="41"/>
        <v>2.6637931034482758</v>
      </c>
      <c r="E1251" s="251">
        <v>0</v>
      </c>
      <c r="G1251" s="251">
        <v>1242</v>
      </c>
      <c r="H1251" s="251">
        <f t="shared" ca="1" si="42"/>
        <v>6.6812608210725186E-3</v>
      </c>
    </row>
    <row r="1252" spans="2:8">
      <c r="B1252" s="252">
        <v>43980</v>
      </c>
      <c r="C1252" s="251">
        <v>87</v>
      </c>
      <c r="D1252" s="251">
        <f t="shared" si="41"/>
        <v>-0.48551153163808397</v>
      </c>
      <c r="E1252" s="251">
        <v>0</v>
      </c>
      <c r="G1252" s="251">
        <v>1243</v>
      </c>
      <c r="H1252" s="251">
        <f t="shared" ca="1" si="42"/>
        <v>1.1262099131937991E-2</v>
      </c>
    </row>
    <row r="1253" spans="2:8">
      <c r="B1253" s="252">
        <v>43878</v>
      </c>
      <c r="C1253" s="251">
        <v>169.1</v>
      </c>
      <c r="D1253" s="251">
        <f t="shared" si="41"/>
        <v>-9.082918253735783E-3</v>
      </c>
      <c r="E1253" s="251">
        <v>0</v>
      </c>
      <c r="G1253" s="251">
        <v>1244</v>
      </c>
      <c r="H1253" s="251">
        <f t="shared" ca="1" si="42"/>
        <v>-9.6132522854945005E-3</v>
      </c>
    </row>
    <row r="1254" spans="2:8">
      <c r="B1254" s="252">
        <v>43397</v>
      </c>
      <c r="C1254" s="251">
        <v>170.65</v>
      </c>
      <c r="D1254" s="251">
        <f t="shared" si="41"/>
        <v>-0.60313953488372096</v>
      </c>
      <c r="E1254" s="251">
        <v>0</v>
      </c>
      <c r="G1254" s="251">
        <v>1245</v>
      </c>
      <c r="H1254" s="251">
        <f t="shared" ca="1" si="42"/>
        <v>4.2898159822758145E-2</v>
      </c>
    </row>
    <row r="1255" spans="2:8">
      <c r="B1255" s="252">
        <v>42955</v>
      </c>
      <c r="C1255" s="251">
        <v>430</v>
      </c>
      <c r="D1255" s="251">
        <f t="shared" si="41"/>
        <v>8.3587430385807571E-2</v>
      </c>
      <c r="E1255" s="251">
        <v>0</v>
      </c>
      <c r="G1255" s="251">
        <v>1246</v>
      </c>
      <c r="H1255" s="251">
        <f t="shared" ca="1" si="42"/>
        <v>-2.065465725087981E-2</v>
      </c>
    </row>
    <row r="1256" spans="2:8">
      <c r="B1256" s="252">
        <v>44855</v>
      </c>
      <c r="C1256" s="251">
        <v>396.83</v>
      </c>
      <c r="D1256" s="251">
        <f t="shared" si="41"/>
        <v>0.19060906090609053</v>
      </c>
      <c r="E1256" s="251">
        <v>-1.2598266478535419E-4</v>
      </c>
      <c r="G1256" s="251">
        <v>1247</v>
      </c>
      <c r="H1256" s="251">
        <f t="shared" ca="1" si="42"/>
        <v>-2.2664671901269411E-2</v>
      </c>
    </row>
    <row r="1257" spans="2:8">
      <c r="B1257" s="252">
        <v>44470</v>
      </c>
      <c r="C1257" s="251">
        <v>333.3</v>
      </c>
      <c r="D1257" s="251">
        <f t="shared" si="41"/>
        <v>-0.66435045317220554</v>
      </c>
      <c r="E1257" s="251">
        <v>-1.4999250037501534E-4</v>
      </c>
      <c r="G1257" s="251">
        <v>1248</v>
      </c>
      <c r="H1257" s="251">
        <f t="shared" ca="1" si="42"/>
        <v>-3.8979026191629407E-2</v>
      </c>
    </row>
    <row r="1258" spans="2:8">
      <c r="B1258" s="252">
        <v>45562</v>
      </c>
      <c r="C1258" s="251">
        <v>993</v>
      </c>
      <c r="D1258" s="251">
        <f t="shared" si="41"/>
        <v>0.53228917521796171</v>
      </c>
      <c r="E1258" s="251">
        <v>-1.5103458692038187E-4</v>
      </c>
      <c r="G1258" s="251">
        <v>1249</v>
      </c>
      <c r="H1258" s="251">
        <f t="shared" ca="1" si="42"/>
        <v>8.146622500055014E-3</v>
      </c>
    </row>
    <row r="1259" spans="2:8">
      <c r="B1259" s="252">
        <v>45727</v>
      </c>
      <c r="C1259" s="251">
        <v>648.04999999999995</v>
      </c>
      <c r="D1259" s="251">
        <f t="shared" si="41"/>
        <v>1.0072789221000462</v>
      </c>
      <c r="E1259" s="251">
        <v>-1.5428527347068232E-4</v>
      </c>
      <c r="G1259" s="251">
        <v>1250</v>
      </c>
      <c r="H1259" s="251">
        <f t="shared" ca="1" si="42"/>
        <v>1.8543729201945428E-2</v>
      </c>
    </row>
    <row r="1260" spans="2:8">
      <c r="B1260" s="252">
        <v>42254</v>
      </c>
      <c r="C1260" s="251">
        <v>322.85000000000002</v>
      </c>
      <c r="D1260" s="251">
        <f t="shared" si="41"/>
        <v>5.4031994776363078E-2</v>
      </c>
      <c r="E1260" s="251">
        <v>-1.5484670176511159E-4</v>
      </c>
      <c r="G1260" s="251">
        <v>1251</v>
      </c>
      <c r="H1260" s="251">
        <f t="shared" ca="1" si="42"/>
        <v>1.4034103301386391E-2</v>
      </c>
    </row>
    <row r="1261" spans="2:8">
      <c r="B1261" s="252">
        <v>44386</v>
      </c>
      <c r="C1261" s="251">
        <v>306.3</v>
      </c>
      <c r="D1261" s="251">
        <f t="shared" si="41"/>
        <v>-0.52742420735940754</v>
      </c>
      <c r="E1261" s="251">
        <v>-1.6321201240415004E-4</v>
      </c>
      <c r="G1261" s="251">
        <v>1252</v>
      </c>
      <c r="H1261" s="251">
        <f t="shared" ca="1" si="42"/>
        <v>5.520619794960982E-2</v>
      </c>
    </row>
    <row r="1262" spans="2:8">
      <c r="B1262" s="252">
        <v>45726</v>
      </c>
      <c r="C1262" s="251">
        <v>648.15</v>
      </c>
      <c r="D1262" s="251">
        <f t="shared" si="41"/>
        <v>0.50097262748367377</v>
      </c>
      <c r="E1262" s="251">
        <v>-2.313743637204647E-4</v>
      </c>
      <c r="G1262" s="251">
        <v>1253</v>
      </c>
      <c r="H1262" s="251">
        <f t="shared" ca="1" si="42"/>
        <v>-4.4968478502869808E-2</v>
      </c>
    </row>
    <row r="1263" spans="2:8">
      <c r="B1263" s="252">
        <v>44894</v>
      </c>
      <c r="C1263" s="251">
        <v>431.82</v>
      </c>
      <c r="D1263" s="251">
        <f t="shared" si="41"/>
        <v>-0.37312912825724037</v>
      </c>
      <c r="E1263" s="251">
        <v>-2.3152435636234194E-4</v>
      </c>
      <c r="G1263" s="251">
        <v>1254</v>
      </c>
      <c r="H1263" s="251">
        <f t="shared" ca="1" si="42"/>
        <v>-2.6945174298155353E-2</v>
      </c>
    </row>
    <row r="1264" spans="2:8">
      <c r="B1264" s="252">
        <v>45845</v>
      </c>
      <c r="C1264" s="251">
        <v>688.85</v>
      </c>
      <c r="D1264" s="251">
        <f t="shared" si="41"/>
        <v>1.4229686950404503</v>
      </c>
      <c r="E1264" s="251">
        <v>-2.9025469849783297E-4</v>
      </c>
      <c r="G1264" s="251">
        <v>1255</v>
      </c>
      <c r="H1264" s="251">
        <f t="shared" ca="1" si="42"/>
        <v>2.4391909732775448E-2</v>
      </c>
    </row>
    <row r="1265" spans="2:8">
      <c r="B1265" s="252">
        <v>44434</v>
      </c>
      <c r="C1265" s="251">
        <v>284.3</v>
      </c>
      <c r="D1265" s="251">
        <f t="shared" si="41"/>
        <v>1.0170273146505855</v>
      </c>
      <c r="E1265" s="251">
        <v>-3.5161744022491526E-4</v>
      </c>
      <c r="G1265" s="251">
        <v>1256</v>
      </c>
      <c r="H1265" s="251">
        <f t="shared" ca="1" si="42"/>
        <v>4.1759678584408752E-2</v>
      </c>
    </row>
    <row r="1266" spans="2:8">
      <c r="B1266" s="252">
        <v>44112</v>
      </c>
      <c r="C1266" s="251">
        <v>140.94999999999999</v>
      </c>
      <c r="D1266" s="251">
        <f t="shared" si="41"/>
        <v>-0.66194987408562178</v>
      </c>
      <c r="E1266" s="251">
        <v>-3.5460992907809482E-4</v>
      </c>
      <c r="G1266" s="251">
        <v>1257</v>
      </c>
      <c r="H1266" s="251">
        <f t="shared" ca="1" si="42"/>
        <v>9.7592756679002954E-3</v>
      </c>
    </row>
    <row r="1267" spans="2:8">
      <c r="B1267" s="252">
        <v>44741</v>
      </c>
      <c r="C1267" s="251">
        <v>416.95</v>
      </c>
      <c r="D1267" s="251">
        <f t="shared" si="41"/>
        <v>5.5890397082658007E-2</v>
      </c>
      <c r="E1267" s="251">
        <v>-3.5962598897155143E-4</v>
      </c>
      <c r="G1267" s="251">
        <v>1258</v>
      </c>
      <c r="H1267" s="251">
        <f t="shared" ca="1" si="42"/>
        <v>-1.8375620419634756E-2</v>
      </c>
    </row>
    <row r="1268" spans="2:8">
      <c r="B1268" s="252">
        <v>44851</v>
      </c>
      <c r="C1268" s="251">
        <v>394.88</v>
      </c>
      <c r="D1268" s="251">
        <f t="shared" si="41"/>
        <v>-0.23002827337428103</v>
      </c>
      <c r="E1268" s="251">
        <v>-3.7971799610150435E-4</v>
      </c>
      <c r="G1268" s="251">
        <v>1259</v>
      </c>
      <c r="H1268" s="251">
        <f t="shared" ca="1" si="42"/>
        <v>1.0243780043441045E-2</v>
      </c>
    </row>
    <row r="1269" spans="2:8">
      <c r="B1269" s="252">
        <v>42775</v>
      </c>
      <c r="C1269" s="251">
        <v>512.85</v>
      </c>
      <c r="D1269" s="251">
        <f t="shared" si="41"/>
        <v>1.9076005961251908E-2</v>
      </c>
      <c r="E1269" s="251">
        <v>-3.8982555306487049E-4</v>
      </c>
      <c r="G1269" s="251">
        <v>1260</v>
      </c>
      <c r="H1269" s="251">
        <f t="shared" ca="1" si="42"/>
        <v>-4.825235037236094E-2</v>
      </c>
    </row>
    <row r="1270" spans="2:8">
      <c r="B1270" s="252">
        <v>42593</v>
      </c>
      <c r="C1270" s="251">
        <v>503.25</v>
      </c>
      <c r="D1270" s="251">
        <f t="shared" si="41"/>
        <v>4.5605651360897545E-2</v>
      </c>
      <c r="E1270" s="251">
        <v>-3.9725891349684902E-4</v>
      </c>
      <c r="G1270" s="251">
        <v>1261</v>
      </c>
      <c r="H1270" s="251">
        <f t="shared" ca="1" si="42"/>
        <v>5.1710680580175243E-2</v>
      </c>
    </row>
    <row r="1271" spans="2:8">
      <c r="B1271" s="252">
        <v>42885</v>
      </c>
      <c r="C1271" s="251">
        <v>481.3</v>
      </c>
      <c r="D1271" s="251">
        <f t="shared" si="41"/>
        <v>3.3204667863554755</v>
      </c>
      <c r="E1271" s="251">
        <v>-4.1536863966768145E-4</v>
      </c>
      <c r="G1271" s="251">
        <v>1262</v>
      </c>
      <c r="H1271" s="251">
        <f t="shared" ca="1" si="42"/>
        <v>2.1773068515941654E-2</v>
      </c>
    </row>
    <row r="1272" spans="2:8">
      <c r="B1272" s="252">
        <v>43992</v>
      </c>
      <c r="C1272" s="251">
        <v>111.4</v>
      </c>
      <c r="D1272" s="251">
        <f t="shared" si="41"/>
        <v>-0.74429014116836911</v>
      </c>
      <c r="E1272" s="251">
        <v>-4.4863167339611627E-4</v>
      </c>
      <c r="G1272" s="251">
        <v>1263</v>
      </c>
      <c r="H1272" s="251">
        <f t="shared" ca="1" si="42"/>
        <v>-3.6887450927346348E-2</v>
      </c>
    </row>
    <row r="1273" spans="2:8">
      <c r="B1273" s="252">
        <v>44720</v>
      </c>
      <c r="C1273" s="251">
        <v>435.65</v>
      </c>
      <c r="D1273" s="251">
        <f t="shared" si="41"/>
        <v>-0.53360026550472672</v>
      </c>
      <c r="E1273" s="251">
        <v>-4.5887346564195359E-4</v>
      </c>
      <c r="G1273" s="251">
        <v>1264</v>
      </c>
      <c r="H1273" s="251">
        <f t="shared" ca="1" si="42"/>
        <v>4.8498785241379586E-2</v>
      </c>
    </row>
    <row r="1274" spans="2:8">
      <c r="B1274" s="252">
        <v>45348</v>
      </c>
      <c r="C1274" s="251">
        <v>934.07</v>
      </c>
      <c r="D1274" s="251">
        <f t="shared" si="41"/>
        <v>0.51073121027349644</v>
      </c>
      <c r="E1274" s="251">
        <v>-4.8153062534769911E-4</v>
      </c>
      <c r="G1274" s="251">
        <v>1265</v>
      </c>
      <c r="H1274" s="251">
        <f t="shared" ca="1" si="42"/>
        <v>3.1903562073560793E-2</v>
      </c>
    </row>
    <row r="1275" spans="2:8">
      <c r="B1275" s="252">
        <v>45160</v>
      </c>
      <c r="C1275" s="251">
        <v>618.29</v>
      </c>
      <c r="D1275" s="251">
        <f t="shared" si="41"/>
        <v>2.1505222929936303</v>
      </c>
      <c r="E1275" s="251">
        <v>-4.8497389223891137E-4</v>
      </c>
      <c r="G1275" s="251">
        <v>1266</v>
      </c>
      <c r="H1275" s="251">
        <f t="shared" ca="1" si="42"/>
        <v>-9.1226167293875591E-3</v>
      </c>
    </row>
    <row r="1276" spans="2:8">
      <c r="B1276" s="252">
        <v>43843</v>
      </c>
      <c r="C1276" s="251">
        <v>196.25</v>
      </c>
      <c r="D1276" s="251">
        <f t="shared" si="41"/>
        <v>-0.47944297082228116</v>
      </c>
      <c r="E1276" s="251">
        <v>-5.0929462694165688E-4</v>
      </c>
      <c r="G1276" s="251">
        <v>1267</v>
      </c>
      <c r="H1276" s="251">
        <f t="shared" ca="1" si="42"/>
        <v>2.8658707687001576E-2</v>
      </c>
    </row>
    <row r="1277" spans="2:8">
      <c r="B1277" s="252">
        <v>42452</v>
      </c>
      <c r="C1277" s="251">
        <v>377</v>
      </c>
      <c r="D1277" s="251">
        <f t="shared" si="41"/>
        <v>-0.61888394662353419</v>
      </c>
      <c r="E1277" s="251">
        <v>-5.3022269353125305E-4</v>
      </c>
      <c r="G1277" s="251">
        <v>1268</v>
      </c>
      <c r="H1277" s="251">
        <f t="shared" ca="1" si="42"/>
        <v>-6.5085457574110299E-3</v>
      </c>
    </row>
    <row r="1278" spans="2:8">
      <c r="B1278" s="252">
        <v>45383</v>
      </c>
      <c r="C1278" s="251">
        <v>989.2</v>
      </c>
      <c r="D1278" s="251">
        <f t="shared" si="41"/>
        <v>1.2643928121780932</v>
      </c>
      <c r="E1278" s="251">
        <v>-5.5569588279864054E-4</v>
      </c>
      <c r="G1278" s="251">
        <v>1269</v>
      </c>
      <c r="H1278" s="251">
        <f t="shared" ca="1" si="42"/>
        <v>5.0706849744784942E-3</v>
      </c>
    </row>
    <row r="1279" spans="2:8">
      <c r="B1279" s="252">
        <v>42923</v>
      </c>
      <c r="C1279" s="251">
        <v>436.85</v>
      </c>
      <c r="D1279" s="251">
        <f t="shared" si="41"/>
        <v>-0.36944284064665117</v>
      </c>
      <c r="E1279" s="251">
        <v>-5.7195149851292605E-4</v>
      </c>
      <c r="G1279" s="251">
        <v>1270</v>
      </c>
      <c r="H1279" s="251">
        <f t="shared" ca="1" si="42"/>
        <v>-1.9147881066844334E-2</v>
      </c>
    </row>
    <row r="1280" spans="2:8">
      <c r="B1280" s="252">
        <v>45847</v>
      </c>
      <c r="C1280" s="251">
        <v>692.8</v>
      </c>
      <c r="D1280" s="251">
        <f t="shared" si="41"/>
        <v>3.0597714620568413</v>
      </c>
      <c r="E1280" s="251">
        <v>-5.7703404500878666E-4</v>
      </c>
      <c r="G1280" s="251">
        <v>1271</v>
      </c>
      <c r="H1280" s="251">
        <f t="shared" ca="1" si="42"/>
        <v>-2.1284838649732379E-2</v>
      </c>
    </row>
    <row r="1281" spans="2:8">
      <c r="B1281" s="252">
        <v>43396</v>
      </c>
      <c r="C1281" s="251">
        <v>170.65</v>
      </c>
      <c r="D1281" s="251">
        <f t="shared" si="41"/>
        <v>-0.59685802031656032</v>
      </c>
      <c r="E1281" s="251">
        <v>-5.8565153733525221E-4</v>
      </c>
      <c r="G1281" s="251">
        <v>1272</v>
      </c>
      <c r="H1281" s="251">
        <f t="shared" ca="1" si="42"/>
        <v>-4.5114594415211979E-3</v>
      </c>
    </row>
    <row r="1282" spans="2:8">
      <c r="B1282" s="252">
        <v>43013</v>
      </c>
      <c r="C1282" s="251">
        <v>423.3</v>
      </c>
      <c r="D1282" s="251">
        <f t="shared" si="41"/>
        <v>-0.12595498657856699</v>
      </c>
      <c r="E1282" s="251">
        <v>-5.9024908511391802E-4</v>
      </c>
      <c r="G1282" s="251">
        <v>1273</v>
      </c>
      <c r="H1282" s="251">
        <f t="shared" ca="1" si="42"/>
        <v>-4.1257687631976424E-2</v>
      </c>
    </row>
    <row r="1283" spans="2:8">
      <c r="B1283" s="252">
        <v>42563</v>
      </c>
      <c r="C1283" s="251">
        <v>484.3</v>
      </c>
      <c r="D1283" s="251">
        <f t="shared" si="41"/>
        <v>2.3457311918850428E-2</v>
      </c>
      <c r="E1283" s="251">
        <v>-6.1906727197691153E-4</v>
      </c>
      <c r="G1283" s="251">
        <v>1274</v>
      </c>
      <c r="H1283" s="251">
        <f t="shared" ca="1" si="42"/>
        <v>5.7047622655527824E-3</v>
      </c>
    </row>
    <row r="1284" spans="2:8">
      <c r="B1284" s="252">
        <v>42831</v>
      </c>
      <c r="C1284" s="251">
        <v>473.2</v>
      </c>
      <c r="D1284" s="251">
        <f t="shared" si="41"/>
        <v>0.52768361581920897</v>
      </c>
      <c r="E1284" s="251">
        <v>-6.3357972544880964E-4</v>
      </c>
      <c r="G1284" s="251">
        <v>1275</v>
      </c>
      <c r="H1284" s="251">
        <f t="shared" ca="1" si="42"/>
        <v>3.8852748444852307E-2</v>
      </c>
    </row>
    <row r="1285" spans="2:8">
      <c r="B1285" s="252">
        <v>43262</v>
      </c>
      <c r="C1285" s="251">
        <v>309.75</v>
      </c>
      <c r="D1285" s="251">
        <f t="shared" si="41"/>
        <v>-0.56963027802092447</v>
      </c>
      <c r="E1285" s="251">
        <v>-6.4526536538147649E-4</v>
      </c>
      <c r="G1285" s="251">
        <v>1276</v>
      </c>
      <c r="H1285" s="251">
        <f t="shared" ca="1" si="42"/>
        <v>2.9894274627004534E-2</v>
      </c>
    </row>
    <row r="1286" spans="2:8">
      <c r="B1286" s="252">
        <v>45267</v>
      </c>
      <c r="C1286" s="251">
        <v>719.73</v>
      </c>
      <c r="D1286" s="251">
        <f t="shared" si="41"/>
        <v>5.2467646413687202E-2</v>
      </c>
      <c r="E1286" s="251">
        <v>-6.9422267886647322E-4</v>
      </c>
      <c r="G1286" s="251">
        <v>1277</v>
      </c>
      <c r="H1286" s="251">
        <f t="shared" ca="1" si="42"/>
        <v>-2.3758897448480965E-2</v>
      </c>
    </row>
    <row r="1287" spans="2:8">
      <c r="B1287" s="252">
        <v>45701</v>
      </c>
      <c r="C1287" s="251">
        <v>683.85</v>
      </c>
      <c r="D1287" s="251">
        <f t="shared" si="41"/>
        <v>-0.37082528291471162</v>
      </c>
      <c r="E1287" s="251">
        <v>-7.3062029663184037E-4</v>
      </c>
      <c r="G1287" s="251">
        <v>1278</v>
      </c>
      <c r="H1287" s="251">
        <f t="shared" ca="1" si="42"/>
        <v>-1.0195884263750836E-2</v>
      </c>
    </row>
    <row r="1288" spans="2:8">
      <c r="B1288" s="252">
        <v>45524</v>
      </c>
      <c r="C1288" s="267">
        <v>1086.9000000000001</v>
      </c>
      <c r="D1288" s="251">
        <f t="shared" si="41"/>
        <v>0.60050066264173174</v>
      </c>
      <c r="E1288" s="251">
        <v>-7.3549692010660525E-4</v>
      </c>
      <c r="G1288" s="251">
        <v>1279</v>
      </c>
      <c r="H1288" s="251">
        <f t="shared" ca="1" si="42"/>
        <v>-2.8040192024762E-2</v>
      </c>
    </row>
    <row r="1289" spans="2:8">
      <c r="B1289" s="252">
        <v>45252</v>
      </c>
      <c r="C1289" s="251">
        <v>679.1</v>
      </c>
      <c r="D1289" s="251">
        <f t="shared" si="41"/>
        <v>-5.3571926303759988E-2</v>
      </c>
      <c r="E1289" s="251">
        <v>-7.3572689817539725E-4</v>
      </c>
      <c r="G1289" s="251">
        <v>1280</v>
      </c>
      <c r="H1289" s="251">
        <f t="shared" ca="1" si="42"/>
        <v>3.8610340773959197E-3</v>
      </c>
    </row>
    <row r="1290" spans="2:8">
      <c r="B1290" s="252">
        <v>45274</v>
      </c>
      <c r="C1290" s="251">
        <v>717.54</v>
      </c>
      <c r="D1290" s="251">
        <f t="shared" ref="D1290:D1353" si="43">(C1290-C1291)/C1291</f>
        <v>4.8838868388683876</v>
      </c>
      <c r="E1290" s="251">
        <v>-7.5200534759369052E-4</v>
      </c>
      <c r="G1290" s="251">
        <v>1281</v>
      </c>
      <c r="H1290" s="251">
        <f t="shared" ca="1" si="42"/>
        <v>-2.939516992021075E-2</v>
      </c>
    </row>
    <row r="1291" spans="2:8">
      <c r="B1291" s="252">
        <v>43690</v>
      </c>
      <c r="C1291" s="251">
        <v>121.95</v>
      </c>
      <c r="D1291" s="251">
        <f t="shared" si="43"/>
        <v>-0.3080851063829787</v>
      </c>
      <c r="E1291" s="251">
        <v>-8.1933633756652447E-4</v>
      </c>
      <c r="G1291" s="251">
        <v>1282</v>
      </c>
      <c r="H1291" s="251">
        <f t="shared" ref="H1291:H1354" ca="1" si="44">_xlfn.NORM.INV(RAND(),N$12,N$13)</f>
        <v>-1.5358327242546994E-3</v>
      </c>
    </row>
    <row r="1292" spans="2:8">
      <c r="B1292" s="252">
        <v>43455</v>
      </c>
      <c r="C1292" s="251">
        <v>176.25</v>
      </c>
      <c r="D1292" s="251">
        <f t="shared" si="43"/>
        <v>-0.57161607077753207</v>
      </c>
      <c r="E1292" s="251">
        <v>-8.5034013605445394E-4</v>
      </c>
      <c r="G1292" s="251">
        <v>1283</v>
      </c>
      <c r="H1292" s="251">
        <f t="shared" ca="1" si="44"/>
        <v>-2.4311373409744888E-2</v>
      </c>
    </row>
    <row r="1293" spans="2:8">
      <c r="B1293" s="252">
        <v>44743</v>
      </c>
      <c r="C1293" s="251">
        <v>411.43</v>
      </c>
      <c r="D1293" s="251">
        <f t="shared" si="43"/>
        <v>-0.48871629178575871</v>
      </c>
      <c r="E1293" s="251">
        <v>-8.9849441476445976E-4</v>
      </c>
      <c r="G1293" s="251">
        <v>1284</v>
      </c>
      <c r="H1293" s="251">
        <f t="shared" ca="1" si="44"/>
        <v>5.8230374237877493E-3</v>
      </c>
    </row>
    <row r="1294" spans="2:8">
      <c r="B1294" s="252">
        <v>45607</v>
      </c>
      <c r="C1294" s="251">
        <v>804.7</v>
      </c>
      <c r="D1294" s="251">
        <f t="shared" si="43"/>
        <v>1.526134044890912</v>
      </c>
      <c r="E1294" s="251">
        <v>-9.3115649636848965E-4</v>
      </c>
      <c r="G1294" s="251">
        <v>1285</v>
      </c>
      <c r="H1294" s="251">
        <f t="shared" ca="1" si="44"/>
        <v>2.0536842486048628E-2</v>
      </c>
    </row>
    <row r="1295" spans="2:8">
      <c r="B1295" s="252">
        <v>42423</v>
      </c>
      <c r="C1295" s="251">
        <v>318.55</v>
      </c>
      <c r="D1295" s="251">
        <f t="shared" si="43"/>
        <v>2.2140221402214132E-2</v>
      </c>
      <c r="E1295" s="251">
        <v>-9.4088129214367684E-4</v>
      </c>
      <c r="G1295" s="251">
        <v>1286</v>
      </c>
      <c r="H1295" s="251">
        <f t="shared" ca="1" si="44"/>
        <v>9.7782592151830477E-3</v>
      </c>
    </row>
    <row r="1296" spans="2:8">
      <c r="B1296" s="252">
        <v>44455</v>
      </c>
      <c r="C1296" s="251">
        <v>311.64999999999998</v>
      </c>
      <c r="D1296" s="251">
        <f t="shared" si="43"/>
        <v>-0.32272085189612082</v>
      </c>
      <c r="E1296" s="251">
        <v>-9.6169257893896902E-4</v>
      </c>
      <c r="G1296" s="251">
        <v>1287</v>
      </c>
      <c r="H1296" s="251">
        <f t="shared" ca="1" si="44"/>
        <v>1.1115304724660225E-2</v>
      </c>
    </row>
    <row r="1297" spans="2:8">
      <c r="B1297" s="252">
        <v>42936</v>
      </c>
      <c r="C1297" s="251">
        <v>460.15</v>
      </c>
      <c r="D1297" s="251">
        <f t="shared" si="43"/>
        <v>-0.42416468527092982</v>
      </c>
      <c r="E1297" s="251">
        <v>-9.769865392966683E-4</v>
      </c>
      <c r="G1297" s="251">
        <v>1288</v>
      </c>
      <c r="H1297" s="251">
        <f t="shared" ca="1" si="44"/>
        <v>-2.5125356391082019E-2</v>
      </c>
    </row>
    <row r="1298" spans="2:8">
      <c r="B1298" s="252">
        <v>45637</v>
      </c>
      <c r="C1298" s="251">
        <v>799.1</v>
      </c>
      <c r="D1298" s="251">
        <f t="shared" si="43"/>
        <v>0.77993094999443158</v>
      </c>
      <c r="E1298" s="251">
        <v>-1.0001250156268966E-3</v>
      </c>
      <c r="G1298" s="251">
        <v>1289</v>
      </c>
      <c r="H1298" s="251">
        <f t="shared" ca="1" si="44"/>
        <v>-2.1761315663890432E-2</v>
      </c>
    </row>
    <row r="1299" spans="2:8">
      <c r="B1299" s="252">
        <v>42548</v>
      </c>
      <c r="C1299" s="251">
        <v>448.95</v>
      </c>
      <c r="D1299" s="251">
        <f t="shared" si="43"/>
        <v>2.0252695417789752</v>
      </c>
      <c r="E1299" s="251">
        <v>-1.0013351134846209E-3</v>
      </c>
      <c r="G1299" s="251">
        <v>1290</v>
      </c>
      <c r="H1299" s="251">
        <f t="shared" ca="1" si="44"/>
        <v>-3.1511601946846546E-2</v>
      </c>
    </row>
    <row r="1300" spans="2:8">
      <c r="B1300" s="252">
        <v>44089</v>
      </c>
      <c r="C1300" s="251">
        <v>148.4</v>
      </c>
      <c r="D1300" s="251">
        <f t="shared" si="43"/>
        <v>-0.76872847413779666</v>
      </c>
      <c r="E1300" s="251">
        <v>-1.0097610232245417E-3</v>
      </c>
      <c r="G1300" s="251">
        <v>1291</v>
      </c>
      <c r="H1300" s="251">
        <f t="shared" ca="1" si="44"/>
        <v>3.3730309443130692E-2</v>
      </c>
    </row>
    <row r="1301" spans="2:8">
      <c r="B1301" s="252">
        <v>45139</v>
      </c>
      <c r="C1301" s="251">
        <v>641.66999999999996</v>
      </c>
      <c r="D1301" s="251">
        <f t="shared" si="43"/>
        <v>-0.30265388628064688</v>
      </c>
      <c r="E1301" s="251">
        <v>-1.0119566571180889E-3</v>
      </c>
      <c r="G1301" s="251">
        <v>1292</v>
      </c>
      <c r="H1301" s="251">
        <f t="shared" ca="1" si="44"/>
        <v>-2.9641988035989858E-2</v>
      </c>
    </row>
    <row r="1302" spans="2:8">
      <c r="B1302" s="252">
        <v>45443</v>
      </c>
      <c r="C1302" s="251">
        <v>920.16</v>
      </c>
      <c r="D1302" s="251">
        <f t="shared" si="43"/>
        <v>0.93310924369747894</v>
      </c>
      <c r="E1302" s="251">
        <v>-1.031364332164503E-3</v>
      </c>
      <c r="G1302" s="251">
        <v>1293</v>
      </c>
      <c r="H1302" s="251">
        <f t="shared" ca="1" si="44"/>
        <v>-5.7229304398834788E-3</v>
      </c>
    </row>
    <row r="1303" spans="2:8">
      <c r="B1303" s="252">
        <v>42814</v>
      </c>
      <c r="C1303" s="251">
        <v>476</v>
      </c>
      <c r="D1303" s="251">
        <f t="shared" si="43"/>
        <v>0.11201962387571543</v>
      </c>
      <c r="E1303" s="251">
        <v>-1.0493179433368311E-3</v>
      </c>
      <c r="G1303" s="251">
        <v>1294</v>
      </c>
      <c r="H1303" s="251">
        <f t="shared" ca="1" si="44"/>
        <v>5.0603032853785646E-2</v>
      </c>
    </row>
    <row r="1304" spans="2:8">
      <c r="B1304" s="252">
        <v>44722</v>
      </c>
      <c r="C1304" s="251">
        <v>428.05</v>
      </c>
      <c r="D1304" s="251">
        <f t="shared" si="43"/>
        <v>-2.5387067395264064E-2</v>
      </c>
      <c r="E1304" s="251">
        <v>-1.050175029171502E-3</v>
      </c>
      <c r="G1304" s="251">
        <v>1295</v>
      </c>
      <c r="H1304" s="251">
        <f t="shared" ca="1" si="44"/>
        <v>-7.2940293912461601E-3</v>
      </c>
    </row>
    <row r="1305" spans="2:8">
      <c r="B1305" s="252">
        <v>44971</v>
      </c>
      <c r="C1305" s="251">
        <v>439.2</v>
      </c>
      <c r="D1305" s="251">
        <f t="shared" si="43"/>
        <v>1.5534883720930233</v>
      </c>
      <c r="E1305" s="251">
        <v>-1.1144215242557462E-3</v>
      </c>
      <c r="G1305" s="251">
        <v>1296</v>
      </c>
      <c r="H1305" s="251">
        <f t="shared" ca="1" si="44"/>
        <v>2.4073262260310434E-2</v>
      </c>
    </row>
    <row r="1306" spans="2:8">
      <c r="B1306" s="252">
        <v>43774</v>
      </c>
      <c r="C1306" s="251">
        <v>172</v>
      </c>
      <c r="D1306" s="251">
        <f t="shared" si="43"/>
        <v>1.4749262536873156E-2</v>
      </c>
      <c r="E1306" s="251">
        <v>-1.1614401858303638E-3</v>
      </c>
      <c r="G1306" s="251">
        <v>1297</v>
      </c>
      <c r="H1306" s="251">
        <f t="shared" ca="1" si="44"/>
        <v>-2.5024988225745125E-2</v>
      </c>
    </row>
    <row r="1307" spans="2:8">
      <c r="B1307" s="252">
        <v>43623</v>
      </c>
      <c r="C1307" s="251">
        <v>169.5</v>
      </c>
      <c r="D1307" s="251">
        <f t="shared" si="43"/>
        <v>-0.59503046231035717</v>
      </c>
      <c r="E1307" s="251">
        <v>-1.1785503830288077E-3</v>
      </c>
      <c r="G1307" s="251">
        <v>1298</v>
      </c>
      <c r="H1307" s="251">
        <f t="shared" ca="1" si="44"/>
        <v>4.4005315163963991E-2</v>
      </c>
    </row>
    <row r="1308" spans="2:8">
      <c r="B1308" s="252">
        <v>42487</v>
      </c>
      <c r="C1308" s="251">
        <v>418.55</v>
      </c>
      <c r="D1308" s="251">
        <f t="shared" si="43"/>
        <v>-8.8721968212497282E-2</v>
      </c>
      <c r="E1308" s="251">
        <v>-1.1931750387781887E-3</v>
      </c>
      <c r="G1308" s="251">
        <v>1299</v>
      </c>
      <c r="H1308" s="251">
        <f t="shared" ca="1" si="44"/>
        <v>1.0176450983011644E-2</v>
      </c>
    </row>
    <row r="1309" spans="2:8">
      <c r="B1309" s="252">
        <v>42704</v>
      </c>
      <c r="C1309" s="251">
        <v>459.3</v>
      </c>
      <c r="D1309" s="251">
        <f t="shared" si="43"/>
        <v>-4.9678260329809008E-2</v>
      </c>
      <c r="E1309" s="251">
        <v>-1.196042187669917E-3</v>
      </c>
      <c r="G1309" s="251">
        <v>1300</v>
      </c>
      <c r="H1309" s="251">
        <f t="shared" ca="1" si="44"/>
        <v>-4.9860323546367848E-3</v>
      </c>
    </row>
    <row r="1310" spans="2:8">
      <c r="B1310" s="252">
        <v>44791</v>
      </c>
      <c r="C1310" s="251">
        <v>483.31</v>
      </c>
      <c r="D1310" s="251">
        <f t="shared" si="43"/>
        <v>1.0791592596465597E-2</v>
      </c>
      <c r="E1310" s="251">
        <v>-1.2398999814015473E-3</v>
      </c>
      <c r="G1310" s="251">
        <v>1301</v>
      </c>
      <c r="H1310" s="251">
        <f t="shared" ca="1" si="44"/>
        <v>-4.513207734653165E-2</v>
      </c>
    </row>
    <row r="1311" spans="2:8">
      <c r="B1311" s="252">
        <v>42891</v>
      </c>
      <c r="C1311" s="251">
        <v>478.15</v>
      </c>
      <c r="D1311" s="251">
        <f t="shared" si="43"/>
        <v>1.4234668018246324</v>
      </c>
      <c r="E1311" s="251">
        <v>-1.2532637075718491E-3</v>
      </c>
      <c r="G1311" s="251">
        <v>1302</v>
      </c>
      <c r="H1311" s="251">
        <f t="shared" ca="1" si="44"/>
        <v>2.3543655554829301E-2</v>
      </c>
    </row>
    <row r="1312" spans="2:8">
      <c r="B1312" s="252">
        <v>43847</v>
      </c>
      <c r="C1312" s="251">
        <v>197.3</v>
      </c>
      <c r="D1312" s="251">
        <f t="shared" si="43"/>
        <v>-0.6811261596147008</v>
      </c>
      <c r="E1312" s="251">
        <v>-1.2655024044545683E-3</v>
      </c>
      <c r="G1312" s="251">
        <v>1303</v>
      </c>
      <c r="H1312" s="251">
        <f t="shared" ca="1" si="44"/>
        <v>3.9265016962655164E-2</v>
      </c>
    </row>
    <row r="1313" spans="2:8">
      <c r="B1313" s="252">
        <v>45120</v>
      </c>
      <c r="C1313" s="251">
        <v>618.74</v>
      </c>
      <c r="D1313" s="251">
        <f t="shared" si="43"/>
        <v>0.33349137931034484</v>
      </c>
      <c r="E1313" s="251">
        <v>-1.2912806275623117E-3</v>
      </c>
      <c r="G1313" s="251">
        <v>1304</v>
      </c>
      <c r="H1313" s="251">
        <f t="shared" ca="1" si="44"/>
        <v>-1.3552173704534105E-2</v>
      </c>
    </row>
    <row r="1314" spans="2:8">
      <c r="B1314" s="252">
        <v>42940</v>
      </c>
      <c r="C1314" s="251">
        <v>464</v>
      </c>
      <c r="D1314" s="251">
        <f t="shared" si="43"/>
        <v>2.5754393721675643E-2</v>
      </c>
      <c r="E1314" s="251">
        <v>-1.2914334911752533E-3</v>
      </c>
      <c r="G1314" s="251">
        <v>1305</v>
      </c>
      <c r="H1314" s="251">
        <f t="shared" ca="1" si="44"/>
        <v>-3.1314870964741642E-2</v>
      </c>
    </row>
    <row r="1315" spans="2:8">
      <c r="B1315" s="252">
        <v>42699</v>
      </c>
      <c r="C1315" s="251">
        <v>452.35</v>
      </c>
      <c r="D1315" s="251">
        <f t="shared" si="43"/>
        <v>-0.54846276701936514</v>
      </c>
      <c r="E1315" s="251">
        <v>-1.3246495198144738E-3</v>
      </c>
      <c r="G1315" s="251">
        <v>1306</v>
      </c>
      <c r="H1315" s="251">
        <f t="shared" ca="1" si="44"/>
        <v>-3.0373412980439982E-2</v>
      </c>
    </row>
    <row r="1316" spans="2:8">
      <c r="B1316" s="252">
        <v>45496</v>
      </c>
      <c r="C1316" s="267">
        <v>1001.8</v>
      </c>
      <c r="D1316" s="251">
        <f t="shared" si="43"/>
        <v>0.42446820611989533</v>
      </c>
      <c r="E1316" s="251">
        <v>-1.3457608533120897E-3</v>
      </c>
      <c r="G1316" s="251">
        <v>1307</v>
      </c>
      <c r="H1316" s="251">
        <f t="shared" ca="1" si="44"/>
        <v>-3.2933421213802619E-2</v>
      </c>
    </row>
    <row r="1317" spans="2:8">
      <c r="B1317" s="252">
        <v>45261</v>
      </c>
      <c r="C1317" s="251">
        <v>703.28</v>
      </c>
      <c r="D1317" s="251">
        <f t="shared" si="43"/>
        <v>5.8917413234961975E-2</v>
      </c>
      <c r="E1317" s="251">
        <v>-1.3489910966588267E-3</v>
      </c>
      <c r="G1317" s="251">
        <v>1308</v>
      </c>
      <c r="H1317" s="251">
        <f t="shared" ca="1" si="44"/>
        <v>2.4492171300084988E-2</v>
      </c>
    </row>
    <row r="1318" spans="2:8">
      <c r="B1318" s="252">
        <v>45215</v>
      </c>
      <c r="C1318" s="251">
        <v>664.15</v>
      </c>
      <c r="D1318" s="251">
        <f t="shared" si="43"/>
        <v>0.41791204099060636</v>
      </c>
      <c r="E1318" s="251">
        <v>-1.3532817081422109E-3</v>
      </c>
      <c r="G1318" s="251">
        <v>1309</v>
      </c>
      <c r="H1318" s="251">
        <f t="shared" ca="1" si="44"/>
        <v>-7.6052276608750877E-4</v>
      </c>
    </row>
    <row r="1319" spans="2:8">
      <c r="B1319" s="252">
        <v>42824</v>
      </c>
      <c r="C1319" s="251">
        <v>468.4</v>
      </c>
      <c r="D1319" s="251">
        <f t="shared" si="43"/>
        <v>5.6251768033946252</v>
      </c>
      <c r="E1319" s="251">
        <v>-1.3857797676154655E-3</v>
      </c>
      <c r="G1319" s="251">
        <v>1310</v>
      </c>
      <c r="H1319" s="251">
        <f t="shared" ca="1" si="44"/>
        <v>4.115345044839859E-2</v>
      </c>
    </row>
    <row r="1320" spans="2:8">
      <c r="B1320" s="252">
        <v>43917</v>
      </c>
      <c r="C1320" s="251">
        <v>70.7</v>
      </c>
      <c r="D1320" s="251">
        <f t="shared" si="43"/>
        <v>-0.83029692038117187</v>
      </c>
      <c r="E1320" s="251">
        <v>-1.4124293785309932E-3</v>
      </c>
      <c r="G1320" s="251">
        <v>1311</v>
      </c>
      <c r="H1320" s="251">
        <f t="shared" ca="1" si="44"/>
        <v>-4.4615573512449443E-2</v>
      </c>
    </row>
    <row r="1321" spans="2:8">
      <c r="B1321" s="252">
        <v>44909</v>
      </c>
      <c r="C1321" s="251">
        <v>416.61</v>
      </c>
      <c r="D1321" s="251">
        <f t="shared" si="43"/>
        <v>-5.9677237332129547E-2</v>
      </c>
      <c r="E1321" s="251">
        <v>-1.4381246854101434E-3</v>
      </c>
      <c r="G1321" s="251">
        <v>1312</v>
      </c>
      <c r="H1321" s="251">
        <f t="shared" ca="1" si="44"/>
        <v>1.4453814179620807E-3</v>
      </c>
    </row>
    <row r="1322" spans="2:8">
      <c r="B1322" s="252">
        <v>42844</v>
      </c>
      <c r="C1322" s="251">
        <v>443.05</v>
      </c>
      <c r="D1322" s="251">
        <f t="shared" si="43"/>
        <v>-0.27174252510807567</v>
      </c>
      <c r="E1322" s="251">
        <v>-1.4649537976109473E-3</v>
      </c>
      <c r="G1322" s="251">
        <v>1313</v>
      </c>
      <c r="H1322" s="251">
        <f t="shared" ca="1" si="44"/>
        <v>4.4903518923083661E-2</v>
      </c>
    </row>
    <row r="1323" spans="2:8">
      <c r="B1323" s="252">
        <v>45175</v>
      </c>
      <c r="C1323" s="251">
        <v>608.37</v>
      </c>
      <c r="D1323" s="251">
        <f t="shared" si="43"/>
        <v>0.43907746895328209</v>
      </c>
      <c r="E1323" s="251">
        <v>-1.4771776059874561E-3</v>
      </c>
      <c r="G1323" s="251">
        <v>1314</v>
      </c>
      <c r="H1323" s="251">
        <f t="shared" ca="1" si="44"/>
        <v>-7.2248693576724031E-3</v>
      </c>
    </row>
    <row r="1324" spans="2:8">
      <c r="B1324" s="252">
        <v>44888</v>
      </c>
      <c r="C1324" s="251">
        <v>422.75</v>
      </c>
      <c r="D1324" s="251">
        <f t="shared" si="43"/>
        <v>-0.32443229940713042</v>
      </c>
      <c r="E1324" s="251">
        <v>-1.5116086823023368E-3</v>
      </c>
      <c r="G1324" s="251">
        <v>1315</v>
      </c>
      <c r="H1324" s="251">
        <f t="shared" ca="1" si="44"/>
        <v>2.5996772035366447E-2</v>
      </c>
    </row>
    <row r="1325" spans="2:8">
      <c r="B1325" s="252">
        <v>45231</v>
      </c>
      <c r="C1325" s="251">
        <v>625.77</v>
      </c>
      <c r="D1325" s="251">
        <f t="shared" si="43"/>
        <v>2.8532635467980296</v>
      </c>
      <c r="E1325" s="251">
        <v>-1.5158284401328272E-3</v>
      </c>
      <c r="G1325" s="251">
        <v>1316</v>
      </c>
      <c r="H1325" s="251">
        <f t="shared" ca="1" si="44"/>
        <v>-2.422074604886546E-3</v>
      </c>
    </row>
    <row r="1326" spans="2:8">
      <c r="B1326" s="252">
        <v>43441</v>
      </c>
      <c r="C1326" s="251">
        <v>162.4</v>
      </c>
      <c r="D1326" s="251">
        <f t="shared" si="43"/>
        <v>-0.61525704809286907</v>
      </c>
      <c r="E1326" s="251">
        <v>-1.5370427297878881E-3</v>
      </c>
      <c r="G1326" s="251">
        <v>1317</v>
      </c>
      <c r="H1326" s="251">
        <f t="shared" ca="1" si="44"/>
        <v>9.3588107555561025E-3</v>
      </c>
    </row>
    <row r="1327" spans="2:8">
      <c r="B1327" s="252">
        <v>44889</v>
      </c>
      <c r="C1327" s="251">
        <v>422.1</v>
      </c>
      <c r="D1327" s="251">
        <f t="shared" si="43"/>
        <v>-0.61103943973461117</v>
      </c>
      <c r="E1327" s="251">
        <v>-1.5375517445298103E-3</v>
      </c>
      <c r="G1327" s="251">
        <v>1318</v>
      </c>
      <c r="H1327" s="251">
        <f t="shared" ca="1" si="44"/>
        <v>1.9442607963931616E-2</v>
      </c>
    </row>
    <row r="1328" spans="2:8">
      <c r="B1328" s="252">
        <v>45525</v>
      </c>
      <c r="C1328" s="267">
        <v>1085.2</v>
      </c>
      <c r="D1328" s="251">
        <f t="shared" si="43"/>
        <v>1.6617610988471916</v>
      </c>
      <c r="E1328" s="251">
        <v>-1.5640813322293176E-3</v>
      </c>
      <c r="G1328" s="251">
        <v>1319</v>
      </c>
      <c r="H1328" s="251">
        <f t="shared" ca="1" si="44"/>
        <v>-3.7005641695592388E-2</v>
      </c>
    </row>
    <row r="1329" spans="2:8">
      <c r="B1329" s="252">
        <v>42492</v>
      </c>
      <c r="C1329" s="251">
        <v>407.7</v>
      </c>
      <c r="D1329" s="251">
        <f t="shared" si="43"/>
        <v>-0.36596062330876178</v>
      </c>
      <c r="E1329" s="251">
        <v>-1.5917717644178622E-3</v>
      </c>
      <c r="G1329" s="251">
        <v>1320</v>
      </c>
      <c r="H1329" s="251">
        <f t="shared" ca="1" si="44"/>
        <v>-3.5172226896000632E-3</v>
      </c>
    </row>
    <row r="1330" spans="2:8">
      <c r="B1330" s="252">
        <v>45237</v>
      </c>
      <c r="C1330" s="251">
        <v>643.02</v>
      </c>
      <c r="D1330" s="251">
        <f t="shared" si="43"/>
        <v>2.4975251563774816</v>
      </c>
      <c r="E1330" s="251">
        <v>-1.6147563891562335E-3</v>
      </c>
      <c r="G1330" s="251">
        <v>1321</v>
      </c>
      <c r="H1330" s="251">
        <f t="shared" ca="1" si="44"/>
        <v>1.0870469482082628E-2</v>
      </c>
    </row>
    <row r="1331" spans="2:8">
      <c r="B1331" s="252">
        <v>44196</v>
      </c>
      <c r="C1331" s="251">
        <v>183.85</v>
      </c>
      <c r="D1331" s="251">
        <f t="shared" si="43"/>
        <v>-0.74797806716929405</v>
      </c>
      <c r="E1331" s="251">
        <v>-1.6291067064893368E-3</v>
      </c>
      <c r="G1331" s="251">
        <v>1322</v>
      </c>
      <c r="H1331" s="251">
        <f t="shared" ca="1" si="44"/>
        <v>-3.6859666261369384E-2</v>
      </c>
    </row>
    <row r="1332" spans="2:8">
      <c r="B1332" s="252">
        <v>45796</v>
      </c>
      <c r="C1332" s="251">
        <v>729.5</v>
      </c>
      <c r="D1332" s="251">
        <f t="shared" si="43"/>
        <v>1.1824981301421091</v>
      </c>
      <c r="E1332" s="251">
        <v>-1.6422608457643977E-3</v>
      </c>
      <c r="G1332" s="251">
        <v>1323</v>
      </c>
      <c r="H1332" s="251">
        <f t="shared" ca="1" si="44"/>
        <v>-4.8886504568596461E-3</v>
      </c>
    </row>
    <row r="1333" spans="2:8">
      <c r="B1333" s="252">
        <v>43209</v>
      </c>
      <c r="C1333" s="251">
        <v>334.25</v>
      </c>
      <c r="D1333" s="251">
        <f t="shared" si="43"/>
        <v>0.857976653696498</v>
      </c>
      <c r="E1333" s="251">
        <v>-1.6427718040621605E-3</v>
      </c>
      <c r="G1333" s="251">
        <v>1324</v>
      </c>
      <c r="H1333" s="251">
        <f t="shared" ca="1" si="44"/>
        <v>5.8816464844617798E-2</v>
      </c>
    </row>
    <row r="1334" spans="2:8">
      <c r="B1334" s="252">
        <v>43420</v>
      </c>
      <c r="C1334" s="251">
        <v>179.9</v>
      </c>
      <c r="D1334" s="251">
        <f t="shared" si="43"/>
        <v>-0.81945545597784086</v>
      </c>
      <c r="E1334" s="251">
        <v>-1.6648168701441895E-3</v>
      </c>
      <c r="G1334" s="251">
        <v>1325</v>
      </c>
      <c r="H1334" s="251">
        <f t="shared" ca="1" si="44"/>
        <v>-1.5819621975765454E-2</v>
      </c>
    </row>
    <row r="1335" spans="2:8">
      <c r="B1335" s="252">
        <v>45408</v>
      </c>
      <c r="C1335" s="251">
        <v>996.43</v>
      </c>
      <c r="D1335" s="251">
        <f t="shared" si="43"/>
        <v>1.341786133960047</v>
      </c>
      <c r="E1335" s="251">
        <v>-1.7431900377691267E-3</v>
      </c>
      <c r="G1335" s="251">
        <v>1326</v>
      </c>
      <c r="H1335" s="251">
        <f t="shared" ca="1" si="44"/>
        <v>-6.7817797979668583E-3</v>
      </c>
    </row>
    <row r="1336" spans="2:8">
      <c r="B1336" s="252">
        <v>43063</v>
      </c>
      <c r="C1336" s="251">
        <v>425.5</v>
      </c>
      <c r="D1336" s="251">
        <f t="shared" si="43"/>
        <v>0.27147766323024064</v>
      </c>
      <c r="E1336" s="251">
        <v>-1.7595307917888563E-3</v>
      </c>
      <c r="G1336" s="251">
        <v>1327</v>
      </c>
      <c r="H1336" s="251">
        <f t="shared" ca="1" si="44"/>
        <v>1.2673459783635826E-2</v>
      </c>
    </row>
    <row r="1337" spans="2:8">
      <c r="B1337" s="252">
        <v>44371</v>
      </c>
      <c r="C1337" s="251">
        <v>334.65</v>
      </c>
      <c r="D1337" s="251">
        <f t="shared" si="43"/>
        <v>-0.47682326272180098</v>
      </c>
      <c r="E1337" s="251">
        <v>-1.7897091722595757E-3</v>
      </c>
      <c r="G1337" s="251">
        <v>1328</v>
      </c>
      <c r="H1337" s="251">
        <f t="shared" ca="1" si="44"/>
        <v>3.2376204014496576E-2</v>
      </c>
    </row>
    <row r="1338" spans="2:8">
      <c r="B1338" s="252">
        <v>45722</v>
      </c>
      <c r="C1338" s="251">
        <v>639.65</v>
      </c>
      <c r="D1338" s="251">
        <f t="shared" si="43"/>
        <v>0.46055485786048633</v>
      </c>
      <c r="E1338" s="251">
        <v>-1.7946317103620121E-3</v>
      </c>
      <c r="G1338" s="251">
        <v>1329</v>
      </c>
      <c r="H1338" s="251">
        <f t="shared" ca="1" si="44"/>
        <v>1.427576940153103E-2</v>
      </c>
    </row>
    <row r="1339" spans="2:8">
      <c r="B1339" s="252">
        <v>44993</v>
      </c>
      <c r="C1339" s="251">
        <v>437.95</v>
      </c>
      <c r="D1339" s="251">
        <f t="shared" si="43"/>
        <v>6.757184993783967E-2</v>
      </c>
      <c r="E1339" s="251">
        <v>-1.8233618233618493E-3</v>
      </c>
      <c r="G1339" s="251">
        <v>1330</v>
      </c>
      <c r="H1339" s="251">
        <f t="shared" ca="1" si="44"/>
        <v>-8.1092865654175134E-3</v>
      </c>
    </row>
    <row r="1340" spans="2:8">
      <c r="B1340" s="252">
        <v>44939</v>
      </c>
      <c r="C1340" s="251">
        <v>410.23</v>
      </c>
      <c r="D1340" s="251">
        <f t="shared" si="43"/>
        <v>-0.3948160387100581</v>
      </c>
      <c r="E1340" s="251">
        <v>-1.8249063214754975E-3</v>
      </c>
      <c r="G1340" s="251">
        <v>1331</v>
      </c>
      <c r="H1340" s="251">
        <f t="shared" ca="1" si="44"/>
        <v>6.4208730757259344E-2</v>
      </c>
    </row>
    <row r="1341" spans="2:8">
      <c r="B1341" s="252">
        <v>45253</v>
      </c>
      <c r="C1341" s="251">
        <v>677.86</v>
      </c>
      <c r="D1341" s="251">
        <f t="shared" si="43"/>
        <v>0.38664211925948649</v>
      </c>
      <c r="E1341" s="251">
        <v>-1.8259461051391682E-3</v>
      </c>
      <c r="G1341" s="251">
        <v>1332</v>
      </c>
      <c r="H1341" s="251">
        <f t="shared" ca="1" si="44"/>
        <v>-1.297487923269236E-3</v>
      </c>
    </row>
    <row r="1342" spans="2:8">
      <c r="B1342" s="252">
        <v>44567</v>
      </c>
      <c r="C1342" s="251">
        <v>488.85</v>
      </c>
      <c r="D1342" s="251">
        <f t="shared" si="43"/>
        <v>0.21574235264859487</v>
      </c>
      <c r="E1342" s="251">
        <v>-1.8376722817763701E-3</v>
      </c>
      <c r="G1342" s="251">
        <v>1333</v>
      </c>
      <c r="H1342" s="251">
        <f t="shared" ca="1" si="44"/>
        <v>8.4849290577949082E-3</v>
      </c>
    </row>
    <row r="1343" spans="2:8">
      <c r="B1343" s="252">
        <v>42331</v>
      </c>
      <c r="C1343" s="251">
        <v>402.1</v>
      </c>
      <c r="D1343" s="251">
        <f t="shared" si="43"/>
        <v>0.36768707482993207</v>
      </c>
      <c r="E1343" s="251">
        <v>-1.8617351371478217E-3</v>
      </c>
      <c r="G1343" s="251">
        <v>1334</v>
      </c>
      <c r="H1343" s="251">
        <f t="shared" ca="1" si="44"/>
        <v>-1.2016984024342621E-2</v>
      </c>
    </row>
    <row r="1344" spans="2:8">
      <c r="B1344" s="252">
        <v>44309</v>
      </c>
      <c r="C1344" s="251">
        <v>294</v>
      </c>
      <c r="D1344" s="251">
        <f t="shared" si="43"/>
        <v>-0.69297924999216787</v>
      </c>
      <c r="E1344" s="251">
        <v>-1.8672551349516596E-3</v>
      </c>
      <c r="G1344" s="251">
        <v>1335</v>
      </c>
      <c r="H1344" s="251">
        <f t="shared" ca="1" si="44"/>
        <v>-2.9970628145286258E-2</v>
      </c>
    </row>
    <row r="1345" spans="2:8">
      <c r="B1345" s="252">
        <v>45436</v>
      </c>
      <c r="C1345" s="251">
        <v>957.59</v>
      </c>
      <c r="D1345" s="251">
        <f t="shared" si="43"/>
        <v>2.3406244549101696</v>
      </c>
      <c r="E1345" s="251">
        <v>-1.876192163770682E-3</v>
      </c>
      <c r="G1345" s="251">
        <v>1336</v>
      </c>
      <c r="H1345" s="251">
        <f t="shared" ca="1" si="44"/>
        <v>7.594252348810741E-4</v>
      </c>
    </row>
    <row r="1346" spans="2:8">
      <c r="B1346" s="252">
        <v>43255</v>
      </c>
      <c r="C1346" s="251">
        <v>286.64999999999998</v>
      </c>
      <c r="D1346" s="251">
        <f t="shared" si="43"/>
        <v>-0.35191046800813935</v>
      </c>
      <c r="E1346" s="251">
        <v>-1.9150417827298446E-3</v>
      </c>
      <c r="G1346" s="251">
        <v>1337</v>
      </c>
      <c r="H1346" s="251">
        <f t="shared" ca="1" si="44"/>
        <v>-4.0193170277549976E-2</v>
      </c>
    </row>
    <row r="1347" spans="2:8">
      <c r="B1347" s="252">
        <v>42913</v>
      </c>
      <c r="C1347" s="251">
        <v>442.3</v>
      </c>
      <c r="D1347" s="251">
        <f t="shared" si="43"/>
        <v>-0.1465508924264351</v>
      </c>
      <c r="E1347" s="251">
        <v>-1.9180864267177387E-3</v>
      </c>
      <c r="G1347" s="251">
        <v>1338</v>
      </c>
      <c r="H1347" s="251">
        <f t="shared" ca="1" si="44"/>
        <v>1.02894661265889E-2</v>
      </c>
    </row>
    <row r="1348" spans="2:8">
      <c r="B1348" s="252">
        <v>42747</v>
      </c>
      <c r="C1348" s="251">
        <v>518.25</v>
      </c>
      <c r="D1348" s="251">
        <f t="shared" si="43"/>
        <v>8.6609575710394036E-3</v>
      </c>
      <c r="E1348" s="251">
        <v>-1.9258545979778526E-3</v>
      </c>
      <c r="G1348" s="251">
        <v>1339</v>
      </c>
      <c r="H1348" s="251">
        <f t="shared" ca="1" si="44"/>
        <v>-1.4573292655200451E-2</v>
      </c>
    </row>
    <row r="1349" spans="2:8">
      <c r="B1349" s="252">
        <v>42591</v>
      </c>
      <c r="C1349" s="251">
        <v>513.79999999999995</v>
      </c>
      <c r="D1349" s="251">
        <f t="shared" si="43"/>
        <v>-0.25433567955881287</v>
      </c>
      <c r="E1349" s="251">
        <v>-1.9425019425019427E-3</v>
      </c>
      <c r="G1349" s="251">
        <v>1340</v>
      </c>
      <c r="H1349" s="251">
        <f t="shared" ca="1" si="44"/>
        <v>1.8134233639180146E-2</v>
      </c>
    </row>
    <row r="1350" spans="2:8">
      <c r="B1350" s="252">
        <v>45842</v>
      </c>
      <c r="C1350" s="251">
        <v>689.05</v>
      </c>
      <c r="D1350" s="251">
        <f t="shared" si="43"/>
        <v>0.7262933734185143</v>
      </c>
      <c r="E1350" s="251">
        <v>-1.9553881807648069E-3</v>
      </c>
      <c r="G1350" s="251">
        <v>1341</v>
      </c>
      <c r="H1350" s="251">
        <f t="shared" ca="1" si="44"/>
        <v>-2.6220960697054312E-2</v>
      </c>
    </row>
    <row r="1351" spans="2:8">
      <c r="B1351" s="252">
        <v>42345</v>
      </c>
      <c r="C1351" s="251">
        <v>399.15</v>
      </c>
      <c r="D1351" s="251">
        <f t="shared" si="43"/>
        <v>6.8388650963597308E-2</v>
      </c>
      <c r="E1351" s="251">
        <v>-2.0002500312539351E-3</v>
      </c>
      <c r="G1351" s="251">
        <v>1342</v>
      </c>
      <c r="H1351" s="251">
        <f t="shared" ca="1" si="44"/>
        <v>-1.1748109231442332E-2</v>
      </c>
    </row>
    <row r="1352" spans="2:8">
      <c r="B1352" s="252">
        <v>42969</v>
      </c>
      <c r="C1352" s="251">
        <v>373.6</v>
      </c>
      <c r="D1352" s="251">
        <f t="shared" si="43"/>
        <v>0.90758233341843264</v>
      </c>
      <c r="E1352" s="251">
        <v>-2.0034726859890477E-3</v>
      </c>
      <c r="G1352" s="251">
        <v>1343</v>
      </c>
      <c r="H1352" s="251">
        <f t="shared" ca="1" si="44"/>
        <v>-1.930963985332176E-2</v>
      </c>
    </row>
    <row r="1353" spans="2:8">
      <c r="B1353" s="252">
        <v>43844</v>
      </c>
      <c r="C1353" s="251">
        <v>195.85</v>
      </c>
      <c r="D1353" s="251">
        <f t="shared" si="43"/>
        <v>-0.38431310908519339</v>
      </c>
      <c r="E1353" s="251">
        <v>-2.038216560509583E-3</v>
      </c>
      <c r="G1353" s="251">
        <v>1344</v>
      </c>
      <c r="H1353" s="251">
        <f t="shared" ca="1" si="44"/>
        <v>1.0600512523305981E-2</v>
      </c>
    </row>
    <row r="1354" spans="2:8">
      <c r="B1354" s="252">
        <v>44348</v>
      </c>
      <c r="C1354" s="251">
        <v>318.10000000000002</v>
      </c>
      <c r="D1354" s="251">
        <f t="shared" ref="D1354:D1417" si="45">(C1354-C1355)/C1355</f>
        <v>1.6127310061601645</v>
      </c>
      <c r="E1354" s="251">
        <v>-2.0392156862744384E-3</v>
      </c>
      <c r="G1354" s="251">
        <v>1345</v>
      </c>
      <c r="H1354" s="251">
        <f t="shared" ca="1" si="44"/>
        <v>-4.1556505491747789E-3</v>
      </c>
    </row>
    <row r="1355" spans="2:8">
      <c r="B1355" s="252">
        <v>43726</v>
      </c>
      <c r="C1355" s="251">
        <v>121.75</v>
      </c>
      <c r="D1355" s="251">
        <f t="shared" si="45"/>
        <v>-0.82121879588839941</v>
      </c>
      <c r="E1355" s="251">
        <v>-2.0491803278688526E-3</v>
      </c>
      <c r="G1355" s="251">
        <v>1346</v>
      </c>
      <c r="H1355" s="251">
        <f t="shared" ref="H1355:H1418" ca="1" si="46">_xlfn.NORM.INV(RAND(),N$12,N$13)</f>
        <v>8.3551861642871365E-3</v>
      </c>
    </row>
    <row r="1356" spans="2:8">
      <c r="B1356" s="252">
        <v>45707</v>
      </c>
      <c r="C1356" s="251">
        <v>681</v>
      </c>
      <c r="D1356" s="251">
        <f t="shared" si="45"/>
        <v>9.3659664675274701E-2</v>
      </c>
      <c r="E1356" s="251">
        <v>-2.051582649472417E-3</v>
      </c>
      <c r="G1356" s="251">
        <v>1347</v>
      </c>
      <c r="H1356" s="251">
        <f t="shared" ca="1" si="46"/>
        <v>-2.0600254332455638E-2</v>
      </c>
    </row>
    <row r="1357" spans="2:8">
      <c r="B1357" s="252">
        <v>45183</v>
      </c>
      <c r="C1357" s="251">
        <v>622.67999999999995</v>
      </c>
      <c r="D1357" s="251">
        <f t="shared" si="45"/>
        <v>2.7197132616487454</v>
      </c>
      <c r="E1357" s="251">
        <v>-2.0674070868793009E-3</v>
      </c>
      <c r="G1357" s="251">
        <v>1348</v>
      </c>
      <c r="H1357" s="251">
        <f t="shared" ca="1" si="46"/>
        <v>1.2012829275428604E-2</v>
      </c>
    </row>
    <row r="1358" spans="2:8">
      <c r="B1358" s="252">
        <v>43789</v>
      </c>
      <c r="C1358" s="251">
        <v>167.4</v>
      </c>
      <c r="D1358" s="251">
        <f t="shared" si="45"/>
        <v>-0.58564356435643561</v>
      </c>
      <c r="E1358" s="251">
        <v>-2.0864381520118887E-3</v>
      </c>
      <c r="G1358" s="251">
        <v>1349</v>
      </c>
      <c r="H1358" s="251">
        <f t="shared" ca="1" si="46"/>
        <v>1.6994157414743253E-2</v>
      </c>
    </row>
    <row r="1359" spans="2:8">
      <c r="B1359" s="252">
        <v>42313</v>
      </c>
      <c r="C1359" s="251">
        <v>404</v>
      </c>
      <c r="D1359" s="251">
        <f t="shared" si="45"/>
        <v>-0.53967982681023186</v>
      </c>
      <c r="E1359" s="251">
        <v>-2.0995430406323891E-3</v>
      </c>
      <c r="G1359" s="251">
        <v>1350</v>
      </c>
      <c r="H1359" s="251">
        <f t="shared" ca="1" si="46"/>
        <v>1.14866758503305E-2</v>
      </c>
    </row>
    <row r="1360" spans="2:8">
      <c r="B1360" s="252">
        <v>45588</v>
      </c>
      <c r="C1360" s="251">
        <v>877.65</v>
      </c>
      <c r="D1360" s="251">
        <f t="shared" si="45"/>
        <v>0.29018743109151046</v>
      </c>
      <c r="E1360" s="251">
        <v>-2.1034678794770016E-3</v>
      </c>
      <c r="G1360" s="251">
        <v>1351</v>
      </c>
      <c r="H1360" s="251">
        <f t="shared" ca="1" si="46"/>
        <v>9.2620272114600517E-3</v>
      </c>
    </row>
    <row r="1361" spans="2:8">
      <c r="B1361" s="252">
        <v>45856</v>
      </c>
      <c r="C1361" s="251">
        <v>680.25</v>
      </c>
      <c r="D1361" s="251">
        <f t="shared" si="45"/>
        <v>-0.28810632619957088</v>
      </c>
      <c r="E1361" s="251">
        <v>-2.1270353527945507E-3</v>
      </c>
      <c r="G1361" s="251">
        <v>1352</v>
      </c>
      <c r="H1361" s="251">
        <f t="shared" ca="1" si="46"/>
        <v>-9.6332759950519681E-3</v>
      </c>
    </row>
    <row r="1362" spans="2:8">
      <c r="B1362" s="252">
        <v>45439</v>
      </c>
      <c r="C1362" s="251">
        <v>955.55</v>
      </c>
      <c r="D1362" s="251">
        <f t="shared" si="45"/>
        <v>1.285731371845473</v>
      </c>
      <c r="E1362" s="251">
        <v>-2.1303480612789162E-3</v>
      </c>
      <c r="G1362" s="251">
        <v>1353</v>
      </c>
      <c r="H1362" s="251">
        <f t="shared" ca="1" si="46"/>
        <v>-6.3033232257933792E-3</v>
      </c>
    </row>
    <row r="1363" spans="2:8">
      <c r="B1363" s="252">
        <v>43119</v>
      </c>
      <c r="C1363" s="251">
        <v>418.05</v>
      </c>
      <c r="D1363" s="251">
        <f t="shared" si="45"/>
        <v>-0.42618900555898698</v>
      </c>
      <c r="E1363" s="251">
        <v>-2.1482277121374323E-3</v>
      </c>
      <c r="G1363" s="251">
        <v>1354</v>
      </c>
      <c r="H1363" s="251">
        <f t="shared" ca="1" si="46"/>
        <v>-3.4916988333477478E-2</v>
      </c>
    </row>
    <row r="1364" spans="2:8">
      <c r="B1364" s="252">
        <v>45278</v>
      </c>
      <c r="C1364" s="251">
        <v>728.55</v>
      </c>
      <c r="D1364" s="251">
        <f t="shared" si="45"/>
        <v>3.5849590937696663</v>
      </c>
      <c r="E1364" s="251">
        <v>-2.1913305485174593E-3</v>
      </c>
      <c r="G1364" s="251">
        <v>1355</v>
      </c>
      <c r="H1364" s="251">
        <f t="shared" ca="1" si="46"/>
        <v>8.9514878466222803E-3</v>
      </c>
    </row>
    <row r="1365" spans="2:8">
      <c r="B1365" s="252">
        <v>43637</v>
      </c>
      <c r="C1365" s="251">
        <v>158.9</v>
      </c>
      <c r="D1365" s="251">
        <f t="shared" si="45"/>
        <v>-0.72948586993530817</v>
      </c>
      <c r="E1365" s="251">
        <v>-2.1978021978021622E-3</v>
      </c>
      <c r="G1365" s="251">
        <v>1356</v>
      </c>
      <c r="H1365" s="251">
        <f t="shared" ca="1" si="46"/>
        <v>-8.6063945189090649E-3</v>
      </c>
    </row>
    <row r="1366" spans="2:8">
      <c r="B1366" s="252">
        <v>42620</v>
      </c>
      <c r="C1366" s="251">
        <v>587.4</v>
      </c>
      <c r="D1366" s="251">
        <f t="shared" si="45"/>
        <v>-8.7973170201533973E-2</v>
      </c>
      <c r="E1366" s="251">
        <v>-2.2082554781723595E-3</v>
      </c>
      <c r="G1366" s="251">
        <v>1357</v>
      </c>
      <c r="H1366" s="251">
        <f t="shared" ca="1" si="46"/>
        <v>-1.9105304852299235E-2</v>
      </c>
    </row>
    <row r="1367" spans="2:8">
      <c r="B1367" s="252">
        <v>45236</v>
      </c>
      <c r="C1367" s="251">
        <v>644.05999999999995</v>
      </c>
      <c r="D1367" s="251">
        <f t="shared" si="45"/>
        <v>0.64012325243831003</v>
      </c>
      <c r="E1367" s="251">
        <v>-2.2462858824805897E-3</v>
      </c>
      <c r="G1367" s="251">
        <v>1358</v>
      </c>
      <c r="H1367" s="251">
        <f t="shared" ca="1" si="46"/>
        <v>5.6364385588678441E-3</v>
      </c>
    </row>
    <row r="1368" spans="2:8">
      <c r="B1368" s="252">
        <v>44929</v>
      </c>
      <c r="C1368" s="251">
        <v>392.69</v>
      </c>
      <c r="D1368" s="251">
        <f t="shared" si="45"/>
        <v>-0.14025177887246854</v>
      </c>
      <c r="E1368" s="251">
        <v>-2.2866434614699999E-3</v>
      </c>
      <c r="G1368" s="251">
        <v>1359</v>
      </c>
      <c r="H1368" s="251">
        <f t="shared" ca="1" si="46"/>
        <v>4.7430833962872725E-3</v>
      </c>
    </row>
    <row r="1369" spans="2:8">
      <c r="B1369" s="252">
        <v>42794</v>
      </c>
      <c r="C1369" s="251">
        <v>456.75</v>
      </c>
      <c r="D1369" s="251">
        <f t="shared" si="45"/>
        <v>-0.41938805344045149</v>
      </c>
      <c r="E1369" s="251">
        <v>-2.293577981651401E-3</v>
      </c>
      <c r="G1369" s="251">
        <v>1360</v>
      </c>
      <c r="H1369" s="251">
        <f t="shared" ca="1" si="46"/>
        <v>2.957594103049135E-2</v>
      </c>
    </row>
    <row r="1370" spans="2:8">
      <c r="B1370" s="252">
        <v>45299</v>
      </c>
      <c r="C1370" s="251">
        <v>786.67</v>
      </c>
      <c r="D1370" s="251">
        <f t="shared" si="45"/>
        <v>1.1879293561396187</v>
      </c>
      <c r="E1370" s="251">
        <v>-2.3461675036778049E-3</v>
      </c>
      <c r="G1370" s="251">
        <v>1361</v>
      </c>
      <c r="H1370" s="251">
        <f t="shared" ca="1" si="46"/>
        <v>-9.9298796869075889E-3</v>
      </c>
    </row>
    <row r="1371" spans="2:8">
      <c r="B1371" s="252">
        <v>42445</v>
      </c>
      <c r="C1371" s="251">
        <v>359.55</v>
      </c>
      <c r="D1371" s="251">
        <f t="shared" si="45"/>
        <v>1.1262566528681255</v>
      </c>
      <c r="E1371" s="251">
        <v>-2.3584905660376412E-3</v>
      </c>
      <c r="G1371" s="251">
        <v>1362</v>
      </c>
      <c r="H1371" s="251">
        <f t="shared" ca="1" si="46"/>
        <v>2.8106332517383194E-4</v>
      </c>
    </row>
    <row r="1372" spans="2:8">
      <c r="B1372" s="252">
        <v>43875</v>
      </c>
      <c r="C1372" s="251">
        <v>169.1</v>
      </c>
      <c r="D1372" s="251">
        <f t="shared" si="45"/>
        <v>-0.57392662769602909</v>
      </c>
      <c r="E1372" s="251">
        <v>-2.3598820058997384E-3</v>
      </c>
      <c r="G1372" s="251">
        <v>1363</v>
      </c>
      <c r="H1372" s="251">
        <f t="shared" ca="1" si="46"/>
        <v>8.8738386272717764E-3</v>
      </c>
    </row>
    <row r="1373" spans="2:8">
      <c r="B1373" s="252">
        <v>44854</v>
      </c>
      <c r="C1373" s="251">
        <v>396.88</v>
      </c>
      <c r="D1373" s="251">
        <f t="shared" si="45"/>
        <v>-0.24034835869461199</v>
      </c>
      <c r="E1373" s="251">
        <v>-2.3628776833743846E-3</v>
      </c>
      <c r="G1373" s="251">
        <v>1364</v>
      </c>
      <c r="H1373" s="251">
        <f t="shared" ca="1" si="46"/>
        <v>-3.004265063292676E-2</v>
      </c>
    </row>
    <row r="1374" spans="2:8">
      <c r="B1374" s="252">
        <v>42753</v>
      </c>
      <c r="C1374" s="251">
        <v>522.45000000000005</v>
      </c>
      <c r="D1374" s="251">
        <f t="shared" si="45"/>
        <v>1.8103819257665414</v>
      </c>
      <c r="E1374" s="251">
        <v>-2.3868627076570554E-3</v>
      </c>
      <c r="G1374" s="251">
        <v>1365</v>
      </c>
      <c r="H1374" s="251">
        <f t="shared" ca="1" si="46"/>
        <v>6.2842370322094727E-3</v>
      </c>
    </row>
    <row r="1375" spans="2:8">
      <c r="B1375" s="252">
        <v>43595</v>
      </c>
      <c r="C1375" s="251">
        <v>185.9</v>
      </c>
      <c r="D1375" s="251">
        <f t="shared" si="45"/>
        <v>0.80573093734822732</v>
      </c>
      <c r="E1375" s="251">
        <v>-2.4148108398174867E-3</v>
      </c>
      <c r="G1375" s="251">
        <v>1366</v>
      </c>
      <c r="H1375" s="251">
        <f t="shared" ca="1" si="46"/>
        <v>1.4648734786360182E-2</v>
      </c>
    </row>
    <row r="1376" spans="2:8">
      <c r="B1376" s="252">
        <v>44028</v>
      </c>
      <c r="C1376" s="251">
        <v>102.95</v>
      </c>
      <c r="D1376" s="251">
        <f t="shared" si="45"/>
        <v>-0.6151401869158879</v>
      </c>
      <c r="E1376" s="251">
        <v>-2.4224806201550387E-3</v>
      </c>
      <c r="G1376" s="251">
        <v>1367</v>
      </c>
      <c r="H1376" s="251">
        <f t="shared" ca="1" si="46"/>
        <v>2.7358209162453039E-2</v>
      </c>
    </row>
    <row r="1377" spans="2:8">
      <c r="B1377" s="252">
        <v>43311</v>
      </c>
      <c r="C1377" s="251">
        <v>267.5</v>
      </c>
      <c r="D1377" s="251">
        <f t="shared" si="45"/>
        <v>-0.34779958551749357</v>
      </c>
      <c r="E1377" s="251">
        <v>-2.4240164087263746E-3</v>
      </c>
      <c r="G1377" s="251">
        <v>1368</v>
      </c>
      <c r="H1377" s="251">
        <f t="shared" ca="1" si="46"/>
        <v>-1.5336568319946335E-2</v>
      </c>
    </row>
    <row r="1378" spans="2:8">
      <c r="B1378" s="252">
        <v>43080</v>
      </c>
      <c r="C1378" s="251">
        <v>410.15</v>
      </c>
      <c r="D1378" s="251">
        <f t="shared" si="45"/>
        <v>-0.61830533711786329</v>
      </c>
      <c r="E1378" s="251">
        <v>-2.4322023592362888E-3</v>
      </c>
      <c r="G1378" s="251">
        <v>1369</v>
      </c>
      <c r="H1378" s="251">
        <f t="shared" ca="1" si="46"/>
        <v>-2.3691378603599256E-2</v>
      </c>
    </row>
    <row r="1379" spans="2:8">
      <c r="B1379" s="252">
        <v>45532</v>
      </c>
      <c r="C1379" s="267">
        <v>1074.55</v>
      </c>
      <c r="D1379" s="251">
        <f t="shared" si="45"/>
        <v>0.47865035571273257</v>
      </c>
      <c r="E1379" s="251">
        <v>-2.5063819911812909E-3</v>
      </c>
      <c r="G1379" s="251">
        <v>1370</v>
      </c>
      <c r="H1379" s="251">
        <f t="shared" ca="1" si="46"/>
        <v>-2.3256665817525182E-3</v>
      </c>
    </row>
    <row r="1380" spans="2:8">
      <c r="B1380" s="252">
        <v>45279</v>
      </c>
      <c r="C1380" s="251">
        <v>726.71</v>
      </c>
      <c r="D1380" s="251">
        <f t="shared" si="45"/>
        <v>6.3777664974619297</v>
      </c>
      <c r="E1380" s="251">
        <v>-2.5255644773864777E-3</v>
      </c>
      <c r="G1380" s="251">
        <v>1371</v>
      </c>
      <c r="H1380" s="251">
        <f t="shared" ca="1" si="46"/>
        <v>1.5036981339070981E-2</v>
      </c>
    </row>
    <row r="1381" spans="2:8">
      <c r="B1381" s="252">
        <v>43986</v>
      </c>
      <c r="C1381" s="251">
        <v>98.5</v>
      </c>
      <c r="D1381" s="251">
        <f t="shared" si="45"/>
        <v>-0.81436110064078404</v>
      </c>
      <c r="E1381" s="251">
        <v>-2.5316455696202532E-3</v>
      </c>
      <c r="G1381" s="251">
        <v>1372</v>
      </c>
      <c r="H1381" s="251">
        <f t="shared" ca="1" si="46"/>
        <v>2.6552384503314812E-2</v>
      </c>
    </row>
    <row r="1382" spans="2:8">
      <c r="B1382" s="252">
        <v>42675</v>
      </c>
      <c r="C1382" s="251">
        <v>530.6</v>
      </c>
      <c r="D1382" s="251">
        <f t="shared" si="45"/>
        <v>0.22795649155288125</v>
      </c>
      <c r="E1382" s="251">
        <v>-2.5378325030548411E-3</v>
      </c>
      <c r="G1382" s="251">
        <v>1373</v>
      </c>
      <c r="H1382" s="251">
        <f t="shared" ca="1" si="46"/>
        <v>-5.5323508382154598E-3</v>
      </c>
    </row>
    <row r="1383" spans="2:8">
      <c r="B1383" s="252">
        <v>44645</v>
      </c>
      <c r="C1383" s="251">
        <v>432.1</v>
      </c>
      <c r="D1383" s="251">
        <f t="shared" si="45"/>
        <v>-0.40168928274716148</v>
      </c>
      <c r="E1383" s="251">
        <v>-2.5392428439519068E-3</v>
      </c>
      <c r="G1383" s="251">
        <v>1374</v>
      </c>
      <c r="H1383" s="251">
        <f t="shared" ca="1" si="46"/>
        <v>-3.8095577699204096E-2</v>
      </c>
    </row>
    <row r="1384" spans="2:8">
      <c r="B1384" s="252">
        <v>45649</v>
      </c>
      <c r="C1384" s="251">
        <v>722.2</v>
      </c>
      <c r="D1384" s="251">
        <f t="shared" si="45"/>
        <v>-0.11808523629258753</v>
      </c>
      <c r="E1384" s="251">
        <v>-2.5550721635244928E-3</v>
      </c>
      <c r="G1384" s="251">
        <v>1375</v>
      </c>
      <c r="H1384" s="251">
        <f t="shared" ca="1" si="46"/>
        <v>-2.7292963157075537E-2</v>
      </c>
    </row>
    <row r="1385" spans="2:8">
      <c r="B1385" s="252">
        <v>45311</v>
      </c>
      <c r="C1385" s="251">
        <v>818.9</v>
      </c>
      <c r="D1385" s="251">
        <f t="shared" si="45"/>
        <v>0.71677148846960159</v>
      </c>
      <c r="E1385" s="251">
        <v>-2.5821539061167873E-3</v>
      </c>
      <c r="G1385" s="251">
        <v>1376</v>
      </c>
      <c r="H1385" s="251">
        <f t="shared" ca="1" si="46"/>
        <v>-3.0985431658247693E-2</v>
      </c>
    </row>
    <row r="1386" spans="2:8">
      <c r="B1386" s="252">
        <v>44615</v>
      </c>
      <c r="C1386" s="251">
        <v>477</v>
      </c>
      <c r="D1386" s="251">
        <f t="shared" si="45"/>
        <v>0.78785607196401797</v>
      </c>
      <c r="E1386" s="251">
        <v>-2.6136957658128594E-3</v>
      </c>
      <c r="G1386" s="251">
        <v>1377</v>
      </c>
      <c r="H1386" s="251">
        <f t="shared" ca="1" si="46"/>
        <v>3.6072345677568091E-2</v>
      </c>
    </row>
    <row r="1387" spans="2:8">
      <c r="B1387" s="252">
        <v>44224</v>
      </c>
      <c r="C1387" s="251">
        <v>266.8</v>
      </c>
      <c r="D1387" s="251">
        <f t="shared" si="45"/>
        <v>-0.33174702567313713</v>
      </c>
      <c r="E1387" s="251">
        <v>-2.6168224299064997E-3</v>
      </c>
      <c r="G1387" s="251">
        <v>1378</v>
      </c>
      <c r="H1387" s="251">
        <f t="shared" ca="1" si="46"/>
        <v>-1.9569679340550167E-2</v>
      </c>
    </row>
    <row r="1388" spans="2:8">
      <c r="B1388" s="252">
        <v>43129</v>
      </c>
      <c r="C1388" s="251">
        <v>399.25</v>
      </c>
      <c r="D1388" s="251">
        <f t="shared" si="45"/>
        <v>-8.6175326161592999E-2</v>
      </c>
      <c r="E1388" s="251">
        <v>-2.6230327254559366E-3</v>
      </c>
      <c r="G1388" s="251">
        <v>1379</v>
      </c>
      <c r="H1388" s="251">
        <f t="shared" ca="1" si="46"/>
        <v>3.9927546367172191E-3</v>
      </c>
    </row>
    <row r="1389" spans="2:8">
      <c r="B1389" s="252">
        <v>44896</v>
      </c>
      <c r="C1389" s="251">
        <v>436.9</v>
      </c>
      <c r="D1389" s="251">
        <f t="shared" si="45"/>
        <v>-0.27628418559194301</v>
      </c>
      <c r="E1389" s="251">
        <v>-2.625271087775446E-3</v>
      </c>
      <c r="G1389" s="251">
        <v>1380</v>
      </c>
      <c r="H1389" s="251">
        <f t="shared" ca="1" si="46"/>
        <v>-2.773969466822522E-2</v>
      </c>
    </row>
    <row r="1390" spans="2:8">
      <c r="B1390" s="252">
        <v>45168</v>
      </c>
      <c r="C1390" s="251">
        <v>603.69000000000005</v>
      </c>
      <c r="D1390" s="251">
        <f t="shared" si="45"/>
        <v>2.180663856691254</v>
      </c>
      <c r="E1390" s="251">
        <v>-2.6268834258523629E-3</v>
      </c>
      <c r="G1390" s="251">
        <v>1381</v>
      </c>
      <c r="H1390" s="251">
        <f t="shared" ca="1" si="46"/>
        <v>-1.2968874968504311E-2</v>
      </c>
    </row>
    <row r="1391" spans="2:8">
      <c r="B1391" s="252">
        <v>43409</v>
      </c>
      <c r="C1391" s="251">
        <v>189.8</v>
      </c>
      <c r="D1391" s="251">
        <f t="shared" si="45"/>
        <v>-0.79552922165364937</v>
      </c>
      <c r="E1391" s="251">
        <v>-2.627430373095113E-3</v>
      </c>
      <c r="G1391" s="251">
        <v>1382</v>
      </c>
      <c r="H1391" s="251">
        <f t="shared" ca="1" si="46"/>
        <v>1.5663775231828624E-3</v>
      </c>
    </row>
    <row r="1392" spans="2:8">
      <c r="B1392" s="252">
        <v>45579</v>
      </c>
      <c r="C1392" s="251">
        <v>928.25</v>
      </c>
      <c r="D1392" s="251">
        <f t="shared" si="45"/>
        <v>-8.4340320591861903E-2</v>
      </c>
      <c r="E1392" s="251">
        <v>-2.6324272053293708E-3</v>
      </c>
      <c r="G1392" s="251">
        <v>1383</v>
      </c>
      <c r="H1392" s="251">
        <f t="shared" ca="1" si="46"/>
        <v>-6.0269456940805375E-3</v>
      </c>
    </row>
    <row r="1393" spans="2:8">
      <c r="B1393" s="252">
        <v>45510</v>
      </c>
      <c r="C1393" s="267">
        <v>1013.75</v>
      </c>
      <c r="D1393" s="251">
        <f t="shared" si="45"/>
        <v>0.55280692348931604</v>
      </c>
      <c r="E1393" s="251">
        <v>-2.6563038024497469E-3</v>
      </c>
      <c r="G1393" s="251">
        <v>1384</v>
      </c>
      <c r="H1393" s="251">
        <f t="shared" ca="1" si="46"/>
        <v>-2.1370149561862083E-2</v>
      </c>
    </row>
    <row r="1394" spans="2:8">
      <c r="B1394" s="252">
        <v>45875</v>
      </c>
      <c r="C1394" s="251">
        <v>652.85</v>
      </c>
      <c r="D1394" s="251">
        <f t="shared" si="45"/>
        <v>0.8489096573208722</v>
      </c>
      <c r="E1394" s="251">
        <v>-2.673388328750382E-3</v>
      </c>
      <c r="G1394" s="251">
        <v>1385</v>
      </c>
      <c r="H1394" s="251">
        <f t="shared" ca="1" si="46"/>
        <v>-1.6151700470062265E-2</v>
      </c>
    </row>
    <row r="1395" spans="2:8">
      <c r="B1395" s="252">
        <v>43174</v>
      </c>
      <c r="C1395" s="251">
        <v>353.1</v>
      </c>
      <c r="D1395" s="251">
        <f t="shared" si="45"/>
        <v>-0.2262348249112503</v>
      </c>
      <c r="E1395" s="251">
        <v>-2.6832368309560473E-3</v>
      </c>
      <c r="G1395" s="251">
        <v>1386</v>
      </c>
      <c r="H1395" s="251">
        <f t="shared" ca="1" si="46"/>
        <v>-2.8251224388500223E-2</v>
      </c>
    </row>
    <row r="1396" spans="2:8">
      <c r="B1396" s="252">
        <v>44810</v>
      </c>
      <c r="C1396" s="251">
        <v>456.34</v>
      </c>
      <c r="D1396" s="251">
        <f t="shared" si="45"/>
        <v>-7.3703440576474183E-2</v>
      </c>
      <c r="E1396" s="251">
        <v>-2.7317030529513319E-3</v>
      </c>
      <c r="G1396" s="251">
        <v>1387</v>
      </c>
      <c r="H1396" s="251">
        <f t="shared" ca="1" si="46"/>
        <v>-3.5471625586054788E-2</v>
      </c>
    </row>
    <row r="1397" spans="2:8">
      <c r="B1397" s="252">
        <v>42569</v>
      </c>
      <c r="C1397" s="251">
        <v>492.65</v>
      </c>
      <c r="D1397" s="251">
        <f t="shared" si="45"/>
        <v>0.19098271485555424</v>
      </c>
      <c r="E1397" s="251">
        <v>-2.7327935222672523E-3</v>
      </c>
      <c r="G1397" s="251">
        <v>1388</v>
      </c>
      <c r="H1397" s="251">
        <f t="shared" ca="1" si="46"/>
        <v>-5.8593537002353015E-2</v>
      </c>
    </row>
    <row r="1398" spans="2:8">
      <c r="B1398" s="252">
        <v>42999</v>
      </c>
      <c r="C1398" s="251">
        <v>413.65</v>
      </c>
      <c r="D1398" s="251">
        <f t="shared" si="45"/>
        <v>0.10071846726982428</v>
      </c>
      <c r="E1398" s="251">
        <v>-2.7724204435873533E-3</v>
      </c>
      <c r="G1398" s="251">
        <v>1389</v>
      </c>
      <c r="H1398" s="251">
        <f t="shared" ca="1" si="46"/>
        <v>-3.7568249127427232E-3</v>
      </c>
    </row>
    <row r="1399" spans="2:8">
      <c r="B1399" s="252">
        <v>43146</v>
      </c>
      <c r="C1399" s="251">
        <v>375.8</v>
      </c>
      <c r="D1399" s="251">
        <f t="shared" si="45"/>
        <v>1.333436820863086</v>
      </c>
      <c r="E1399" s="251">
        <v>-2.7862544779090124E-3</v>
      </c>
      <c r="G1399" s="251">
        <v>1390</v>
      </c>
      <c r="H1399" s="251">
        <f t="shared" ca="1" si="46"/>
        <v>-4.1000928375145101E-2</v>
      </c>
    </row>
    <row r="1400" spans="2:8">
      <c r="B1400" s="252">
        <v>43801</v>
      </c>
      <c r="C1400" s="251">
        <v>161.05000000000001</v>
      </c>
      <c r="D1400" s="251">
        <f t="shared" si="45"/>
        <v>-0.84451631589109866</v>
      </c>
      <c r="E1400" s="251">
        <v>-2.7863777089782577E-3</v>
      </c>
      <c r="G1400" s="251">
        <v>1391</v>
      </c>
      <c r="H1400" s="251">
        <f t="shared" ca="1" si="46"/>
        <v>1.4983013138327506E-2</v>
      </c>
    </row>
    <row r="1401" spans="2:8">
      <c r="B1401" s="252">
        <v>45545</v>
      </c>
      <c r="C1401" s="267">
        <v>1035.8</v>
      </c>
      <c r="D1401" s="251">
        <f t="shared" si="45"/>
        <v>1.3297345928924873</v>
      </c>
      <c r="E1401" s="251">
        <v>-2.7919514778088871E-3</v>
      </c>
      <c r="G1401" s="251">
        <v>1392</v>
      </c>
      <c r="H1401" s="251">
        <f t="shared" ca="1" si="46"/>
        <v>-2.164465717768713E-2</v>
      </c>
    </row>
    <row r="1402" spans="2:8">
      <c r="B1402" s="252">
        <v>42947</v>
      </c>
      <c r="C1402" s="251">
        <v>444.6</v>
      </c>
      <c r="D1402" s="251">
        <f t="shared" si="45"/>
        <v>-0.2791828793774318</v>
      </c>
      <c r="E1402" s="251">
        <v>-2.8036335090276996E-3</v>
      </c>
      <c r="G1402" s="251">
        <v>1393</v>
      </c>
      <c r="H1402" s="251">
        <f t="shared" ca="1" si="46"/>
        <v>-4.2308240082928036E-2</v>
      </c>
    </row>
    <row r="1403" spans="2:8">
      <c r="B1403" s="252">
        <v>45194</v>
      </c>
      <c r="C1403" s="251">
        <v>616.79999999999995</v>
      </c>
      <c r="D1403" s="251">
        <f t="shared" si="45"/>
        <v>2.8963992419456721</v>
      </c>
      <c r="E1403" s="251">
        <v>-2.8130759530507472E-3</v>
      </c>
      <c r="G1403" s="251">
        <v>1394</v>
      </c>
      <c r="H1403" s="251">
        <f t="shared" ca="1" si="46"/>
        <v>9.9429330737912502E-4</v>
      </c>
    </row>
    <row r="1404" spans="2:8">
      <c r="B1404" s="252">
        <v>43634</v>
      </c>
      <c r="C1404" s="251">
        <v>158.30000000000001</v>
      </c>
      <c r="D1404" s="251">
        <f t="shared" si="45"/>
        <v>-0.46834592779177159</v>
      </c>
      <c r="E1404" s="251">
        <v>-2.8346456692912672E-3</v>
      </c>
      <c r="G1404" s="251">
        <v>1395</v>
      </c>
      <c r="H1404" s="251">
        <f t="shared" ca="1" si="46"/>
        <v>5.4904086534864942E-2</v>
      </c>
    </row>
    <row r="1405" spans="2:8">
      <c r="B1405" s="252">
        <v>42278</v>
      </c>
      <c r="C1405" s="251">
        <v>297.75</v>
      </c>
      <c r="D1405" s="251">
        <f t="shared" si="45"/>
        <v>-0.36890631623569309</v>
      </c>
      <c r="E1405" s="251">
        <v>-2.8466175485600221E-3</v>
      </c>
      <c r="G1405" s="251">
        <v>1396</v>
      </c>
      <c r="H1405" s="251">
        <f t="shared" ca="1" si="46"/>
        <v>4.1079196991417016E-2</v>
      </c>
    </row>
    <row r="1406" spans="2:8">
      <c r="B1406" s="252">
        <v>42723</v>
      </c>
      <c r="C1406" s="251">
        <v>471.8</v>
      </c>
      <c r="D1406" s="251">
        <f t="shared" si="45"/>
        <v>0.13571806846083481</v>
      </c>
      <c r="E1406" s="251">
        <v>-2.8532177956249942E-3</v>
      </c>
      <c r="G1406" s="251">
        <v>1397</v>
      </c>
      <c r="H1406" s="251">
        <f t="shared" ca="1" si="46"/>
        <v>4.7199469638146648E-4</v>
      </c>
    </row>
    <row r="1407" spans="2:8">
      <c r="B1407" s="252">
        <v>44910</v>
      </c>
      <c r="C1407" s="251">
        <v>415.42</v>
      </c>
      <c r="D1407" s="251">
        <f t="shared" si="45"/>
        <v>3.6089287941139865E-2</v>
      </c>
      <c r="E1407" s="251">
        <v>-2.8563884688317556E-3</v>
      </c>
      <c r="G1407" s="251">
        <v>1398</v>
      </c>
      <c r="H1407" s="251">
        <f t="shared" ca="1" si="46"/>
        <v>2.0609723699491222E-2</v>
      </c>
    </row>
    <row r="1408" spans="2:8">
      <c r="B1408" s="252">
        <v>42332</v>
      </c>
      <c r="C1408" s="251">
        <v>400.95</v>
      </c>
      <c r="D1408" s="251">
        <f t="shared" si="45"/>
        <v>-0.59329512603337231</v>
      </c>
      <c r="E1408" s="251">
        <v>-2.8599850783388066E-3</v>
      </c>
      <c r="G1408" s="251">
        <v>1399</v>
      </c>
      <c r="H1408" s="251">
        <f t="shared" ca="1" si="46"/>
        <v>4.4478661096733992E-2</v>
      </c>
    </row>
    <row r="1409" spans="2:8">
      <c r="B1409" s="252">
        <v>45456</v>
      </c>
      <c r="C1409" s="251">
        <v>985.85</v>
      </c>
      <c r="D1409" s="251">
        <f t="shared" si="45"/>
        <v>0.39195199435227679</v>
      </c>
      <c r="E1409" s="251">
        <v>-2.8825730757560662E-3</v>
      </c>
      <c r="G1409" s="251">
        <v>1400</v>
      </c>
      <c r="H1409" s="251">
        <f t="shared" ca="1" si="46"/>
        <v>-3.6507135365606416E-2</v>
      </c>
    </row>
    <row r="1410" spans="2:8">
      <c r="B1410" s="252">
        <v>45742</v>
      </c>
      <c r="C1410" s="251">
        <v>708.25</v>
      </c>
      <c r="D1410" s="251">
        <f t="shared" si="45"/>
        <v>1.4172354948805461</v>
      </c>
      <c r="E1410" s="251">
        <v>-2.8861044629029347E-3</v>
      </c>
      <c r="G1410" s="251">
        <v>1401</v>
      </c>
      <c r="H1410" s="251">
        <f t="shared" ca="1" si="46"/>
        <v>1.4755190949573171E-2</v>
      </c>
    </row>
    <row r="1411" spans="2:8">
      <c r="B1411" s="252">
        <v>44319</v>
      </c>
      <c r="C1411" s="251">
        <v>293</v>
      </c>
      <c r="D1411" s="251">
        <f t="shared" si="45"/>
        <v>-0.36012229744485691</v>
      </c>
      <c r="E1411" s="251">
        <v>-2.8926322953888809E-3</v>
      </c>
      <c r="G1411" s="251">
        <v>1402</v>
      </c>
      <c r="H1411" s="251">
        <f t="shared" ca="1" si="46"/>
        <v>-2.9366291264759863E-2</v>
      </c>
    </row>
    <row r="1412" spans="2:8">
      <c r="B1412" s="252">
        <v>42552</v>
      </c>
      <c r="C1412" s="251">
        <v>457.9</v>
      </c>
      <c r="D1412" s="251">
        <f t="shared" si="45"/>
        <v>1.4764737696051919</v>
      </c>
      <c r="E1412" s="251">
        <v>-2.9395753946652647E-3</v>
      </c>
      <c r="G1412" s="251">
        <v>1403</v>
      </c>
      <c r="H1412" s="251">
        <f t="shared" ca="1" si="46"/>
        <v>3.7776004476796868E-2</v>
      </c>
    </row>
    <row r="1413" spans="2:8">
      <c r="B1413" s="252">
        <v>43482</v>
      </c>
      <c r="C1413" s="251">
        <v>184.9</v>
      </c>
      <c r="D1413" s="251">
        <f t="shared" si="45"/>
        <v>-0.77993334920257085</v>
      </c>
      <c r="E1413" s="251">
        <v>-2.9657589646804152E-3</v>
      </c>
      <c r="G1413" s="251">
        <v>1404</v>
      </c>
      <c r="H1413" s="251">
        <f t="shared" ca="1" si="46"/>
        <v>-7.9570534307322094E-4</v>
      </c>
    </row>
    <row r="1414" spans="2:8">
      <c r="B1414" s="252">
        <v>45595</v>
      </c>
      <c r="C1414" s="251">
        <v>840.2</v>
      </c>
      <c r="D1414" s="251">
        <f t="shared" si="45"/>
        <v>1.0681846153846155</v>
      </c>
      <c r="E1414" s="251">
        <v>-3.0258083654701329E-3</v>
      </c>
      <c r="G1414" s="251">
        <v>1405</v>
      </c>
      <c r="H1414" s="251">
        <f t="shared" ca="1" si="46"/>
        <v>4.3908711338016264E-2</v>
      </c>
    </row>
    <row r="1415" spans="2:8">
      <c r="B1415" s="252">
        <v>42326</v>
      </c>
      <c r="C1415" s="251">
        <v>406.25</v>
      </c>
      <c r="D1415" s="251">
        <f t="shared" si="45"/>
        <v>-0.2108585858585858</v>
      </c>
      <c r="E1415" s="251">
        <v>-3.0674846625766872E-3</v>
      </c>
      <c r="G1415" s="251">
        <v>1406</v>
      </c>
      <c r="H1415" s="251">
        <f t="shared" ca="1" si="46"/>
        <v>-6.4446210038622406E-3</v>
      </c>
    </row>
    <row r="1416" spans="2:8">
      <c r="B1416" s="252">
        <v>42590</v>
      </c>
      <c r="C1416" s="251">
        <v>514.79999999999995</v>
      </c>
      <c r="D1416" s="251">
        <f t="shared" si="45"/>
        <v>-0.33307423241352513</v>
      </c>
      <c r="E1416" s="251">
        <v>-3.0983733539891997E-3</v>
      </c>
      <c r="G1416" s="251">
        <v>1407</v>
      </c>
      <c r="H1416" s="251">
        <f t="shared" ca="1" si="46"/>
        <v>-1.5740328063865369E-2</v>
      </c>
    </row>
    <row r="1417" spans="2:8">
      <c r="B1417" s="252">
        <v>45614</v>
      </c>
      <c r="C1417" s="251">
        <v>771.9</v>
      </c>
      <c r="D1417" s="251">
        <f t="shared" si="45"/>
        <v>-0.16807673654146688</v>
      </c>
      <c r="E1417" s="251">
        <v>-3.0995738086012879E-3</v>
      </c>
      <c r="G1417" s="251">
        <v>1408</v>
      </c>
      <c r="H1417" s="251">
        <f t="shared" ca="1" si="46"/>
        <v>3.8364645054479295E-3</v>
      </c>
    </row>
    <row r="1418" spans="2:8">
      <c r="B1418" s="252">
        <v>45572</v>
      </c>
      <c r="C1418" s="251">
        <v>927.85</v>
      </c>
      <c r="D1418" s="251">
        <f t="shared" ref="D1418:D1481" si="47">(C1418-C1419)/C1419</f>
        <v>4.2868945868945874</v>
      </c>
      <c r="E1418" s="251">
        <v>-3.1157668546870558E-3</v>
      </c>
      <c r="G1418" s="251">
        <v>1409</v>
      </c>
      <c r="H1418" s="251">
        <f t="shared" ca="1" si="46"/>
        <v>3.2149580932574563E-2</v>
      </c>
    </row>
    <row r="1419" spans="2:8">
      <c r="B1419" s="252">
        <v>43823</v>
      </c>
      <c r="C1419" s="251">
        <v>175.5</v>
      </c>
      <c r="D1419" s="251">
        <f t="shared" si="47"/>
        <v>-0.4746295464750786</v>
      </c>
      <c r="E1419" s="251">
        <v>-3.1241124680489139E-3</v>
      </c>
      <c r="G1419" s="251">
        <v>1410</v>
      </c>
      <c r="H1419" s="251">
        <f t="shared" ref="H1419:H1482" ca="1" si="48">_xlfn.NORM.INV(RAND(),N$12,N$13)</f>
        <v>4.3941236503705341E-3</v>
      </c>
    </row>
    <row r="1420" spans="2:8">
      <c r="B1420" s="252">
        <v>42243</v>
      </c>
      <c r="C1420" s="251">
        <v>334.05</v>
      </c>
      <c r="D1420" s="251">
        <f t="shared" si="47"/>
        <v>-0.46051356589147291</v>
      </c>
      <c r="E1420" s="251">
        <v>-3.1333930170098817E-3</v>
      </c>
      <c r="G1420" s="251">
        <v>1411</v>
      </c>
      <c r="H1420" s="251">
        <f t="shared" ca="1" si="48"/>
        <v>7.9376763904756564E-3</v>
      </c>
    </row>
    <row r="1421" spans="2:8">
      <c r="B1421" s="252">
        <v>45720</v>
      </c>
      <c r="C1421" s="251">
        <v>619.20000000000005</v>
      </c>
      <c r="D1421" s="251">
        <f t="shared" si="47"/>
        <v>0.2250469878326245</v>
      </c>
      <c r="E1421" s="251">
        <v>-3.1393383240762005E-3</v>
      </c>
      <c r="G1421" s="251">
        <v>1412</v>
      </c>
      <c r="H1421" s="251">
        <f t="shared" ca="1" si="48"/>
        <v>1.9151814139029923E-2</v>
      </c>
    </row>
    <row r="1422" spans="2:8">
      <c r="B1422" s="252">
        <v>44515</v>
      </c>
      <c r="C1422" s="251">
        <v>505.45</v>
      </c>
      <c r="D1422" s="251">
        <f t="shared" si="47"/>
        <v>-0.12794810303479931</v>
      </c>
      <c r="E1422" s="251">
        <v>-3.1555073464155856E-3</v>
      </c>
      <c r="G1422" s="251">
        <v>1413</v>
      </c>
      <c r="H1422" s="251">
        <f t="shared" ca="1" si="48"/>
        <v>1.4745802637449613E-3</v>
      </c>
    </row>
    <row r="1423" spans="2:8">
      <c r="B1423" s="252">
        <v>45098</v>
      </c>
      <c r="C1423" s="251">
        <v>579.61</v>
      </c>
      <c r="D1423" s="251">
        <f t="shared" si="47"/>
        <v>-0.39307853403141357</v>
      </c>
      <c r="E1423" s="251">
        <v>-3.1816462009424942E-3</v>
      </c>
      <c r="G1423" s="251">
        <v>1414</v>
      </c>
      <c r="H1423" s="251">
        <f t="shared" ca="1" si="48"/>
        <v>2.8513279974923617E-2</v>
      </c>
    </row>
    <row r="1424" spans="2:8">
      <c r="B1424" s="252">
        <v>45468</v>
      </c>
      <c r="C1424" s="251">
        <v>955</v>
      </c>
      <c r="D1424" s="251">
        <f t="shared" si="47"/>
        <v>4.5555555555555554</v>
      </c>
      <c r="E1424" s="251">
        <v>-3.183549919106471E-3</v>
      </c>
      <c r="G1424" s="251">
        <v>1415</v>
      </c>
      <c r="H1424" s="251">
        <f t="shared" ca="1" si="48"/>
        <v>-2.3423850922676466E-2</v>
      </c>
    </row>
    <row r="1425" spans="2:8">
      <c r="B1425" s="252">
        <v>43768</v>
      </c>
      <c r="C1425" s="251">
        <v>171.9</v>
      </c>
      <c r="D1425" s="251">
        <f t="shared" si="47"/>
        <v>-0.83166038290163058</v>
      </c>
      <c r="E1425" s="251">
        <v>-3.1893302406493648E-3</v>
      </c>
      <c r="G1425" s="251">
        <v>1416</v>
      </c>
      <c r="H1425" s="251">
        <f t="shared" ca="1" si="48"/>
        <v>3.3618262564662571E-3</v>
      </c>
    </row>
    <row r="1426" spans="2:8">
      <c r="B1426" s="252">
        <v>45489</v>
      </c>
      <c r="C1426" s="267">
        <v>1021.15</v>
      </c>
      <c r="D1426" s="251">
        <f t="shared" si="47"/>
        <v>2.0016166960611406</v>
      </c>
      <c r="E1426" s="251">
        <v>-3.2212406657231374E-3</v>
      </c>
      <c r="G1426" s="251">
        <v>1417</v>
      </c>
      <c r="H1426" s="251">
        <f t="shared" ca="1" si="48"/>
        <v>-1.6802026985435682E-2</v>
      </c>
    </row>
    <row r="1427" spans="2:8">
      <c r="B1427" s="252">
        <v>42387</v>
      </c>
      <c r="C1427" s="251">
        <v>340.2</v>
      </c>
      <c r="D1427" s="251">
        <f t="shared" si="47"/>
        <v>-0.1125603234641973</v>
      </c>
      <c r="E1427" s="251">
        <v>-3.2229709932611273E-3</v>
      </c>
      <c r="G1427" s="251">
        <v>1418</v>
      </c>
      <c r="H1427" s="251">
        <f t="shared" ca="1" si="48"/>
        <v>-7.4500956131761118E-3</v>
      </c>
    </row>
    <row r="1428" spans="2:8">
      <c r="B1428" s="252">
        <v>42304</v>
      </c>
      <c r="C1428" s="251">
        <v>383.35</v>
      </c>
      <c r="D1428" s="251">
        <f t="shared" si="47"/>
        <v>-0.3235397917769543</v>
      </c>
      <c r="E1428" s="251">
        <v>-3.2501300052002078E-3</v>
      </c>
      <c r="G1428" s="251">
        <v>1419</v>
      </c>
      <c r="H1428" s="251">
        <f t="shared" ca="1" si="48"/>
        <v>-1.8387262918501734E-2</v>
      </c>
    </row>
    <row r="1429" spans="2:8">
      <c r="B1429" s="252">
        <v>45092</v>
      </c>
      <c r="C1429" s="251">
        <v>566.70000000000005</v>
      </c>
      <c r="D1429" s="251">
        <f t="shared" si="47"/>
        <v>2.087442113865432</v>
      </c>
      <c r="E1429" s="251">
        <v>-3.2538914783218878E-3</v>
      </c>
      <c r="G1429" s="251">
        <v>1420</v>
      </c>
      <c r="H1429" s="251">
        <f t="shared" ca="1" si="48"/>
        <v>7.4353059381127726E-2</v>
      </c>
    </row>
    <row r="1430" spans="2:8">
      <c r="B1430" s="252">
        <v>44172</v>
      </c>
      <c r="C1430" s="251">
        <v>183.55</v>
      </c>
      <c r="D1430" s="251">
        <f t="shared" si="47"/>
        <v>1.4263053536021151</v>
      </c>
      <c r="E1430" s="251">
        <v>-3.2582134129785193E-3</v>
      </c>
      <c r="G1430" s="251">
        <v>1421</v>
      </c>
      <c r="H1430" s="251">
        <f t="shared" ca="1" si="48"/>
        <v>-1.7311509208831084E-2</v>
      </c>
    </row>
    <row r="1431" spans="2:8">
      <c r="B1431" s="252">
        <v>43944</v>
      </c>
      <c r="C1431" s="251">
        <v>75.650000000000006</v>
      </c>
      <c r="D1431" s="251">
        <f t="shared" si="47"/>
        <v>-0.92052319167936125</v>
      </c>
      <c r="E1431" s="251">
        <v>-3.2938076416337285E-3</v>
      </c>
      <c r="G1431" s="251">
        <v>1422</v>
      </c>
      <c r="H1431" s="251">
        <f t="shared" ca="1" si="48"/>
        <v>7.3139609093359299E-3</v>
      </c>
    </row>
    <row r="1432" spans="2:8">
      <c r="B1432" s="252">
        <v>45469</v>
      </c>
      <c r="C1432" s="251">
        <v>951.85</v>
      </c>
      <c r="D1432" s="251">
        <f t="shared" si="47"/>
        <v>4.2807212205270462</v>
      </c>
      <c r="E1432" s="251">
        <v>-3.2984293193717039E-3</v>
      </c>
      <c r="G1432" s="251">
        <v>1423</v>
      </c>
      <c r="H1432" s="251">
        <f t="shared" ca="1" si="48"/>
        <v>1.0590445621422088E-2</v>
      </c>
    </row>
    <row r="1433" spans="2:8">
      <c r="B1433" s="252">
        <v>43488</v>
      </c>
      <c r="C1433" s="251">
        <v>180.25</v>
      </c>
      <c r="D1433" s="251">
        <f t="shared" si="47"/>
        <v>2.7816411682892906E-3</v>
      </c>
      <c r="E1433" s="251">
        <v>-3.3176665745092305E-3</v>
      </c>
      <c r="G1433" s="251">
        <v>1424</v>
      </c>
      <c r="H1433" s="251">
        <f t="shared" ca="1" si="48"/>
        <v>-9.8857656448125535E-3</v>
      </c>
    </row>
    <row r="1434" spans="2:8">
      <c r="B1434" s="252">
        <v>44166</v>
      </c>
      <c r="C1434" s="251">
        <v>179.75</v>
      </c>
      <c r="D1434" s="251">
        <f t="shared" si="47"/>
        <v>-0.71761397555534612</v>
      </c>
      <c r="E1434" s="251">
        <v>-3.3268644302744347E-3</v>
      </c>
      <c r="G1434" s="251">
        <v>1425</v>
      </c>
      <c r="H1434" s="251">
        <f t="shared" ca="1" si="48"/>
        <v>1.6749439476285863E-2</v>
      </c>
    </row>
    <row r="1435" spans="2:8">
      <c r="B1435" s="252">
        <v>45189</v>
      </c>
      <c r="C1435" s="251">
        <v>636.54</v>
      </c>
      <c r="D1435" s="251">
        <f t="shared" si="47"/>
        <v>1.3876219054763688</v>
      </c>
      <c r="E1435" s="251">
        <v>-3.3506607377716329E-3</v>
      </c>
      <c r="G1435" s="251">
        <v>1426</v>
      </c>
      <c r="H1435" s="251">
        <f t="shared" ca="1" si="48"/>
        <v>1.9307949923393842E-2</v>
      </c>
    </row>
    <row r="1436" spans="2:8">
      <c r="B1436" s="252">
        <v>43346</v>
      </c>
      <c r="C1436" s="251">
        <v>266.60000000000002</v>
      </c>
      <c r="D1436" s="251">
        <f t="shared" si="47"/>
        <v>-0.43427055702917766</v>
      </c>
      <c r="E1436" s="251">
        <v>-3.3644859813083262E-3</v>
      </c>
      <c r="G1436" s="251">
        <v>1427</v>
      </c>
      <c r="H1436" s="251">
        <f t="shared" ca="1" si="48"/>
        <v>-2.6130394800949759E-2</v>
      </c>
    </row>
    <row r="1437" spans="2:8">
      <c r="B1437" s="252">
        <v>42692</v>
      </c>
      <c r="C1437" s="251">
        <v>471.25</v>
      </c>
      <c r="D1437" s="251">
        <f t="shared" si="47"/>
        <v>0.15686755861053142</v>
      </c>
      <c r="E1437" s="251">
        <v>-3.3837369144549489E-3</v>
      </c>
      <c r="G1437" s="251">
        <v>1428</v>
      </c>
      <c r="H1437" s="251">
        <f t="shared" ca="1" si="48"/>
        <v>2.9034609156905204E-2</v>
      </c>
    </row>
    <row r="1438" spans="2:8">
      <c r="B1438" s="252">
        <v>42478</v>
      </c>
      <c r="C1438" s="251">
        <v>407.35</v>
      </c>
      <c r="D1438" s="251">
        <f t="shared" si="47"/>
        <v>-0.27319927917640552</v>
      </c>
      <c r="E1438" s="251">
        <v>-3.4250764525993326E-3</v>
      </c>
      <c r="G1438" s="251">
        <v>1429</v>
      </c>
      <c r="H1438" s="251">
        <f t="shared" ca="1" si="48"/>
        <v>6.9083182154195677E-2</v>
      </c>
    </row>
    <row r="1439" spans="2:8">
      <c r="B1439" s="252">
        <v>45090</v>
      </c>
      <c r="C1439" s="251">
        <v>560.47</v>
      </c>
      <c r="D1439" s="251">
        <f t="shared" si="47"/>
        <v>0.55211852672389916</v>
      </c>
      <c r="E1439" s="251">
        <v>-3.4494407994166906E-3</v>
      </c>
      <c r="G1439" s="251">
        <v>1430</v>
      </c>
      <c r="H1439" s="251">
        <f t="shared" ca="1" si="48"/>
        <v>7.7325910425010039E-2</v>
      </c>
    </row>
    <row r="1440" spans="2:8">
      <c r="B1440" s="252">
        <v>42290</v>
      </c>
      <c r="C1440" s="251">
        <v>361.1</v>
      </c>
      <c r="D1440" s="251">
        <f t="shared" si="47"/>
        <v>-0.13643429391366724</v>
      </c>
      <c r="E1440" s="251">
        <v>-3.4497033255140057E-3</v>
      </c>
      <c r="G1440" s="251">
        <v>1431</v>
      </c>
      <c r="H1440" s="251">
        <f t="shared" ca="1" si="48"/>
        <v>-3.2238079079558939E-2</v>
      </c>
    </row>
    <row r="1441" spans="2:8">
      <c r="B1441" s="252">
        <v>44631</v>
      </c>
      <c r="C1441" s="251">
        <v>418.15</v>
      </c>
      <c r="D1441" s="251">
        <f t="shared" si="47"/>
        <v>3.9527656929769985E-2</v>
      </c>
      <c r="E1441" s="251">
        <v>-3.4556720686369051E-3</v>
      </c>
      <c r="G1441" s="251">
        <v>1432</v>
      </c>
      <c r="H1441" s="251">
        <f t="shared" ca="1" si="48"/>
        <v>-2.114729177632288E-2</v>
      </c>
    </row>
    <row r="1442" spans="2:8">
      <c r="B1442" s="252">
        <v>43074</v>
      </c>
      <c r="C1442" s="251">
        <v>402.25</v>
      </c>
      <c r="D1442" s="251">
        <f t="shared" si="47"/>
        <v>-0.14793789319833078</v>
      </c>
      <c r="E1442" s="251">
        <v>-3.4683512944381949E-3</v>
      </c>
      <c r="G1442" s="251">
        <v>1433</v>
      </c>
      <c r="H1442" s="251">
        <f t="shared" ca="1" si="48"/>
        <v>1.4281922638971439E-2</v>
      </c>
    </row>
    <row r="1443" spans="2:8">
      <c r="B1443" s="252">
        <v>45041</v>
      </c>
      <c r="C1443" s="251">
        <v>472.09</v>
      </c>
      <c r="D1443" s="251">
        <f t="shared" si="47"/>
        <v>1.7535141440653252</v>
      </c>
      <c r="E1443" s="251">
        <v>-3.4829231223878795E-3</v>
      </c>
      <c r="G1443" s="251">
        <v>1434</v>
      </c>
      <c r="H1443" s="251">
        <f t="shared" ca="1" si="48"/>
        <v>2.1070114479297677E-3</v>
      </c>
    </row>
    <row r="1444" spans="2:8">
      <c r="B1444" s="252">
        <v>44160</v>
      </c>
      <c r="C1444" s="251">
        <v>171.45</v>
      </c>
      <c r="D1444" s="251">
        <f t="shared" si="47"/>
        <v>9.7631241997439194E-2</v>
      </c>
      <c r="E1444" s="251">
        <v>-3.4873583260681355E-3</v>
      </c>
      <c r="G1444" s="251">
        <v>1435</v>
      </c>
      <c r="H1444" s="251">
        <f t="shared" ca="1" si="48"/>
        <v>4.0630439731211908E-2</v>
      </c>
    </row>
    <row r="1445" spans="2:8">
      <c r="B1445" s="252">
        <v>43669</v>
      </c>
      <c r="C1445" s="251">
        <v>156.19999999999999</v>
      </c>
      <c r="D1445" s="251">
        <f t="shared" si="47"/>
        <v>-0.76014986794422945</v>
      </c>
      <c r="E1445" s="251">
        <v>-3.5087719298246339E-3</v>
      </c>
      <c r="G1445" s="251">
        <v>1436</v>
      </c>
      <c r="H1445" s="251">
        <f t="shared" ca="1" si="48"/>
        <v>5.5298096992184671E-3</v>
      </c>
    </row>
    <row r="1446" spans="2:8">
      <c r="B1446" s="252">
        <v>45243</v>
      </c>
      <c r="C1446" s="251">
        <v>651.24</v>
      </c>
      <c r="D1446" s="251">
        <f t="shared" si="47"/>
        <v>4.1788469184890653</v>
      </c>
      <c r="E1446" s="251">
        <v>-3.534542116134872E-3</v>
      </c>
      <c r="G1446" s="251">
        <v>1437</v>
      </c>
      <c r="H1446" s="251">
        <f t="shared" ca="1" si="48"/>
        <v>1.2752261782442233E-2</v>
      </c>
    </row>
    <row r="1447" spans="2:8">
      <c r="B1447" s="252">
        <v>43895</v>
      </c>
      <c r="C1447" s="251">
        <v>125.75</v>
      </c>
      <c r="D1447" s="251">
        <f t="shared" si="47"/>
        <v>-0.30467238042576716</v>
      </c>
      <c r="E1447" s="251">
        <v>-3.5657686212361554E-3</v>
      </c>
      <c r="G1447" s="251">
        <v>1438</v>
      </c>
      <c r="H1447" s="251">
        <f t="shared" ca="1" si="48"/>
        <v>1.809641684195629E-2</v>
      </c>
    </row>
    <row r="1448" spans="2:8">
      <c r="B1448" s="252">
        <v>43487</v>
      </c>
      <c r="C1448" s="251">
        <v>180.85</v>
      </c>
      <c r="D1448" s="251">
        <f t="shared" si="47"/>
        <v>0.44506592089492597</v>
      </c>
      <c r="E1448" s="251">
        <v>-3.5812672176308855E-3</v>
      </c>
      <c r="G1448" s="251">
        <v>1439</v>
      </c>
      <c r="H1448" s="251">
        <f t="shared" ca="1" si="48"/>
        <v>-6.8558923074944628E-2</v>
      </c>
    </row>
    <row r="1449" spans="2:8">
      <c r="B1449" s="252">
        <v>44062</v>
      </c>
      <c r="C1449" s="251">
        <v>125.15</v>
      </c>
      <c r="D1449" s="251">
        <f t="shared" si="47"/>
        <v>-0.79386622304942933</v>
      </c>
      <c r="E1449" s="251">
        <v>-3.5828025477706101E-3</v>
      </c>
      <c r="G1449" s="251">
        <v>1440</v>
      </c>
      <c r="H1449" s="251">
        <f t="shared" ca="1" si="48"/>
        <v>-3.98714294373306E-4</v>
      </c>
    </row>
    <row r="1450" spans="2:8">
      <c r="B1450" s="252">
        <v>45173</v>
      </c>
      <c r="C1450" s="251">
        <v>607.13</v>
      </c>
      <c r="D1450" s="251">
        <f t="shared" si="47"/>
        <v>0.83339876189038209</v>
      </c>
      <c r="E1450" s="251">
        <v>-3.5941705507780055E-3</v>
      </c>
      <c r="G1450" s="251">
        <v>1441</v>
      </c>
      <c r="H1450" s="251">
        <f t="shared" ca="1" si="48"/>
        <v>6.9744652796561481E-3</v>
      </c>
    </row>
    <row r="1451" spans="2:8">
      <c r="B1451" s="252">
        <v>43186</v>
      </c>
      <c r="C1451" s="251">
        <v>331.15</v>
      </c>
      <c r="D1451" s="251">
        <f t="shared" si="47"/>
        <v>-0.4530333812331731</v>
      </c>
      <c r="E1451" s="251">
        <v>-3.6106514216941339E-3</v>
      </c>
      <c r="G1451" s="251">
        <v>1442</v>
      </c>
      <c r="H1451" s="251">
        <f t="shared" ca="1" si="48"/>
        <v>-1.4096951138112691E-2</v>
      </c>
    </row>
    <row r="1452" spans="2:8">
      <c r="B1452" s="252">
        <v>45146</v>
      </c>
      <c r="C1452" s="251">
        <v>605.42999999999995</v>
      </c>
      <c r="D1452" s="251">
        <f t="shared" si="47"/>
        <v>0.77259552042160717</v>
      </c>
      <c r="E1452" s="251">
        <v>-3.6206243931340546E-3</v>
      </c>
      <c r="G1452" s="251">
        <v>1443</v>
      </c>
      <c r="H1452" s="251">
        <f t="shared" ca="1" si="48"/>
        <v>1.5347786120837762E-2</v>
      </c>
    </row>
    <row r="1453" spans="2:8">
      <c r="B1453" s="252">
        <v>44376</v>
      </c>
      <c r="C1453" s="251">
        <v>341.55</v>
      </c>
      <c r="D1453" s="251">
        <f t="shared" si="47"/>
        <v>0.32460732984293189</v>
      </c>
      <c r="E1453" s="251">
        <v>-3.6464410735122521E-3</v>
      </c>
      <c r="G1453" s="251">
        <v>1444</v>
      </c>
      <c r="H1453" s="251">
        <f t="shared" ca="1" si="48"/>
        <v>4.5852314564059993E-3</v>
      </c>
    </row>
    <row r="1454" spans="2:8">
      <c r="B1454" s="252">
        <v>43306</v>
      </c>
      <c r="C1454" s="251">
        <v>257.85000000000002</v>
      </c>
      <c r="D1454" s="251">
        <f t="shared" si="47"/>
        <v>-0.71627420774647887</v>
      </c>
      <c r="E1454" s="251">
        <v>-3.6707882534775449E-3</v>
      </c>
      <c r="G1454" s="251">
        <v>1445</v>
      </c>
      <c r="H1454" s="251">
        <f t="shared" ca="1" si="48"/>
        <v>-1.3635880253825394E-2</v>
      </c>
    </row>
    <row r="1455" spans="2:8">
      <c r="B1455" s="252">
        <v>45334</v>
      </c>
      <c r="C1455" s="251">
        <v>908.8</v>
      </c>
      <c r="D1455" s="251">
        <f t="shared" si="47"/>
        <v>-8.0534196681505493E-2</v>
      </c>
      <c r="E1455" s="251">
        <v>-3.7054090201495272E-3</v>
      </c>
      <c r="G1455" s="251">
        <v>1446</v>
      </c>
      <c r="H1455" s="251">
        <f t="shared" ca="1" si="48"/>
        <v>-1.0427598189030805E-2</v>
      </c>
    </row>
    <row r="1456" spans="2:8">
      <c r="B1456" s="252">
        <v>45551</v>
      </c>
      <c r="C1456" s="251">
        <v>988.4</v>
      </c>
      <c r="D1456" s="251">
        <f t="shared" si="47"/>
        <v>0.48419551017343632</v>
      </c>
      <c r="E1456" s="251">
        <v>-3.7294627557706334E-3</v>
      </c>
      <c r="G1456" s="251">
        <v>1447</v>
      </c>
      <c r="H1456" s="251">
        <f t="shared" ca="1" si="48"/>
        <v>2.3088286746774728E-2</v>
      </c>
    </row>
    <row r="1457" spans="2:8">
      <c r="B1457" s="252">
        <v>45869</v>
      </c>
      <c r="C1457" s="251">
        <v>665.95</v>
      </c>
      <c r="D1457" s="251">
        <f t="shared" si="47"/>
        <v>0.35149670218163376</v>
      </c>
      <c r="E1457" s="251">
        <v>-3.7399955120053854E-3</v>
      </c>
      <c r="G1457" s="251">
        <v>1448</v>
      </c>
      <c r="H1457" s="251">
        <f t="shared" ca="1" si="48"/>
        <v>-1.8962504858314737E-2</v>
      </c>
    </row>
    <row r="1458" spans="2:8">
      <c r="B1458" s="252">
        <v>44600</v>
      </c>
      <c r="C1458" s="251">
        <v>492.75</v>
      </c>
      <c r="D1458" s="251">
        <f t="shared" si="47"/>
        <v>-2.3290386521308225E-2</v>
      </c>
      <c r="E1458" s="251">
        <v>-3.7403962798221242E-3</v>
      </c>
      <c r="G1458" s="251">
        <v>1449</v>
      </c>
      <c r="H1458" s="251">
        <f t="shared" ca="1" si="48"/>
        <v>-9.0158256585273003E-3</v>
      </c>
    </row>
    <row r="1459" spans="2:8">
      <c r="B1459" s="252">
        <v>44595</v>
      </c>
      <c r="C1459" s="251">
        <v>504.5</v>
      </c>
      <c r="D1459" s="251">
        <f t="shared" si="47"/>
        <v>-0.35241640459534046</v>
      </c>
      <c r="E1459" s="251">
        <v>-3.7519747235386599E-3</v>
      </c>
      <c r="G1459" s="251">
        <v>1450</v>
      </c>
      <c r="H1459" s="251">
        <f t="shared" ca="1" si="48"/>
        <v>-5.5747321601021778E-3</v>
      </c>
    </row>
    <row r="1460" spans="2:8">
      <c r="B1460" s="252">
        <v>45294</v>
      </c>
      <c r="C1460" s="251">
        <v>779.05</v>
      </c>
      <c r="D1460" s="251">
        <f t="shared" si="47"/>
        <v>1.181907295896933</v>
      </c>
      <c r="E1460" s="251">
        <v>-3.7596388700623469E-3</v>
      </c>
      <c r="G1460" s="251">
        <v>1451</v>
      </c>
      <c r="H1460" s="251">
        <f t="shared" ca="1" si="48"/>
        <v>2.5448981603562383E-2</v>
      </c>
    </row>
    <row r="1461" spans="2:8">
      <c r="B1461" s="252">
        <v>43203</v>
      </c>
      <c r="C1461" s="251">
        <v>357.05</v>
      </c>
      <c r="D1461" s="251">
        <f t="shared" si="47"/>
        <v>0.93575494714014651</v>
      </c>
      <c r="E1461" s="251">
        <v>-3.7667410714284765E-3</v>
      </c>
      <c r="G1461" s="251">
        <v>1452</v>
      </c>
      <c r="H1461" s="251">
        <f t="shared" ca="1" si="48"/>
        <v>-6.4088112863495382E-3</v>
      </c>
    </row>
    <row r="1462" spans="2:8">
      <c r="B1462" s="252">
        <v>43831</v>
      </c>
      <c r="C1462" s="251">
        <v>184.45</v>
      </c>
      <c r="D1462" s="251">
        <f t="shared" si="47"/>
        <v>1.6291067064891824E-3</v>
      </c>
      <c r="E1462" s="251">
        <v>-3.780718336484024E-3</v>
      </c>
      <c r="G1462" s="251">
        <v>1453</v>
      </c>
      <c r="H1462" s="251">
        <f t="shared" ca="1" si="48"/>
        <v>4.476468807655903E-3</v>
      </c>
    </row>
    <row r="1463" spans="2:8">
      <c r="B1463" s="252">
        <v>44169</v>
      </c>
      <c r="C1463" s="251">
        <v>184.15</v>
      </c>
      <c r="D1463" s="251">
        <f t="shared" si="47"/>
        <v>-0.59963039460810952</v>
      </c>
      <c r="E1463" s="251">
        <v>-3.7868542061130031E-3</v>
      </c>
      <c r="G1463" s="251">
        <v>1454</v>
      </c>
      <c r="H1463" s="251">
        <f t="shared" ca="1" si="48"/>
        <v>-2.8015383255935344E-2</v>
      </c>
    </row>
    <row r="1464" spans="2:8">
      <c r="B1464" s="252">
        <v>42797</v>
      </c>
      <c r="C1464" s="251">
        <v>459.95</v>
      </c>
      <c r="D1464" s="251">
        <f t="shared" si="47"/>
        <v>-0.28196762258613428</v>
      </c>
      <c r="E1464" s="251">
        <v>-3.7903400476499891E-3</v>
      </c>
      <c r="G1464" s="251">
        <v>1455</v>
      </c>
      <c r="H1464" s="251">
        <f t="shared" ca="1" si="48"/>
        <v>1.9498135415507566E-2</v>
      </c>
    </row>
    <row r="1465" spans="2:8">
      <c r="B1465" s="252">
        <v>45238</v>
      </c>
      <c r="C1465" s="251">
        <v>640.57000000000005</v>
      </c>
      <c r="D1465" s="251">
        <f t="shared" si="47"/>
        <v>0.5810687399728498</v>
      </c>
      <c r="E1465" s="251">
        <v>-3.8101458741562188E-3</v>
      </c>
      <c r="G1465" s="251">
        <v>1456</v>
      </c>
      <c r="H1465" s="251">
        <f t="shared" ca="1" si="48"/>
        <v>-3.6849721964038705E-2</v>
      </c>
    </row>
    <row r="1466" spans="2:8">
      <c r="B1466" s="252">
        <v>44726</v>
      </c>
      <c r="C1466" s="251">
        <v>405.15</v>
      </c>
      <c r="D1466" s="251">
        <f t="shared" si="47"/>
        <v>-0.39130108173076927</v>
      </c>
      <c r="E1466" s="251">
        <v>-3.8111630194246652E-3</v>
      </c>
      <c r="G1466" s="251">
        <v>1457</v>
      </c>
      <c r="H1466" s="251">
        <f t="shared" ca="1" si="48"/>
        <v>-1.1475892879054801E-2</v>
      </c>
    </row>
    <row r="1467" spans="2:8">
      <c r="B1467" s="252">
        <v>45776</v>
      </c>
      <c r="C1467" s="251">
        <v>665.6</v>
      </c>
      <c r="D1467" s="251">
        <f t="shared" si="47"/>
        <v>0.56321191197538689</v>
      </c>
      <c r="E1467" s="251">
        <v>-3.8165082691011816E-3</v>
      </c>
      <c r="G1467" s="251">
        <v>1458</v>
      </c>
      <c r="H1467" s="251">
        <f t="shared" ca="1" si="48"/>
        <v>3.7326627769242553E-2</v>
      </c>
    </row>
    <row r="1468" spans="2:8">
      <c r="B1468" s="252">
        <v>44901</v>
      </c>
      <c r="C1468" s="251">
        <v>425.79</v>
      </c>
      <c r="D1468" s="251">
        <f t="shared" si="47"/>
        <v>-2.9095884163721334E-2</v>
      </c>
      <c r="E1468" s="251">
        <v>-3.8368855719064792E-3</v>
      </c>
      <c r="G1468" s="251">
        <v>1459</v>
      </c>
      <c r="H1468" s="251">
        <f t="shared" ca="1" si="48"/>
        <v>-4.1777277572036566E-2</v>
      </c>
    </row>
    <row r="1469" spans="2:8">
      <c r="B1469" s="252">
        <v>44974</v>
      </c>
      <c r="C1469" s="251">
        <v>438.55</v>
      </c>
      <c r="D1469" s="251">
        <f t="shared" si="47"/>
        <v>-0.3472501302374042</v>
      </c>
      <c r="E1469" s="251">
        <v>-3.8388151917136057E-3</v>
      </c>
      <c r="G1469" s="251">
        <v>1460</v>
      </c>
      <c r="H1469" s="251">
        <f t="shared" ca="1" si="48"/>
        <v>-4.4014754192402174E-3</v>
      </c>
    </row>
    <row r="1470" spans="2:8">
      <c r="B1470" s="252">
        <v>45748</v>
      </c>
      <c r="C1470" s="251">
        <v>671.85</v>
      </c>
      <c r="D1470" s="251">
        <f t="shared" si="47"/>
        <v>-0.29873179896665097</v>
      </c>
      <c r="E1470" s="251">
        <v>-3.8549929572244384E-3</v>
      </c>
      <c r="G1470" s="251">
        <v>1461</v>
      </c>
      <c r="H1470" s="251">
        <f t="shared" ca="1" si="48"/>
        <v>-1.2773286441622681E-2</v>
      </c>
    </row>
    <row r="1471" spans="2:8">
      <c r="B1471" s="252">
        <v>45467</v>
      </c>
      <c r="C1471" s="251">
        <v>958.05</v>
      </c>
      <c r="D1471" s="251">
        <f t="shared" si="47"/>
        <v>-5.7732972707155196E-2</v>
      </c>
      <c r="E1471" s="251">
        <v>-3.8989394884591392E-3</v>
      </c>
      <c r="G1471" s="251">
        <v>1462</v>
      </c>
      <c r="H1471" s="251">
        <f t="shared" ca="1" si="48"/>
        <v>3.0446223644685676E-3</v>
      </c>
    </row>
    <row r="1472" spans="2:8">
      <c r="B1472" s="252">
        <v>45485</v>
      </c>
      <c r="C1472" s="267">
        <v>1016.75</v>
      </c>
      <c r="D1472" s="251">
        <f t="shared" si="47"/>
        <v>1.7098880597014925</v>
      </c>
      <c r="E1472" s="251">
        <v>-3.9674764890281688E-3</v>
      </c>
      <c r="G1472" s="251">
        <v>1463</v>
      </c>
      <c r="H1472" s="251">
        <f t="shared" ca="1" si="48"/>
        <v>2.678350854959784E-2</v>
      </c>
    </row>
    <row r="1473" spans="2:8">
      <c r="B1473" s="252">
        <v>42467</v>
      </c>
      <c r="C1473" s="251">
        <v>375.2</v>
      </c>
      <c r="D1473" s="251">
        <f t="shared" si="47"/>
        <v>-0.60279062873839451</v>
      </c>
      <c r="E1473" s="251">
        <v>-3.981948500132732E-3</v>
      </c>
      <c r="G1473" s="251">
        <v>1464</v>
      </c>
      <c r="H1473" s="251">
        <f t="shared" ca="1" si="48"/>
        <v>4.1648822601100512E-2</v>
      </c>
    </row>
    <row r="1474" spans="2:8">
      <c r="B1474" s="252">
        <v>45434</v>
      </c>
      <c r="C1474" s="251">
        <v>944.59</v>
      </c>
      <c r="D1474" s="251">
        <f t="shared" si="47"/>
        <v>2.0289882956549623</v>
      </c>
      <c r="E1474" s="251">
        <v>-3.9857861383215121E-3</v>
      </c>
      <c r="G1474" s="251">
        <v>1465</v>
      </c>
      <c r="H1474" s="251">
        <f t="shared" ca="1" si="48"/>
        <v>2.4181344570940792E-2</v>
      </c>
    </row>
    <row r="1475" spans="2:8">
      <c r="B1475" s="252">
        <v>44340</v>
      </c>
      <c r="C1475" s="251">
        <v>311.85000000000002</v>
      </c>
      <c r="D1475" s="251">
        <f t="shared" si="47"/>
        <v>-0.38852941176470585</v>
      </c>
      <c r="E1475" s="251">
        <v>-3.9923347173427019E-3</v>
      </c>
      <c r="G1475" s="251">
        <v>1466</v>
      </c>
      <c r="H1475" s="251">
        <f t="shared" ca="1" si="48"/>
        <v>-1.1687004532558536E-3</v>
      </c>
    </row>
    <row r="1476" spans="2:8">
      <c r="B1476" s="252">
        <v>42601</v>
      </c>
      <c r="C1476" s="251">
        <v>510</v>
      </c>
      <c r="D1476" s="251">
        <f t="shared" si="47"/>
        <v>1.9611688566390027E-4</v>
      </c>
      <c r="E1476" s="251">
        <v>-4.0035152817106817E-3</v>
      </c>
      <c r="G1476" s="251">
        <v>1467</v>
      </c>
      <c r="H1476" s="251">
        <f t="shared" ca="1" si="48"/>
        <v>3.7654728795554017E-2</v>
      </c>
    </row>
    <row r="1477" spans="2:8">
      <c r="B1477" s="252">
        <v>44575</v>
      </c>
      <c r="C1477" s="251">
        <v>509.9</v>
      </c>
      <c r="D1477" s="251">
        <f t="shared" si="47"/>
        <v>0.15652430311415544</v>
      </c>
      <c r="E1477" s="251">
        <v>-4.004297294657704E-3</v>
      </c>
      <c r="G1477" s="251">
        <v>1468</v>
      </c>
      <c r="H1477" s="251">
        <f t="shared" ca="1" si="48"/>
        <v>-2.9289539773923311E-2</v>
      </c>
    </row>
    <row r="1478" spans="2:8">
      <c r="B1478" s="252">
        <v>44770</v>
      </c>
      <c r="C1478" s="251">
        <v>440.89</v>
      </c>
      <c r="D1478" s="251">
        <f t="shared" si="47"/>
        <v>-0.37617262115316591</v>
      </c>
      <c r="E1478" s="251">
        <v>-4.0435529050330274E-3</v>
      </c>
      <c r="G1478" s="251">
        <v>1469</v>
      </c>
      <c r="H1478" s="251">
        <f t="shared" ca="1" si="48"/>
        <v>4.1064376736694039E-2</v>
      </c>
    </row>
    <row r="1479" spans="2:8">
      <c r="B1479" s="252">
        <v>45695</v>
      </c>
      <c r="C1479" s="251">
        <v>706.75</v>
      </c>
      <c r="D1479" s="251">
        <f t="shared" si="47"/>
        <v>0.57872986798311254</v>
      </c>
      <c r="E1479" s="251">
        <v>-4.0865215246952405E-3</v>
      </c>
      <c r="G1479" s="251">
        <v>1470</v>
      </c>
      <c r="H1479" s="251">
        <f t="shared" ca="1" si="48"/>
        <v>6.0978977528054118E-2</v>
      </c>
    </row>
    <row r="1480" spans="2:8">
      <c r="B1480" s="252">
        <v>44761</v>
      </c>
      <c r="C1480" s="251">
        <v>447.67</v>
      </c>
      <c r="D1480" s="251">
        <f t="shared" si="47"/>
        <v>5.9699372706829276E-2</v>
      </c>
      <c r="E1480" s="251">
        <v>-4.093346087962392E-3</v>
      </c>
      <c r="G1480" s="251">
        <v>1471</v>
      </c>
      <c r="H1480" s="251">
        <f t="shared" ca="1" si="48"/>
        <v>-2.6843754285158471E-2</v>
      </c>
    </row>
    <row r="1481" spans="2:8">
      <c r="B1481" s="252">
        <v>43096</v>
      </c>
      <c r="C1481" s="251">
        <v>422.45</v>
      </c>
      <c r="D1481" s="251">
        <f t="shared" si="47"/>
        <v>-7.3879206401403025E-2</v>
      </c>
      <c r="E1481" s="251">
        <v>-4.1254125412541259E-3</v>
      </c>
      <c r="G1481" s="251">
        <v>1472</v>
      </c>
      <c r="H1481" s="251">
        <f t="shared" ca="1" si="48"/>
        <v>-2.5021098637079804E-2</v>
      </c>
    </row>
    <row r="1482" spans="2:8">
      <c r="B1482" s="252">
        <v>44657</v>
      </c>
      <c r="C1482" s="251">
        <v>456.15</v>
      </c>
      <c r="D1482" s="251">
        <f t="shared" ref="D1482:D1545" si="49">(C1482-C1483)/C1483</f>
        <v>2.8685474595764766E-2</v>
      </c>
      <c r="E1482" s="251">
        <v>-4.1480187752429521E-3</v>
      </c>
      <c r="G1482" s="251">
        <v>1473</v>
      </c>
      <c r="H1482" s="251">
        <f t="shared" ca="1" si="48"/>
        <v>-3.2328065990783535E-2</v>
      </c>
    </row>
    <row r="1483" spans="2:8">
      <c r="B1483" s="252">
        <v>44959</v>
      </c>
      <c r="C1483" s="251">
        <v>443.43</v>
      </c>
      <c r="D1483" s="251">
        <f t="shared" si="49"/>
        <v>-0.56291645310097382</v>
      </c>
      <c r="E1483" s="251">
        <v>-4.1546891843333772E-3</v>
      </c>
      <c r="G1483" s="251">
        <v>1474</v>
      </c>
      <c r="H1483" s="251">
        <f t="shared" ref="H1483:H1546" ca="1" si="50">_xlfn.NORM.INV(RAND(),N$12,N$13)</f>
        <v>1.6341452992695311E-2</v>
      </c>
    </row>
    <row r="1484" spans="2:8">
      <c r="B1484" s="252">
        <v>45357</v>
      </c>
      <c r="C1484" s="267">
        <v>1014.52</v>
      </c>
      <c r="D1484" s="251">
        <f t="shared" si="49"/>
        <v>7.8473477197831334E-2</v>
      </c>
      <c r="E1484" s="251">
        <v>-4.1619223369586643E-3</v>
      </c>
      <c r="G1484" s="251">
        <v>1475</v>
      </c>
      <c r="H1484" s="251">
        <f t="shared" ca="1" si="50"/>
        <v>-2.7488451778015021E-2</v>
      </c>
    </row>
    <row r="1485" spans="2:8">
      <c r="B1485" s="252">
        <v>45441</v>
      </c>
      <c r="C1485" s="251">
        <v>940.7</v>
      </c>
      <c r="D1485" s="251">
        <f t="shared" si="49"/>
        <v>1.0492321097919617</v>
      </c>
      <c r="E1485" s="251">
        <v>-4.1709010840107778E-3</v>
      </c>
      <c r="G1485" s="251">
        <v>1476</v>
      </c>
      <c r="H1485" s="251">
        <f t="shared" ca="1" si="50"/>
        <v>-4.581576419919877E-2</v>
      </c>
    </row>
    <row r="1486" spans="2:8">
      <c r="B1486" s="252">
        <v>42929</v>
      </c>
      <c r="C1486" s="251">
        <v>459.05</v>
      </c>
      <c r="D1486" s="251">
        <f t="shared" si="49"/>
        <v>-0.53356161599739871</v>
      </c>
      <c r="E1486" s="251">
        <v>-4.2299349240780661E-3</v>
      </c>
      <c r="G1486" s="251">
        <v>1477</v>
      </c>
      <c r="H1486" s="251">
        <f t="shared" ca="1" si="50"/>
        <v>1.4415600623457112E-3</v>
      </c>
    </row>
    <row r="1487" spans="2:8">
      <c r="B1487" s="252">
        <v>45355</v>
      </c>
      <c r="C1487" s="251">
        <v>984.16</v>
      </c>
      <c r="D1487" s="251">
        <f t="shared" si="49"/>
        <v>1.2790977722199062</v>
      </c>
      <c r="E1487" s="251">
        <v>-4.2393888804573834E-3</v>
      </c>
      <c r="G1487" s="251">
        <v>1478</v>
      </c>
      <c r="H1487" s="251">
        <f t="shared" ca="1" si="50"/>
        <v>1.6981690309660413E-2</v>
      </c>
    </row>
    <row r="1488" spans="2:8">
      <c r="B1488" s="252">
        <v>44874</v>
      </c>
      <c r="C1488" s="251">
        <v>431.82</v>
      </c>
      <c r="D1488" s="251">
        <f t="shared" si="49"/>
        <v>2.618821292775661E-2</v>
      </c>
      <c r="E1488" s="251">
        <v>-4.242955310612073E-3</v>
      </c>
      <c r="G1488" s="251">
        <v>1479</v>
      </c>
      <c r="H1488" s="251">
        <f t="shared" ca="1" si="50"/>
        <v>-5.021810864162915E-2</v>
      </c>
    </row>
    <row r="1489" spans="2:8">
      <c r="B1489" s="252">
        <v>43090</v>
      </c>
      <c r="C1489" s="251">
        <v>420.8</v>
      </c>
      <c r="D1489" s="251">
        <f t="shared" si="49"/>
        <v>-0.61053264843352317</v>
      </c>
      <c r="E1489" s="251">
        <v>-4.259346900142005E-3</v>
      </c>
      <c r="G1489" s="251">
        <v>1480</v>
      </c>
      <c r="H1489" s="251">
        <f t="shared" ca="1" si="50"/>
        <v>-6.0073711539890941E-3</v>
      </c>
    </row>
    <row r="1490" spans="2:8">
      <c r="B1490" s="252">
        <v>45539</v>
      </c>
      <c r="C1490" s="267">
        <v>1080.45</v>
      </c>
      <c r="D1490" s="251">
        <f t="shared" si="49"/>
        <v>0.98429752066115705</v>
      </c>
      <c r="E1490" s="251">
        <v>-4.2853193254076714E-3</v>
      </c>
      <c r="G1490" s="251">
        <v>1481</v>
      </c>
      <c r="H1490" s="251">
        <f t="shared" ca="1" si="50"/>
        <v>4.6824914801054419E-2</v>
      </c>
    </row>
    <row r="1491" spans="2:8">
      <c r="B1491" s="252">
        <v>42664</v>
      </c>
      <c r="C1491" s="251">
        <v>544.5</v>
      </c>
      <c r="D1491" s="251">
        <f t="shared" si="49"/>
        <v>0.88180404354587849</v>
      </c>
      <c r="E1491" s="251">
        <v>-4.2973393069397868E-3</v>
      </c>
      <c r="G1491" s="251">
        <v>1482</v>
      </c>
      <c r="H1491" s="251">
        <f t="shared" ca="1" si="50"/>
        <v>-5.3318694971609099E-2</v>
      </c>
    </row>
    <row r="1492" spans="2:8">
      <c r="B1492" s="252">
        <v>44218</v>
      </c>
      <c r="C1492" s="251">
        <v>289.35000000000002</v>
      </c>
      <c r="D1492" s="251">
        <f t="shared" si="49"/>
        <v>-0.33291066282420745</v>
      </c>
      <c r="E1492" s="251">
        <v>-4.3014452856159667E-3</v>
      </c>
      <c r="G1492" s="251">
        <v>1483</v>
      </c>
      <c r="H1492" s="251">
        <f t="shared" ca="1" si="50"/>
        <v>-9.1661463282654791E-3</v>
      </c>
    </row>
    <row r="1493" spans="2:8">
      <c r="B1493" s="252">
        <v>44651</v>
      </c>
      <c r="C1493" s="251">
        <v>433.75</v>
      </c>
      <c r="D1493" s="251">
        <f t="shared" si="49"/>
        <v>-1.9308598430893803E-2</v>
      </c>
      <c r="E1493" s="251">
        <v>-4.3612992080798284E-3</v>
      </c>
      <c r="G1493" s="251">
        <v>1484</v>
      </c>
      <c r="H1493" s="251">
        <f t="shared" ca="1" si="50"/>
        <v>-2.1502882170890924E-2</v>
      </c>
    </row>
    <row r="1494" spans="2:8">
      <c r="B1494" s="252">
        <v>44956</v>
      </c>
      <c r="C1494" s="251">
        <v>442.29</v>
      </c>
      <c r="D1494" s="251">
        <f t="shared" si="49"/>
        <v>1.4335075653370015</v>
      </c>
      <c r="E1494" s="251">
        <v>-4.3671071291898284E-3</v>
      </c>
      <c r="G1494" s="251">
        <v>1485</v>
      </c>
      <c r="H1494" s="251">
        <f t="shared" ca="1" si="50"/>
        <v>1.5737531268528711E-3</v>
      </c>
    </row>
    <row r="1495" spans="2:8">
      <c r="B1495" s="252">
        <v>43430</v>
      </c>
      <c r="C1495" s="251">
        <v>181.75</v>
      </c>
      <c r="D1495" s="251">
        <f t="shared" si="49"/>
        <v>-0.52352864071306859</v>
      </c>
      <c r="E1495" s="251">
        <v>-4.3823609969871891E-3</v>
      </c>
      <c r="G1495" s="251">
        <v>1486</v>
      </c>
      <c r="H1495" s="251">
        <f t="shared" ca="1" si="50"/>
        <v>-1.969266331864632E-2</v>
      </c>
    </row>
    <row r="1496" spans="2:8">
      <c r="B1496" s="252">
        <v>42298</v>
      </c>
      <c r="C1496" s="251">
        <v>381.45</v>
      </c>
      <c r="D1496" s="251">
        <f t="shared" si="49"/>
        <v>-0.62006972111553782</v>
      </c>
      <c r="E1496" s="251">
        <v>-4.4369046065509295E-3</v>
      </c>
      <c r="G1496" s="251">
        <v>1487</v>
      </c>
      <c r="H1496" s="251">
        <f t="shared" ca="1" si="50"/>
        <v>-1.152009849982953E-3</v>
      </c>
    </row>
    <row r="1497" spans="2:8">
      <c r="B1497" s="252">
        <v>45387</v>
      </c>
      <c r="C1497" s="267">
        <v>1004</v>
      </c>
      <c r="D1497" s="251">
        <f t="shared" si="49"/>
        <v>0.67180084922154704</v>
      </c>
      <c r="E1497" s="251">
        <v>-4.45220081507998E-3</v>
      </c>
      <c r="G1497" s="251">
        <v>1488</v>
      </c>
      <c r="H1497" s="251">
        <f t="shared" ca="1" si="50"/>
        <v>-1.1002400936301559E-4</v>
      </c>
    </row>
    <row r="1498" spans="2:8">
      <c r="B1498" s="252">
        <v>45166</v>
      </c>
      <c r="C1498" s="251">
        <v>600.54999999999995</v>
      </c>
      <c r="D1498" s="251">
        <f t="shared" si="49"/>
        <v>0.45835356969402608</v>
      </c>
      <c r="E1498" s="251">
        <v>-4.4592533651615519E-3</v>
      </c>
      <c r="G1498" s="251">
        <v>1489</v>
      </c>
      <c r="H1498" s="251">
        <f t="shared" ca="1" si="50"/>
        <v>-2.2227142265333951E-2</v>
      </c>
    </row>
    <row r="1499" spans="2:8">
      <c r="B1499" s="252">
        <v>43000</v>
      </c>
      <c r="C1499" s="251">
        <v>411.8</v>
      </c>
      <c r="D1499" s="251">
        <f t="shared" si="49"/>
        <v>-0.64397181515583801</v>
      </c>
      <c r="E1499" s="251">
        <v>-4.4723800314274533E-3</v>
      </c>
      <c r="G1499" s="251">
        <v>1490</v>
      </c>
      <c r="H1499" s="251">
        <f t="shared" ca="1" si="50"/>
        <v>2.0571091174639511E-2</v>
      </c>
    </row>
    <row r="1500" spans="2:8">
      <c r="B1500" s="252">
        <v>45504</v>
      </c>
      <c r="C1500" s="267">
        <v>1156.6500000000001</v>
      </c>
      <c r="D1500" s="251">
        <f t="shared" si="49"/>
        <v>0.62839645220329465</v>
      </c>
      <c r="E1500" s="251">
        <v>-4.4756207772086061E-3</v>
      </c>
      <c r="G1500" s="251">
        <v>1491</v>
      </c>
      <c r="H1500" s="251">
        <f t="shared" ca="1" si="50"/>
        <v>-2.8530063199128288E-2</v>
      </c>
    </row>
    <row r="1501" spans="2:8">
      <c r="B1501" s="252">
        <v>45741</v>
      </c>
      <c r="C1501" s="251">
        <v>710.3</v>
      </c>
      <c r="D1501" s="251">
        <f t="shared" si="49"/>
        <v>1.2946212243579387</v>
      </c>
      <c r="E1501" s="251">
        <v>-4.4849334267695103E-3</v>
      </c>
      <c r="G1501" s="251">
        <v>1492</v>
      </c>
      <c r="H1501" s="251">
        <f t="shared" ca="1" si="50"/>
        <v>-1.8269313768044013E-2</v>
      </c>
    </row>
    <row r="1502" spans="2:8">
      <c r="B1502" s="252">
        <v>44391</v>
      </c>
      <c r="C1502" s="251">
        <v>309.55</v>
      </c>
      <c r="D1502" s="251">
        <f t="shared" si="49"/>
        <v>1.8000904568068747</v>
      </c>
      <c r="E1502" s="251">
        <v>-4.5023315645601461E-3</v>
      </c>
      <c r="G1502" s="251">
        <v>1493</v>
      </c>
      <c r="H1502" s="251">
        <f t="shared" ca="1" si="50"/>
        <v>-5.6848936068162274E-3</v>
      </c>
    </row>
    <row r="1503" spans="2:8">
      <c r="B1503" s="252">
        <v>43703</v>
      </c>
      <c r="C1503" s="251">
        <v>110.55</v>
      </c>
      <c r="D1503" s="251">
        <f t="shared" si="49"/>
        <v>-8.4850993377483447E-2</v>
      </c>
      <c r="E1503" s="251">
        <v>-4.5024763619991E-3</v>
      </c>
      <c r="G1503" s="251">
        <v>1494</v>
      </c>
      <c r="H1503" s="251">
        <f t="shared" ca="1" si="50"/>
        <v>-3.0062393238177922E-2</v>
      </c>
    </row>
    <row r="1504" spans="2:8">
      <c r="B1504" s="252">
        <v>43696</v>
      </c>
      <c r="C1504" s="251">
        <v>120.8</v>
      </c>
      <c r="D1504" s="251">
        <f t="shared" si="49"/>
        <v>-0.87842801791375236</v>
      </c>
      <c r="E1504" s="251">
        <v>-4.5323444581787985E-3</v>
      </c>
      <c r="G1504" s="251">
        <v>1495</v>
      </c>
      <c r="H1504" s="251">
        <f t="shared" ca="1" si="50"/>
        <v>-3.8121160170590883E-2</v>
      </c>
    </row>
    <row r="1505" spans="2:8">
      <c r="B1505" s="252">
        <v>45478</v>
      </c>
      <c r="C1505" s="251">
        <v>993.65</v>
      </c>
      <c r="D1505" s="251">
        <f t="shared" si="49"/>
        <v>4.4076190476190478</v>
      </c>
      <c r="E1505" s="251">
        <v>-4.5582047685835186E-3</v>
      </c>
      <c r="G1505" s="251">
        <v>1496</v>
      </c>
      <c r="H1505" s="251">
        <f t="shared" ca="1" si="50"/>
        <v>3.8147808807162273E-2</v>
      </c>
    </row>
    <row r="1506" spans="2:8">
      <c r="B1506" s="252">
        <v>43424</v>
      </c>
      <c r="C1506" s="251">
        <v>183.75</v>
      </c>
      <c r="D1506" s="251">
        <f t="shared" si="49"/>
        <v>-0.74194227933431645</v>
      </c>
      <c r="E1506" s="251">
        <v>-4.604550379198236E-3</v>
      </c>
      <c r="G1506" s="251">
        <v>1497</v>
      </c>
      <c r="H1506" s="251">
        <f t="shared" ca="1" si="50"/>
        <v>3.2915647438626551E-2</v>
      </c>
    </row>
    <row r="1507" spans="2:8">
      <c r="B1507" s="252">
        <v>45821</v>
      </c>
      <c r="C1507" s="251">
        <v>712.05</v>
      </c>
      <c r="D1507" s="251">
        <f t="shared" si="49"/>
        <v>-0.29177441814203303</v>
      </c>
      <c r="E1507" s="251">
        <v>-4.6131264416021086E-3</v>
      </c>
      <c r="G1507" s="251">
        <v>1498</v>
      </c>
      <c r="H1507" s="251">
        <f t="shared" ca="1" si="50"/>
        <v>2.9104069124558712E-3</v>
      </c>
    </row>
    <row r="1508" spans="2:8">
      <c r="B1508" s="252">
        <v>45391</v>
      </c>
      <c r="C1508" s="267">
        <v>1005.4</v>
      </c>
      <c r="D1508" s="251">
        <f t="shared" si="49"/>
        <v>4.5332966428178318</v>
      </c>
      <c r="E1508" s="251">
        <v>-4.6332963725646123E-3</v>
      </c>
      <c r="G1508" s="251">
        <v>1499</v>
      </c>
      <c r="H1508" s="251">
        <f t="shared" ca="1" si="50"/>
        <v>-1.3728986038968018E-2</v>
      </c>
    </row>
    <row r="1509" spans="2:8">
      <c r="B1509" s="252">
        <v>44182</v>
      </c>
      <c r="C1509" s="251">
        <v>181.7</v>
      </c>
      <c r="D1509" s="251">
        <f t="shared" si="49"/>
        <v>-0.73304929111878347</v>
      </c>
      <c r="E1509" s="251">
        <v>-4.6562585592989465E-3</v>
      </c>
      <c r="G1509" s="251">
        <v>1500</v>
      </c>
      <c r="H1509" s="251">
        <f t="shared" ca="1" si="50"/>
        <v>3.7416758239047554E-2</v>
      </c>
    </row>
    <row r="1510" spans="2:8">
      <c r="B1510" s="252">
        <v>45702</v>
      </c>
      <c r="C1510" s="251">
        <v>680.65</v>
      </c>
      <c r="D1510" s="251">
        <f t="shared" si="49"/>
        <v>0.30670583040565186</v>
      </c>
      <c r="E1510" s="251">
        <v>-4.6793887548439647E-3</v>
      </c>
      <c r="G1510" s="251">
        <v>1501</v>
      </c>
      <c r="H1510" s="251">
        <f t="shared" ca="1" si="50"/>
        <v>3.2575801213103148E-2</v>
      </c>
    </row>
    <row r="1511" spans="2:8">
      <c r="B1511" s="252">
        <v>45068</v>
      </c>
      <c r="C1511" s="251">
        <v>520.89</v>
      </c>
      <c r="D1511" s="251">
        <f t="shared" si="49"/>
        <v>6.015353535353535</v>
      </c>
      <c r="E1511" s="251">
        <v>-4.6814690258723682E-3</v>
      </c>
      <c r="G1511" s="251">
        <v>1502</v>
      </c>
      <c r="H1511" s="251">
        <f t="shared" ca="1" si="50"/>
        <v>4.7444042845105876E-3</v>
      </c>
    </row>
    <row r="1512" spans="2:8">
      <c r="B1512" s="252">
        <v>43934</v>
      </c>
      <c r="C1512" s="251">
        <v>74.25</v>
      </c>
      <c r="D1512" s="251">
        <f t="shared" si="49"/>
        <v>-0.82471671388101986</v>
      </c>
      <c r="E1512" s="251">
        <v>-4.6916890080428196E-3</v>
      </c>
      <c r="G1512" s="251">
        <v>1503</v>
      </c>
      <c r="H1512" s="251">
        <f t="shared" ca="1" si="50"/>
        <v>-2.123162612082217E-3</v>
      </c>
    </row>
    <row r="1513" spans="2:8">
      <c r="B1513" s="252">
        <v>43018</v>
      </c>
      <c r="C1513" s="251">
        <v>423.6</v>
      </c>
      <c r="D1513" s="251">
        <f t="shared" si="49"/>
        <v>3.0957943925233711E-2</v>
      </c>
      <c r="E1513" s="251">
        <v>-4.6992481203007516E-3</v>
      </c>
      <c r="G1513" s="251">
        <v>1504</v>
      </c>
      <c r="H1513" s="251">
        <f t="shared" ca="1" si="50"/>
        <v>2.8566477773512254E-2</v>
      </c>
    </row>
    <row r="1514" spans="2:8">
      <c r="B1514" s="252">
        <v>44841</v>
      </c>
      <c r="C1514" s="251">
        <v>410.88</v>
      </c>
      <c r="D1514" s="251">
        <f t="shared" si="49"/>
        <v>-0.1327071240105541</v>
      </c>
      <c r="E1514" s="251">
        <v>-4.7234939321269985E-3</v>
      </c>
      <c r="G1514" s="251">
        <v>1505</v>
      </c>
      <c r="H1514" s="251">
        <f t="shared" ca="1" si="50"/>
        <v>-5.5373546843563931E-3</v>
      </c>
    </row>
    <row r="1515" spans="2:8">
      <c r="B1515" s="252">
        <v>42815</v>
      </c>
      <c r="C1515" s="251">
        <v>473.75</v>
      </c>
      <c r="D1515" s="251">
        <f t="shared" si="49"/>
        <v>-5.4957111510073826E-2</v>
      </c>
      <c r="E1515" s="251">
        <v>-4.7268907563025207E-3</v>
      </c>
      <c r="G1515" s="251">
        <v>1506</v>
      </c>
      <c r="H1515" s="251">
        <f t="shared" ca="1" si="50"/>
        <v>4.591014870267647E-2</v>
      </c>
    </row>
    <row r="1516" spans="2:8">
      <c r="B1516" s="252">
        <v>44572</v>
      </c>
      <c r="C1516" s="251">
        <v>501.3</v>
      </c>
      <c r="D1516" s="251">
        <f t="shared" si="49"/>
        <v>-0.17694189502027685</v>
      </c>
      <c r="E1516" s="251">
        <v>-4.7647409172125819E-3</v>
      </c>
      <c r="G1516" s="251">
        <v>1507</v>
      </c>
      <c r="H1516" s="251">
        <f t="shared" ca="1" si="50"/>
        <v>3.5559444277230338E-2</v>
      </c>
    </row>
    <row r="1517" spans="2:8">
      <c r="B1517" s="252">
        <v>45162</v>
      </c>
      <c r="C1517" s="251">
        <v>609.07000000000005</v>
      </c>
      <c r="D1517" s="251">
        <f t="shared" si="49"/>
        <v>0.47136127551636686</v>
      </c>
      <c r="E1517" s="251">
        <v>-4.8038430744594711E-3</v>
      </c>
      <c r="G1517" s="251">
        <v>1508</v>
      </c>
      <c r="H1517" s="251">
        <f t="shared" ca="1" si="50"/>
        <v>3.1432532869979275E-2</v>
      </c>
    </row>
    <row r="1518" spans="2:8">
      <c r="B1518" s="252">
        <v>43068</v>
      </c>
      <c r="C1518" s="251">
        <v>413.95</v>
      </c>
      <c r="D1518" s="251">
        <f t="shared" si="49"/>
        <v>0.53999255952380942</v>
      </c>
      <c r="E1518" s="251">
        <v>-4.8082702247866328E-3</v>
      </c>
      <c r="G1518" s="251">
        <v>1509</v>
      </c>
      <c r="H1518" s="251">
        <f t="shared" ca="1" si="50"/>
        <v>-2.3835828939395808E-2</v>
      </c>
    </row>
    <row r="1519" spans="2:8">
      <c r="B1519" s="252">
        <v>43333</v>
      </c>
      <c r="C1519" s="251">
        <v>268.8</v>
      </c>
      <c r="D1519" s="251">
        <f t="shared" si="49"/>
        <v>-0.71856350120406232</v>
      </c>
      <c r="E1519" s="251">
        <v>-4.8130322102925257E-3</v>
      </c>
      <c r="G1519" s="251">
        <v>1510</v>
      </c>
      <c r="H1519" s="251">
        <f t="shared" ca="1" si="50"/>
        <v>-2.9511123959696656E-2</v>
      </c>
    </row>
    <row r="1520" spans="2:8">
      <c r="B1520" s="252">
        <v>45350</v>
      </c>
      <c r="C1520" s="251">
        <v>955.1</v>
      </c>
      <c r="D1520" s="251">
        <f t="shared" si="49"/>
        <v>3.6556178406044357</v>
      </c>
      <c r="E1520" s="251">
        <v>-4.834642715735497E-3</v>
      </c>
      <c r="G1520" s="251">
        <v>1511</v>
      </c>
      <c r="H1520" s="251">
        <f t="shared" ca="1" si="50"/>
        <v>-2.8019240366880405E-2</v>
      </c>
    </row>
    <row r="1521" spans="2:8">
      <c r="B1521" s="252">
        <v>43560</v>
      </c>
      <c r="C1521" s="251">
        <v>205.15</v>
      </c>
      <c r="D1521" s="251">
        <f t="shared" si="49"/>
        <v>0.17970097757331799</v>
      </c>
      <c r="E1521" s="251">
        <v>-4.8508367693427118E-3</v>
      </c>
      <c r="G1521" s="251">
        <v>1512</v>
      </c>
      <c r="H1521" s="251">
        <f t="shared" ca="1" si="50"/>
        <v>1.4043675689485632E-2</v>
      </c>
    </row>
    <row r="1522" spans="2:8">
      <c r="B1522" s="252">
        <v>43453</v>
      </c>
      <c r="C1522" s="251">
        <v>173.9</v>
      </c>
      <c r="D1522" s="251">
        <f t="shared" si="49"/>
        <v>-0.78529538860423487</v>
      </c>
      <c r="E1522" s="251">
        <v>-4.864091559370497E-3</v>
      </c>
      <c r="G1522" s="251">
        <v>1513</v>
      </c>
      <c r="H1522" s="251">
        <f t="shared" ca="1" si="50"/>
        <v>1.598842772693454E-3</v>
      </c>
    </row>
    <row r="1523" spans="2:8">
      <c r="B1523" s="252">
        <v>45306</v>
      </c>
      <c r="C1523" s="251">
        <v>809.95</v>
      </c>
      <c r="D1523" s="251">
        <f t="shared" si="49"/>
        <v>1.4192054958183991</v>
      </c>
      <c r="E1523" s="251">
        <v>-4.9020812344890393E-3</v>
      </c>
      <c r="G1523" s="251">
        <v>1514</v>
      </c>
      <c r="H1523" s="251">
        <f t="shared" ca="1" si="50"/>
        <v>-1.3677265226668157E-2</v>
      </c>
    </row>
    <row r="1524" spans="2:8">
      <c r="B1524" s="252">
        <v>43208</v>
      </c>
      <c r="C1524" s="251">
        <v>334.8</v>
      </c>
      <c r="D1524" s="251">
        <f t="shared" si="49"/>
        <v>1.2334889926617745</v>
      </c>
      <c r="E1524" s="251">
        <v>-4.9041462327239632E-3</v>
      </c>
      <c r="G1524" s="251">
        <v>1515</v>
      </c>
      <c r="H1524" s="251">
        <f t="shared" ca="1" si="50"/>
        <v>1.4104197328996169E-2</v>
      </c>
    </row>
    <row r="1525" spans="2:8">
      <c r="B1525" s="252">
        <v>43886</v>
      </c>
      <c r="C1525" s="251">
        <v>149.9</v>
      </c>
      <c r="D1525" s="251">
        <f t="shared" si="49"/>
        <v>-6.1365059486537157E-2</v>
      </c>
      <c r="E1525" s="251">
        <v>-4.9784268171257882E-3</v>
      </c>
      <c r="G1525" s="251">
        <v>1516</v>
      </c>
      <c r="H1525" s="251">
        <f t="shared" ca="1" si="50"/>
        <v>3.4292197716651936E-2</v>
      </c>
    </row>
    <row r="1526" spans="2:8">
      <c r="B1526" s="252">
        <v>43809</v>
      </c>
      <c r="C1526" s="251">
        <v>159.69999999999999</v>
      </c>
      <c r="D1526" s="251">
        <f t="shared" si="49"/>
        <v>-0.69122196442382067</v>
      </c>
      <c r="E1526" s="251">
        <v>-4.9844236760125315E-3</v>
      </c>
      <c r="G1526" s="251">
        <v>1517</v>
      </c>
      <c r="H1526" s="251">
        <f t="shared" ca="1" si="50"/>
        <v>-5.4510163825255403E-3</v>
      </c>
    </row>
    <row r="1527" spans="2:8">
      <c r="B1527" s="252">
        <v>45076</v>
      </c>
      <c r="C1527" s="251">
        <v>517.20000000000005</v>
      </c>
      <c r="D1527" s="251">
        <f t="shared" si="49"/>
        <v>1.8002165674066057</v>
      </c>
      <c r="E1527" s="251">
        <v>-5.0976243147061217E-3</v>
      </c>
      <c r="G1527" s="251">
        <v>1518</v>
      </c>
      <c r="H1527" s="251">
        <f t="shared" ca="1" si="50"/>
        <v>9.5039733916256735E-3</v>
      </c>
    </row>
    <row r="1528" spans="2:8">
      <c r="B1528" s="252">
        <v>43837</v>
      </c>
      <c r="C1528" s="251">
        <v>184.7</v>
      </c>
      <c r="D1528" s="251">
        <f t="shared" si="49"/>
        <v>5.7846506300114515E-2</v>
      </c>
      <c r="E1528" s="251">
        <v>-5.1171559385942205E-3</v>
      </c>
      <c r="G1528" s="251">
        <v>1519</v>
      </c>
      <c r="H1528" s="251">
        <f t="shared" ca="1" si="50"/>
        <v>2.5912631376763834E-2</v>
      </c>
    </row>
    <row r="1529" spans="2:8">
      <c r="B1529" s="252">
        <v>43825</v>
      </c>
      <c r="C1529" s="251">
        <v>174.6</v>
      </c>
      <c r="D1529" s="251">
        <f t="shared" si="49"/>
        <v>-0.66660301699446245</v>
      </c>
      <c r="E1529" s="251">
        <v>-5.1282051282051603E-3</v>
      </c>
      <c r="G1529" s="251">
        <v>1520</v>
      </c>
      <c r="H1529" s="251">
        <f t="shared" ca="1" si="50"/>
        <v>2.1596504157024684E-2</v>
      </c>
    </row>
    <row r="1530" spans="2:8">
      <c r="B1530" s="252">
        <v>42752</v>
      </c>
      <c r="C1530" s="251">
        <v>523.70000000000005</v>
      </c>
      <c r="D1530" s="251">
        <f t="shared" si="49"/>
        <v>0.35463010863942063</v>
      </c>
      <c r="E1530" s="251">
        <v>-5.1291793313068615E-3</v>
      </c>
      <c r="G1530" s="251">
        <v>1521</v>
      </c>
      <c r="H1530" s="251">
        <f t="shared" ca="1" si="50"/>
        <v>1.1318628902527786E-2</v>
      </c>
    </row>
    <row r="1531" spans="2:8">
      <c r="B1531" s="252">
        <v>42460</v>
      </c>
      <c r="C1531" s="251">
        <v>386.6</v>
      </c>
      <c r="D1531" s="251">
        <f t="shared" si="49"/>
        <v>2.6689682645067086E-2</v>
      </c>
      <c r="E1531" s="251">
        <v>-5.1466803911477095E-3</v>
      </c>
      <c r="G1531" s="251">
        <v>1522</v>
      </c>
      <c r="H1531" s="251">
        <f t="shared" ca="1" si="50"/>
        <v>-1.2400795214239155E-2</v>
      </c>
    </row>
    <row r="1532" spans="2:8">
      <c r="B1532" s="252">
        <v>42978</v>
      </c>
      <c r="C1532" s="251">
        <v>376.55</v>
      </c>
      <c r="D1532" s="251">
        <f t="shared" si="49"/>
        <v>-0.58351306810012049</v>
      </c>
      <c r="E1532" s="251">
        <v>-5.1519154557463373E-3</v>
      </c>
      <c r="G1532" s="251">
        <v>1523</v>
      </c>
      <c r="H1532" s="251">
        <f t="shared" ca="1" si="50"/>
        <v>-1.8133270289600059E-2</v>
      </c>
    </row>
    <row r="1533" spans="2:8">
      <c r="B1533" s="252">
        <v>45335</v>
      </c>
      <c r="C1533" s="251">
        <v>904.11</v>
      </c>
      <c r="D1533" s="251">
        <f t="shared" si="49"/>
        <v>3.9854425144747725</v>
      </c>
      <c r="E1533" s="251">
        <v>-5.1606514084506392E-3</v>
      </c>
      <c r="G1533" s="251">
        <v>1524</v>
      </c>
      <c r="H1533" s="251">
        <f t="shared" ca="1" si="50"/>
        <v>3.48298190727084E-2</v>
      </c>
    </row>
    <row r="1534" spans="2:8">
      <c r="B1534" s="252">
        <v>43612</v>
      </c>
      <c r="C1534" s="251">
        <v>181.35</v>
      </c>
      <c r="D1534" s="251">
        <f t="shared" si="49"/>
        <v>-0.67473769168684417</v>
      </c>
      <c r="E1534" s="251">
        <v>-5.2111903455842948E-3</v>
      </c>
      <c r="G1534" s="251">
        <v>1525</v>
      </c>
      <c r="H1534" s="251">
        <f t="shared" ca="1" si="50"/>
        <v>2.2664262971090962E-2</v>
      </c>
    </row>
    <row r="1535" spans="2:8">
      <c r="B1535" s="252">
        <v>42628</v>
      </c>
      <c r="C1535" s="251">
        <v>557.54999999999995</v>
      </c>
      <c r="D1535" s="251">
        <f t="shared" si="49"/>
        <v>0.1852678571428571</v>
      </c>
      <c r="E1535" s="251">
        <v>-5.2631578947369235E-3</v>
      </c>
      <c r="G1535" s="251">
        <v>1526</v>
      </c>
      <c r="H1535" s="251">
        <f t="shared" ca="1" si="50"/>
        <v>-8.5748455379058841E-3</v>
      </c>
    </row>
    <row r="1536" spans="2:8">
      <c r="B1536" s="252">
        <v>42818</v>
      </c>
      <c r="C1536" s="251">
        <v>470.4</v>
      </c>
      <c r="D1536" s="251">
        <f t="shared" si="49"/>
        <v>9.331783846600808E-2</v>
      </c>
      <c r="E1536" s="251">
        <v>-5.2865299217593571E-3</v>
      </c>
      <c r="G1536" s="251">
        <v>1527</v>
      </c>
      <c r="H1536" s="251">
        <f t="shared" ca="1" si="50"/>
        <v>1.5148378671558806E-2</v>
      </c>
    </row>
    <row r="1537" spans="2:8">
      <c r="B1537" s="252">
        <v>42919</v>
      </c>
      <c r="C1537" s="251">
        <v>430.25</v>
      </c>
      <c r="D1537" s="251">
        <f t="shared" si="49"/>
        <v>0.13792647447765136</v>
      </c>
      <c r="E1537" s="251">
        <v>-5.3173043578777284E-3</v>
      </c>
      <c r="G1537" s="251">
        <v>1528</v>
      </c>
      <c r="H1537" s="251">
        <f t="shared" ca="1" si="50"/>
        <v>-1.6631717279095619E-2</v>
      </c>
    </row>
    <row r="1538" spans="2:8">
      <c r="B1538" s="252">
        <v>42360</v>
      </c>
      <c r="C1538" s="251">
        <v>378.1</v>
      </c>
      <c r="D1538" s="251">
        <f t="shared" si="49"/>
        <v>0.64034707158351423</v>
      </c>
      <c r="E1538" s="251">
        <v>-5.3926081809810723E-3</v>
      </c>
      <c r="G1538" s="251">
        <v>1529</v>
      </c>
      <c r="H1538" s="251">
        <f t="shared" ca="1" si="50"/>
        <v>-2.0761146015576104E-2</v>
      </c>
    </row>
    <row r="1539" spans="2:8">
      <c r="B1539" s="252">
        <v>43571</v>
      </c>
      <c r="C1539" s="251">
        <v>230.5</v>
      </c>
      <c r="D1539" s="251">
        <f t="shared" si="49"/>
        <v>-0.37491525423728811</v>
      </c>
      <c r="E1539" s="251">
        <v>-5.3937432578209281E-3</v>
      </c>
      <c r="G1539" s="251">
        <v>1530</v>
      </c>
      <c r="H1539" s="251">
        <f t="shared" ca="1" si="50"/>
        <v>2.6602194091829828E-2</v>
      </c>
    </row>
    <row r="1540" spans="2:8">
      <c r="B1540" s="252">
        <v>43150</v>
      </c>
      <c r="C1540" s="251">
        <v>368.75</v>
      </c>
      <c r="D1540" s="251">
        <f t="shared" si="49"/>
        <v>-0.37120592046927225</v>
      </c>
      <c r="E1540" s="251">
        <v>-5.394470667565745E-3</v>
      </c>
      <c r="G1540" s="251">
        <v>1531</v>
      </c>
      <c r="H1540" s="251">
        <f t="shared" ca="1" si="50"/>
        <v>-1.4685612229029504E-3</v>
      </c>
    </row>
    <row r="1541" spans="2:8">
      <c r="B1541" s="252">
        <v>45112</v>
      </c>
      <c r="C1541" s="251">
        <v>586.44000000000005</v>
      </c>
      <c r="D1541" s="251">
        <f t="shared" si="49"/>
        <v>0.2588601481163465</v>
      </c>
      <c r="E1541" s="251">
        <v>-5.4101724810473361E-3</v>
      </c>
      <c r="G1541" s="251">
        <v>1532</v>
      </c>
      <c r="H1541" s="251">
        <f t="shared" ca="1" si="50"/>
        <v>1.9942227675146199E-2</v>
      </c>
    </row>
    <row r="1542" spans="2:8">
      <c r="B1542" s="252">
        <v>42825</v>
      </c>
      <c r="C1542" s="251">
        <v>465.85</v>
      </c>
      <c r="D1542" s="251">
        <f t="shared" si="49"/>
        <v>-0.20258473125641907</v>
      </c>
      <c r="E1542" s="251">
        <v>-5.4440649017932418E-3</v>
      </c>
      <c r="G1542" s="251">
        <v>1533</v>
      </c>
      <c r="H1542" s="251">
        <f t="shared" ca="1" si="50"/>
        <v>-4.6338632336559611E-2</v>
      </c>
    </row>
    <row r="1543" spans="2:8">
      <c r="B1543" s="252">
        <v>42621</v>
      </c>
      <c r="C1543" s="251">
        <v>584.20000000000005</v>
      </c>
      <c r="D1543" s="251">
        <f t="shared" si="49"/>
        <v>1.2864970645792566</v>
      </c>
      <c r="E1543" s="251">
        <v>-5.4477357848143207E-3</v>
      </c>
      <c r="G1543" s="251">
        <v>1534</v>
      </c>
      <c r="H1543" s="251">
        <f t="shared" ca="1" si="50"/>
        <v>-7.4226528488162538E-2</v>
      </c>
    </row>
    <row r="1544" spans="2:8">
      <c r="B1544" s="252">
        <v>43336</v>
      </c>
      <c r="C1544" s="251">
        <v>255.5</v>
      </c>
      <c r="D1544" s="251">
        <f t="shared" si="49"/>
        <v>-0.34796478244226109</v>
      </c>
      <c r="E1544" s="251">
        <v>-5.4495912806538632E-3</v>
      </c>
      <c r="G1544" s="251">
        <v>1535</v>
      </c>
      <c r="H1544" s="251">
        <f t="shared" ca="1" si="50"/>
        <v>3.2521385478968138E-3</v>
      </c>
    </row>
    <row r="1545" spans="2:8">
      <c r="B1545" s="252">
        <v>42367</v>
      </c>
      <c r="C1545" s="251">
        <v>391.85</v>
      </c>
      <c r="D1545" s="251">
        <f t="shared" si="49"/>
        <v>1.4055711730130624E-3</v>
      </c>
      <c r="E1545" s="251">
        <v>-5.456852791878115E-3</v>
      </c>
      <c r="G1545" s="251">
        <v>1536</v>
      </c>
      <c r="H1545" s="251">
        <f t="shared" ca="1" si="50"/>
        <v>1.1617530796529737E-2</v>
      </c>
    </row>
    <row r="1546" spans="2:8">
      <c r="B1546" s="252">
        <v>42369</v>
      </c>
      <c r="C1546" s="251">
        <v>391.3</v>
      </c>
      <c r="D1546" s="251">
        <f t="shared" ref="D1546:D1609" si="51">(C1546-C1547)/C1547</f>
        <v>-8.1994134897360682E-2</v>
      </c>
      <c r="E1546" s="251">
        <v>-5.4644808743168826E-3</v>
      </c>
      <c r="G1546" s="251">
        <v>1537</v>
      </c>
      <c r="H1546" s="251">
        <f t="shared" ca="1" si="50"/>
        <v>-1.3350837526885064E-2</v>
      </c>
    </row>
    <row r="1547" spans="2:8">
      <c r="B1547" s="252">
        <v>43062</v>
      </c>
      <c r="C1547" s="251">
        <v>426.25</v>
      </c>
      <c r="D1547" s="251">
        <f t="shared" si="51"/>
        <v>1.4738827626233313</v>
      </c>
      <c r="E1547" s="251">
        <v>-5.4829678021465766E-3</v>
      </c>
      <c r="G1547" s="251">
        <v>1538</v>
      </c>
      <c r="H1547" s="251">
        <f t="shared" ref="H1547:H1610" ca="1" si="52">_xlfn.NORM.INV(RAND(),N$12,N$13)</f>
        <v>-1.6975144836297274E-3</v>
      </c>
    </row>
    <row r="1548" spans="2:8">
      <c r="B1548" s="252">
        <v>43493</v>
      </c>
      <c r="C1548" s="251">
        <v>172.3</v>
      </c>
      <c r="D1548" s="251">
        <f t="shared" si="51"/>
        <v>0.13504611330698285</v>
      </c>
      <c r="E1548" s="251">
        <v>-5.4834054834054175E-3</v>
      </c>
      <c r="G1548" s="251">
        <v>1539</v>
      </c>
      <c r="H1548" s="251">
        <f t="shared" ca="1" si="52"/>
        <v>3.4651261889367832E-2</v>
      </c>
    </row>
    <row r="1549" spans="2:8">
      <c r="B1549" s="252">
        <v>43508</v>
      </c>
      <c r="C1549" s="251">
        <v>151.80000000000001</v>
      </c>
      <c r="D1549" s="251">
        <f t="shared" si="51"/>
        <v>-0.48481248939419641</v>
      </c>
      <c r="E1549" s="251">
        <v>-5.5682934818211223E-3</v>
      </c>
      <c r="G1549" s="251">
        <v>1540</v>
      </c>
      <c r="H1549" s="251">
        <f t="shared" ca="1" si="52"/>
        <v>3.7618294555472939E-3</v>
      </c>
    </row>
    <row r="1550" spans="2:8">
      <c r="B1550" s="252">
        <v>43249</v>
      </c>
      <c r="C1550" s="251">
        <v>294.64999999999998</v>
      </c>
      <c r="D1550" s="251">
        <f t="shared" si="51"/>
        <v>-0.37607199576495504</v>
      </c>
      <c r="E1550" s="251">
        <v>-5.5686803914952211E-3</v>
      </c>
      <c r="G1550" s="251">
        <v>1541</v>
      </c>
      <c r="H1550" s="251">
        <f t="shared" ca="1" si="52"/>
        <v>-3.7835527705390559E-2</v>
      </c>
    </row>
    <row r="1551" spans="2:8">
      <c r="B1551" s="252">
        <v>42836</v>
      </c>
      <c r="C1551" s="251">
        <v>472.25</v>
      </c>
      <c r="D1551" s="251">
        <f t="shared" si="51"/>
        <v>0.89887414555689593</v>
      </c>
      <c r="E1551" s="251">
        <v>-5.5801221309748949E-3</v>
      </c>
      <c r="G1551" s="251">
        <v>1542</v>
      </c>
      <c r="H1551" s="251">
        <f t="shared" ca="1" si="52"/>
        <v>-2.7903822776188782E-2</v>
      </c>
    </row>
    <row r="1552" spans="2:8">
      <c r="B1552" s="252">
        <v>43325</v>
      </c>
      <c r="C1552" s="251">
        <v>248.7</v>
      </c>
      <c r="D1552" s="251">
        <f t="shared" si="51"/>
        <v>-0.74221835256071389</v>
      </c>
      <c r="E1552" s="251">
        <v>-5.5977608956417658E-3</v>
      </c>
      <c r="G1552" s="251">
        <v>1543</v>
      </c>
      <c r="H1552" s="251">
        <f t="shared" ca="1" si="52"/>
        <v>6.5255138877631661E-4</v>
      </c>
    </row>
    <row r="1553" spans="2:8">
      <c r="B1553" s="252">
        <v>45365</v>
      </c>
      <c r="C1553" s="251">
        <v>964.77</v>
      </c>
      <c r="D1553" s="251">
        <f t="shared" si="51"/>
        <v>1.1097552975136127</v>
      </c>
      <c r="E1553" s="251">
        <v>-5.6070335288237131E-3</v>
      </c>
      <c r="G1553" s="251">
        <v>1544</v>
      </c>
      <c r="H1553" s="251">
        <f t="shared" ca="1" si="52"/>
        <v>-2.0739740476380421E-3</v>
      </c>
    </row>
    <row r="1554" spans="2:8">
      <c r="B1554" s="252">
        <v>45027</v>
      </c>
      <c r="C1554" s="251">
        <v>457.29</v>
      </c>
      <c r="D1554" s="251">
        <f t="shared" si="51"/>
        <v>0.34655477031802118</v>
      </c>
      <c r="E1554" s="251">
        <v>-5.631903974949933E-3</v>
      </c>
      <c r="G1554" s="251">
        <v>1545</v>
      </c>
      <c r="H1554" s="251">
        <f t="shared" ca="1" si="52"/>
        <v>-2.5799648202294398E-2</v>
      </c>
    </row>
    <row r="1555" spans="2:8">
      <c r="B1555" s="252">
        <v>44377</v>
      </c>
      <c r="C1555" s="251">
        <v>339.6</v>
      </c>
      <c r="D1555" s="251">
        <f t="shared" si="51"/>
        <v>-0.1331206126356094</v>
      </c>
      <c r="E1555" s="251">
        <v>-5.7092665788317631E-3</v>
      </c>
      <c r="G1555" s="251">
        <v>1546</v>
      </c>
      <c r="H1555" s="251">
        <f t="shared" ca="1" si="52"/>
        <v>-6.2055214981054999E-2</v>
      </c>
    </row>
    <row r="1556" spans="2:8">
      <c r="B1556" s="252">
        <v>44628</v>
      </c>
      <c r="C1556" s="251">
        <v>391.75</v>
      </c>
      <c r="D1556" s="251">
        <f t="shared" si="51"/>
        <v>-0.57335932565180459</v>
      </c>
      <c r="E1556" s="251">
        <v>-5.7106598984771571E-3</v>
      </c>
      <c r="G1556" s="251">
        <v>1547</v>
      </c>
      <c r="H1556" s="251">
        <f t="shared" ca="1" si="52"/>
        <v>-1.1532969278154248E-2</v>
      </c>
    </row>
    <row r="1557" spans="2:8">
      <c r="B1557" s="252">
        <v>45343</v>
      </c>
      <c r="C1557" s="251">
        <v>918.22</v>
      </c>
      <c r="D1557" s="251">
        <f t="shared" si="51"/>
        <v>1.085725967654007</v>
      </c>
      <c r="E1557" s="251">
        <v>-5.7173795343800462E-3</v>
      </c>
      <c r="G1557" s="251">
        <v>1548</v>
      </c>
      <c r="H1557" s="251">
        <f t="shared" ca="1" si="52"/>
        <v>7.9699627609002514E-3</v>
      </c>
    </row>
    <row r="1558" spans="2:8">
      <c r="B1558" s="252">
        <v>44973</v>
      </c>
      <c r="C1558" s="251">
        <v>440.24</v>
      </c>
      <c r="D1558" s="251">
        <f t="shared" si="51"/>
        <v>-0.43519148117262174</v>
      </c>
      <c r="E1558" s="251">
        <v>-5.7364831293192191E-3</v>
      </c>
      <c r="G1558" s="251">
        <v>1549</v>
      </c>
      <c r="H1558" s="251">
        <f t="shared" ca="1" si="52"/>
        <v>-5.2332384491076647E-2</v>
      </c>
    </row>
    <row r="1559" spans="2:8">
      <c r="B1559" s="252">
        <v>45624</v>
      </c>
      <c r="C1559" s="251">
        <v>779.45</v>
      </c>
      <c r="D1559" s="251">
        <f t="shared" si="51"/>
        <v>-0.20109670476092856</v>
      </c>
      <c r="E1559" s="251">
        <v>-5.7401620001275586E-3</v>
      </c>
      <c r="G1559" s="251">
        <v>1550</v>
      </c>
      <c r="H1559" s="251">
        <f t="shared" ca="1" si="52"/>
        <v>9.7995802731349318E-3</v>
      </c>
    </row>
    <row r="1560" spans="2:8">
      <c r="B1560" s="252">
        <v>45476</v>
      </c>
      <c r="C1560" s="251">
        <v>975.65</v>
      </c>
      <c r="D1560" s="251">
        <f t="shared" si="51"/>
        <v>0.98686488137664174</v>
      </c>
      <c r="E1560" s="251">
        <v>-5.7576683990624451E-3</v>
      </c>
      <c r="G1560" s="251">
        <v>1551</v>
      </c>
      <c r="H1560" s="251">
        <f t="shared" ca="1" si="52"/>
        <v>2.5395789669569659E-2</v>
      </c>
    </row>
    <row r="1561" spans="2:8">
      <c r="B1561" s="252">
        <v>42572</v>
      </c>
      <c r="C1561" s="251">
        <v>491.05</v>
      </c>
      <c r="D1561" s="251">
        <f t="shared" si="51"/>
        <v>0.46998952252656784</v>
      </c>
      <c r="E1561" s="251">
        <v>-5.7703988661671713E-3</v>
      </c>
      <c r="G1561" s="251">
        <v>1552</v>
      </c>
      <c r="H1561" s="251">
        <f t="shared" ca="1" si="52"/>
        <v>1.2584409152486487E-2</v>
      </c>
    </row>
    <row r="1562" spans="2:8">
      <c r="B1562" s="252">
        <v>43213</v>
      </c>
      <c r="C1562" s="251">
        <v>334.05</v>
      </c>
      <c r="D1562" s="251">
        <f t="shared" si="51"/>
        <v>-0.64776405833166373</v>
      </c>
      <c r="E1562" s="251">
        <v>-5.8035714285713949E-3</v>
      </c>
      <c r="G1562" s="251">
        <v>1553</v>
      </c>
      <c r="H1562" s="251">
        <f t="shared" ca="1" si="52"/>
        <v>1.2910652986849375E-2</v>
      </c>
    </row>
    <row r="1563" spans="2:8">
      <c r="B1563" s="252">
        <v>45433</v>
      </c>
      <c r="C1563" s="251">
        <v>948.37</v>
      </c>
      <c r="D1563" s="251">
        <f t="shared" si="51"/>
        <v>3.0381945922929527</v>
      </c>
      <c r="E1563" s="251">
        <v>-5.849363174170597E-3</v>
      </c>
      <c r="G1563" s="251">
        <v>1554</v>
      </c>
      <c r="H1563" s="251">
        <f t="shared" ca="1" si="52"/>
        <v>-3.5474413581448455E-2</v>
      </c>
    </row>
    <row r="1564" spans="2:8">
      <c r="B1564" s="252">
        <v>43577</v>
      </c>
      <c r="C1564" s="251">
        <v>234.85</v>
      </c>
      <c r="D1564" s="251">
        <f t="shared" si="51"/>
        <v>-0.61939875212705608</v>
      </c>
      <c r="E1564" s="251">
        <v>-5.9259259259259499E-3</v>
      </c>
      <c r="G1564" s="251">
        <v>1555</v>
      </c>
      <c r="H1564" s="251">
        <f t="shared" ca="1" si="52"/>
        <v>-5.3503313016841657E-2</v>
      </c>
    </row>
    <row r="1565" spans="2:8">
      <c r="B1565" s="252">
        <v>45141</v>
      </c>
      <c r="C1565" s="251">
        <v>617.04999999999995</v>
      </c>
      <c r="D1565" s="251">
        <f t="shared" si="51"/>
        <v>1.1654676258992804</v>
      </c>
      <c r="E1565" s="251">
        <v>-5.9285035361591413E-3</v>
      </c>
      <c r="G1565" s="251">
        <v>1556</v>
      </c>
      <c r="H1565" s="251">
        <f t="shared" ca="1" si="52"/>
        <v>1.6802061461996524E-2</v>
      </c>
    </row>
    <row r="1566" spans="2:8">
      <c r="B1566" s="252">
        <v>43256</v>
      </c>
      <c r="C1566" s="251">
        <v>284.95</v>
      </c>
      <c r="D1566" s="251">
        <f t="shared" si="51"/>
        <v>-0.37728097204921435</v>
      </c>
      <c r="E1566" s="251">
        <v>-5.9305773591487483E-3</v>
      </c>
      <c r="G1566" s="251">
        <v>1557</v>
      </c>
      <c r="H1566" s="251">
        <f t="shared" ca="1" si="52"/>
        <v>3.2355682994466466E-3</v>
      </c>
    </row>
    <row r="1567" spans="2:8">
      <c r="B1567" s="252">
        <v>44809</v>
      </c>
      <c r="C1567" s="251">
        <v>457.59</v>
      </c>
      <c r="D1567" s="251">
        <f t="shared" si="51"/>
        <v>5.6301939058171713E-2</v>
      </c>
      <c r="E1567" s="251">
        <v>-5.9522516455586408E-3</v>
      </c>
      <c r="G1567" s="251">
        <v>1558</v>
      </c>
      <c r="H1567" s="251">
        <f t="shared" ca="1" si="52"/>
        <v>1.0873520944371487E-2</v>
      </c>
    </row>
    <row r="1568" spans="2:8">
      <c r="B1568" s="252">
        <v>44644</v>
      </c>
      <c r="C1568" s="251">
        <v>433.2</v>
      </c>
      <c r="D1568" s="251">
        <f t="shared" si="51"/>
        <v>0.48661633493479761</v>
      </c>
      <c r="E1568" s="251">
        <v>-5.9660394676457609E-3</v>
      </c>
      <c r="G1568" s="251">
        <v>1559</v>
      </c>
      <c r="H1568" s="251">
        <f t="shared" ca="1" si="52"/>
        <v>1.575755295319645E-2</v>
      </c>
    </row>
    <row r="1569" spans="2:8">
      <c r="B1569" s="252">
        <v>44404</v>
      </c>
      <c r="C1569" s="251">
        <v>291.39999999999998</v>
      </c>
      <c r="D1569" s="251">
        <f t="shared" si="51"/>
        <v>-0.39205541183343073</v>
      </c>
      <c r="E1569" s="251">
        <v>-5.9696401159815803E-3</v>
      </c>
      <c r="G1569" s="251">
        <v>1560</v>
      </c>
      <c r="H1569" s="251">
        <f t="shared" ca="1" si="52"/>
        <v>4.34138463118562E-2</v>
      </c>
    </row>
    <row r="1570" spans="2:8">
      <c r="B1570" s="252">
        <v>45050</v>
      </c>
      <c r="C1570" s="251">
        <v>479.32</v>
      </c>
      <c r="D1570" s="251">
        <f t="shared" si="51"/>
        <v>-0.51571608992169737</v>
      </c>
      <c r="E1570" s="251">
        <v>-5.9932394599862852E-3</v>
      </c>
      <c r="G1570" s="251">
        <v>1561</v>
      </c>
      <c r="H1570" s="251">
        <f t="shared" ca="1" si="52"/>
        <v>-5.1479612048567908E-3</v>
      </c>
    </row>
    <row r="1571" spans="2:8">
      <c r="B1571" s="252">
        <v>45398</v>
      </c>
      <c r="C1571" s="251">
        <v>989.75</v>
      </c>
      <c r="D1571" s="251">
        <f t="shared" si="51"/>
        <v>0.25519961446761025</v>
      </c>
      <c r="E1571" s="251">
        <v>-6.0056441003083346E-3</v>
      </c>
      <c r="G1571" s="251">
        <v>1562</v>
      </c>
      <c r="H1571" s="251">
        <f t="shared" ca="1" si="52"/>
        <v>-1.3437318728037183E-2</v>
      </c>
    </row>
    <row r="1572" spans="2:8">
      <c r="B1572" s="252">
        <v>45296</v>
      </c>
      <c r="C1572" s="251">
        <v>788.52</v>
      </c>
      <c r="D1572" s="251">
        <f t="shared" si="51"/>
        <v>2.6795146990200651</v>
      </c>
      <c r="E1572" s="251">
        <v>-6.0254632547585693E-3</v>
      </c>
      <c r="G1572" s="251">
        <v>1563</v>
      </c>
      <c r="H1572" s="251">
        <f t="shared" ca="1" si="52"/>
        <v>3.1829902983967172E-2</v>
      </c>
    </row>
    <row r="1573" spans="2:8">
      <c r="B1573" s="252">
        <v>43585</v>
      </c>
      <c r="C1573" s="251">
        <v>214.3</v>
      </c>
      <c r="D1573" s="251">
        <f t="shared" si="51"/>
        <v>-0.57996863974911794</v>
      </c>
      <c r="E1573" s="251">
        <v>-6.0296846011130938E-3</v>
      </c>
      <c r="G1573" s="251">
        <v>1564</v>
      </c>
      <c r="H1573" s="251">
        <f t="shared" ca="1" si="52"/>
        <v>-2.9979513229516825E-2</v>
      </c>
    </row>
    <row r="1574" spans="2:8">
      <c r="B1574" s="252">
        <v>42677</v>
      </c>
      <c r="C1574" s="251">
        <v>510.2</v>
      </c>
      <c r="D1574" s="251">
        <f t="shared" si="51"/>
        <v>0.21649976156413928</v>
      </c>
      <c r="E1574" s="251">
        <v>-6.0393532047534892E-3</v>
      </c>
      <c r="G1574" s="251">
        <v>1565</v>
      </c>
      <c r="H1574" s="251">
        <f t="shared" ca="1" si="52"/>
        <v>-1.9945372958342547E-2</v>
      </c>
    </row>
    <row r="1575" spans="2:8">
      <c r="B1575" s="252">
        <v>43034</v>
      </c>
      <c r="C1575" s="251">
        <v>419.4</v>
      </c>
      <c r="D1575" s="251">
        <f t="shared" si="51"/>
        <v>-0.13507939781398226</v>
      </c>
      <c r="E1575" s="251">
        <v>-6.0433700675435751E-3</v>
      </c>
      <c r="G1575" s="251">
        <v>1566</v>
      </c>
      <c r="H1575" s="251">
        <f t="shared" ca="1" si="52"/>
        <v>2.686193657990724E-2</v>
      </c>
    </row>
    <row r="1576" spans="2:8">
      <c r="B1576" s="252">
        <v>44503</v>
      </c>
      <c r="C1576" s="251">
        <v>484.9</v>
      </c>
      <c r="D1576" s="251">
        <f t="shared" si="51"/>
        <v>1.690152565880721</v>
      </c>
      <c r="E1576" s="251">
        <v>-6.0469406579892289E-3</v>
      </c>
      <c r="G1576" s="251">
        <v>1567</v>
      </c>
      <c r="H1576" s="251">
        <f t="shared" ca="1" si="52"/>
        <v>-8.2742879507273076E-3</v>
      </c>
    </row>
    <row r="1577" spans="2:8">
      <c r="B1577" s="252">
        <v>43613</v>
      </c>
      <c r="C1577" s="251">
        <v>180.25</v>
      </c>
      <c r="D1577" s="251">
        <f t="shared" si="51"/>
        <v>-0.73639953202690844</v>
      </c>
      <c r="E1577" s="251">
        <v>-6.0656189688447441E-3</v>
      </c>
      <c r="G1577" s="251">
        <v>1568</v>
      </c>
      <c r="H1577" s="251">
        <f t="shared" ca="1" si="52"/>
        <v>-6.1713321053507306E-4</v>
      </c>
    </row>
    <row r="1578" spans="2:8">
      <c r="B1578" s="252">
        <v>45839</v>
      </c>
      <c r="C1578" s="251">
        <v>683.8</v>
      </c>
      <c r="D1578" s="251">
        <f t="shared" si="51"/>
        <v>2.051582649472417E-3</v>
      </c>
      <c r="E1578" s="251">
        <v>-6.1046511627907635E-3</v>
      </c>
      <c r="G1578" s="251">
        <v>1569</v>
      </c>
      <c r="H1578" s="251">
        <f t="shared" ca="1" si="52"/>
        <v>3.4649569751468594E-2</v>
      </c>
    </row>
    <row r="1579" spans="2:8">
      <c r="B1579" s="252">
        <v>45706</v>
      </c>
      <c r="C1579" s="251">
        <v>682.4</v>
      </c>
      <c r="D1579" s="251">
        <f t="shared" si="51"/>
        <v>-0.2669695895502347</v>
      </c>
      <c r="E1579" s="251">
        <v>-6.117098747451275E-3</v>
      </c>
      <c r="G1579" s="251">
        <v>1570</v>
      </c>
      <c r="H1579" s="251">
        <f t="shared" ca="1" si="52"/>
        <v>-6.4179724961743637E-2</v>
      </c>
    </row>
    <row r="1580" spans="2:8">
      <c r="B1580" s="252">
        <v>45329</v>
      </c>
      <c r="C1580" s="251">
        <v>930.93</v>
      </c>
      <c r="D1580" s="251">
        <f t="shared" si="51"/>
        <v>2.3766050054406964</v>
      </c>
      <c r="E1580" s="251">
        <v>-6.1174812632118578E-3</v>
      </c>
      <c r="G1580" s="251">
        <v>1571</v>
      </c>
      <c r="H1580" s="251">
        <f t="shared" ca="1" si="52"/>
        <v>-6.3028075147365335E-3</v>
      </c>
    </row>
    <row r="1581" spans="2:8">
      <c r="B1581" s="252">
        <v>43353</v>
      </c>
      <c r="C1581" s="251">
        <v>275.7</v>
      </c>
      <c r="D1581" s="251">
        <f t="shared" si="51"/>
        <v>-0.4193222266686325</v>
      </c>
      <c r="E1581" s="251">
        <v>-6.1283345349675156E-3</v>
      </c>
      <c r="G1581" s="251">
        <v>1572</v>
      </c>
      <c r="H1581" s="251">
        <f t="shared" ca="1" si="52"/>
        <v>4.3507853394396639E-2</v>
      </c>
    </row>
    <row r="1582" spans="2:8">
      <c r="B1582" s="252">
        <v>44775</v>
      </c>
      <c r="C1582" s="251">
        <v>474.79</v>
      </c>
      <c r="D1582" s="251">
        <f t="shared" si="51"/>
        <v>3.5303096380287828E-2</v>
      </c>
      <c r="E1582" s="251">
        <v>-6.154103782471265E-3</v>
      </c>
      <c r="G1582" s="251">
        <v>1573</v>
      </c>
      <c r="H1582" s="251">
        <f t="shared" ca="1" si="52"/>
        <v>-2.1792552387710887E-2</v>
      </c>
    </row>
    <row r="1583" spans="2:8">
      <c r="B1583" s="252">
        <v>44530</v>
      </c>
      <c r="C1583" s="251">
        <v>458.6</v>
      </c>
      <c r="D1583" s="251">
        <f t="shared" si="51"/>
        <v>1.8573208722741434</v>
      </c>
      <c r="E1583" s="251">
        <v>-6.1761837685555664E-3</v>
      </c>
      <c r="G1583" s="251">
        <v>1574</v>
      </c>
      <c r="H1583" s="251">
        <f t="shared" ca="1" si="52"/>
        <v>-3.1304524142729599E-2</v>
      </c>
    </row>
    <row r="1584" spans="2:8">
      <c r="B1584" s="252">
        <v>43808</v>
      </c>
      <c r="C1584" s="251">
        <v>160.5</v>
      </c>
      <c r="D1584" s="251">
        <f t="shared" si="51"/>
        <v>-0.69827991352570729</v>
      </c>
      <c r="E1584" s="251">
        <v>-6.1919504643962852E-3</v>
      </c>
      <c r="G1584" s="251">
        <v>1575</v>
      </c>
      <c r="H1584" s="251">
        <f t="shared" ca="1" si="52"/>
        <v>9.0654338798788064E-3</v>
      </c>
    </row>
    <row r="1585" spans="2:8">
      <c r="B1585" s="252">
        <v>42640</v>
      </c>
      <c r="C1585" s="251">
        <v>531.95000000000005</v>
      </c>
      <c r="D1585" s="251">
        <f t="shared" si="51"/>
        <v>2.9462166172106823</v>
      </c>
      <c r="E1585" s="251">
        <v>-6.2581729871098628E-3</v>
      </c>
      <c r="G1585" s="251">
        <v>1576</v>
      </c>
      <c r="H1585" s="251">
        <f t="shared" ca="1" si="52"/>
        <v>2.3401776989358566E-2</v>
      </c>
    </row>
    <row r="1586" spans="2:8">
      <c r="B1586" s="252">
        <v>44132</v>
      </c>
      <c r="C1586" s="251">
        <v>134.80000000000001</v>
      </c>
      <c r="D1586" s="251">
        <f t="shared" si="51"/>
        <v>-0.56205328135152699</v>
      </c>
      <c r="E1586" s="251">
        <v>-6.2661260597124532E-3</v>
      </c>
      <c r="G1586" s="251">
        <v>1577</v>
      </c>
      <c r="H1586" s="251">
        <f t="shared" ca="1" si="52"/>
        <v>2.4583171044149348E-2</v>
      </c>
    </row>
    <row r="1587" spans="2:8">
      <c r="B1587" s="252">
        <v>43263</v>
      </c>
      <c r="C1587" s="251">
        <v>307.8</v>
      </c>
      <c r="D1587" s="251">
        <f t="shared" si="51"/>
        <v>-0.2587062280236983</v>
      </c>
      <c r="E1587" s="251">
        <v>-6.2953995157384625E-3</v>
      </c>
      <c r="G1587" s="251">
        <v>1578</v>
      </c>
      <c r="H1587" s="251">
        <f t="shared" ca="1" si="52"/>
        <v>4.7933687249312698E-2</v>
      </c>
    </row>
    <row r="1588" spans="2:8">
      <c r="B1588" s="252">
        <v>45009</v>
      </c>
      <c r="C1588" s="251">
        <v>415.22</v>
      </c>
      <c r="D1588" s="251">
        <f t="shared" si="51"/>
        <v>1.2997507615618942</v>
      </c>
      <c r="E1588" s="251">
        <v>-6.3179055185947118E-3</v>
      </c>
      <c r="G1588" s="251">
        <v>1579</v>
      </c>
      <c r="H1588" s="251">
        <f t="shared" ca="1" si="52"/>
        <v>1.9470150706450799E-2</v>
      </c>
    </row>
    <row r="1589" spans="2:8">
      <c r="B1589" s="252">
        <v>44183</v>
      </c>
      <c r="C1589" s="251">
        <v>180.55</v>
      </c>
      <c r="D1589" s="251">
        <f t="shared" si="51"/>
        <v>-0.53036805826505395</v>
      </c>
      <c r="E1589" s="251">
        <v>-6.3291139240505079E-3</v>
      </c>
      <c r="G1589" s="251">
        <v>1580</v>
      </c>
      <c r="H1589" s="251">
        <f t="shared" ca="1" si="52"/>
        <v>4.0945392146331784E-2</v>
      </c>
    </row>
    <row r="1590" spans="2:8">
      <c r="B1590" s="252">
        <v>42510</v>
      </c>
      <c r="C1590" s="251">
        <v>384.45</v>
      </c>
      <c r="D1590" s="251">
        <f t="shared" si="51"/>
        <v>0.44475760992108215</v>
      </c>
      <c r="E1590" s="251">
        <v>-6.3323856293615631E-3</v>
      </c>
      <c r="G1590" s="251">
        <v>1581</v>
      </c>
      <c r="H1590" s="251">
        <f t="shared" ca="1" si="52"/>
        <v>8.8374024478603524E-4</v>
      </c>
    </row>
    <row r="1591" spans="2:8">
      <c r="B1591" s="252">
        <v>43293</v>
      </c>
      <c r="C1591" s="251">
        <v>266.10000000000002</v>
      </c>
      <c r="D1591" s="251">
        <f t="shared" si="51"/>
        <v>-0.47499260136134946</v>
      </c>
      <c r="E1591" s="251">
        <v>-6.3480209111276649E-3</v>
      </c>
      <c r="G1591" s="251">
        <v>1582</v>
      </c>
      <c r="H1591" s="251">
        <f t="shared" ca="1" si="52"/>
        <v>-1.5220772937180901E-3</v>
      </c>
    </row>
    <row r="1592" spans="2:8">
      <c r="B1592" s="252">
        <v>42579</v>
      </c>
      <c r="C1592" s="251">
        <v>506.85</v>
      </c>
      <c r="D1592" s="251">
        <f t="shared" si="51"/>
        <v>-0.17331310857757987</v>
      </c>
      <c r="E1592" s="251">
        <v>-6.3712997451480097E-3</v>
      </c>
      <c r="G1592" s="251">
        <v>1583</v>
      </c>
      <c r="H1592" s="251">
        <f t="shared" ca="1" si="52"/>
        <v>4.0735390235466476E-2</v>
      </c>
    </row>
    <row r="1593" spans="2:8">
      <c r="B1593" s="252">
        <v>45142</v>
      </c>
      <c r="C1593" s="251">
        <v>613.11</v>
      </c>
      <c r="D1593" s="251">
        <f t="shared" si="51"/>
        <v>0.46048118151500717</v>
      </c>
      <c r="E1593" s="251">
        <v>-6.3852199983792908E-3</v>
      </c>
      <c r="G1593" s="251">
        <v>1584</v>
      </c>
      <c r="H1593" s="251">
        <f t="shared" ca="1" si="52"/>
        <v>-9.8740818471945557E-3</v>
      </c>
    </row>
    <row r="1594" spans="2:8">
      <c r="B1594" s="252">
        <v>44886</v>
      </c>
      <c r="C1594" s="251">
        <v>419.8</v>
      </c>
      <c r="D1594" s="251">
        <f t="shared" si="51"/>
        <v>-0.54847106149097047</v>
      </c>
      <c r="E1594" s="251">
        <v>-6.3905325443786715E-3</v>
      </c>
      <c r="G1594" s="251">
        <v>1585</v>
      </c>
      <c r="H1594" s="251">
        <f t="shared" ca="1" si="52"/>
        <v>1.9527617458047875E-2</v>
      </c>
    </row>
    <row r="1595" spans="2:8">
      <c r="B1595" s="252">
        <v>45341</v>
      </c>
      <c r="C1595" s="251">
        <v>929.73</v>
      </c>
      <c r="D1595" s="251">
        <f t="shared" si="51"/>
        <v>0.82460994995584336</v>
      </c>
      <c r="E1595" s="251">
        <v>-6.3908689658120762E-3</v>
      </c>
      <c r="G1595" s="251">
        <v>1586</v>
      </c>
      <c r="H1595" s="251">
        <f t="shared" ca="1" si="52"/>
        <v>1.6878090330670215E-2</v>
      </c>
    </row>
    <row r="1596" spans="2:8">
      <c r="B1596" s="252">
        <v>42776</v>
      </c>
      <c r="C1596" s="251">
        <v>509.55</v>
      </c>
      <c r="D1596" s="251">
        <f t="shared" si="51"/>
        <v>-0.34652132093619747</v>
      </c>
      <c r="E1596" s="251">
        <v>-6.4346300087745178E-3</v>
      </c>
      <c r="G1596" s="251">
        <v>1587</v>
      </c>
      <c r="H1596" s="251">
        <f t="shared" ca="1" si="52"/>
        <v>-8.8252488730894332E-3</v>
      </c>
    </row>
    <row r="1597" spans="2:8">
      <c r="B1597" s="252">
        <v>45643</v>
      </c>
      <c r="C1597" s="251">
        <v>779.75</v>
      </c>
      <c r="D1597" s="251">
        <f t="shared" si="51"/>
        <v>-0.10967115779858411</v>
      </c>
      <c r="E1597" s="251">
        <v>-6.4347604485218588E-3</v>
      </c>
      <c r="G1597" s="251">
        <v>1588</v>
      </c>
      <c r="H1597" s="251">
        <f t="shared" ca="1" si="52"/>
        <v>8.640624695439655E-3</v>
      </c>
    </row>
    <row r="1598" spans="2:8">
      <c r="B1598" s="252">
        <v>45323</v>
      </c>
      <c r="C1598" s="251">
        <v>875.8</v>
      </c>
      <c r="D1598" s="251">
        <f t="shared" si="51"/>
        <v>0.55822435726358866</v>
      </c>
      <c r="E1598" s="251">
        <v>-6.4437083087535325E-3</v>
      </c>
      <c r="G1598" s="251">
        <v>1589</v>
      </c>
      <c r="H1598" s="251">
        <f t="shared" ca="1" si="52"/>
        <v>-1.6698835518411202E-4</v>
      </c>
    </row>
    <row r="1599" spans="2:8">
      <c r="B1599" s="252">
        <v>42653</v>
      </c>
      <c r="C1599" s="251">
        <v>562.04999999999995</v>
      </c>
      <c r="D1599" s="251">
        <f t="shared" si="51"/>
        <v>0.88544112713854384</v>
      </c>
      <c r="E1599" s="251">
        <v>-6.4521831359379365E-3</v>
      </c>
      <c r="G1599" s="251">
        <v>1590</v>
      </c>
      <c r="H1599" s="251">
        <f t="shared" ca="1" si="52"/>
        <v>1.7083912896687002E-2</v>
      </c>
    </row>
    <row r="1600" spans="2:8">
      <c r="B1600" s="252">
        <v>44417</v>
      </c>
      <c r="C1600" s="251">
        <v>298.10000000000002</v>
      </c>
      <c r="D1600" s="251">
        <f t="shared" si="51"/>
        <v>-0.31322858590978203</v>
      </c>
      <c r="E1600" s="251">
        <v>-6.4989168471920964E-3</v>
      </c>
      <c r="G1600" s="251">
        <v>1591</v>
      </c>
      <c r="H1600" s="251">
        <f t="shared" ca="1" si="52"/>
        <v>2.6567484236665233E-3</v>
      </c>
    </row>
    <row r="1601" spans="2:8">
      <c r="B1601" s="252">
        <v>44897</v>
      </c>
      <c r="C1601" s="251">
        <v>434.06</v>
      </c>
      <c r="D1601" s="251">
        <f t="shared" si="51"/>
        <v>-5.2270742358078597E-2</v>
      </c>
      <c r="E1601" s="251">
        <v>-6.5003433279926187E-3</v>
      </c>
      <c r="G1601" s="251">
        <v>1592</v>
      </c>
      <c r="H1601" s="251">
        <f t="shared" ca="1" si="52"/>
        <v>-3.1289002145051162E-2</v>
      </c>
    </row>
    <row r="1602" spans="2:8">
      <c r="B1602" s="252">
        <v>42893</v>
      </c>
      <c r="C1602" s="251">
        <v>458</v>
      </c>
      <c r="D1602" s="251">
        <f t="shared" si="51"/>
        <v>5.3115658772131577E-2</v>
      </c>
      <c r="E1602" s="251">
        <v>-6.5075921908893707E-3</v>
      </c>
      <c r="G1602" s="251">
        <v>1593</v>
      </c>
      <c r="H1602" s="251">
        <f t="shared" ca="1" si="52"/>
        <v>-1.6766083154870902E-2</v>
      </c>
    </row>
    <row r="1603" spans="2:8">
      <c r="B1603" s="252">
        <v>43041</v>
      </c>
      <c r="C1603" s="251">
        <v>434.9</v>
      </c>
      <c r="D1603" s="251">
        <f t="shared" si="51"/>
        <v>-0.3631571240298726</v>
      </c>
      <c r="E1603" s="251">
        <v>-6.5105653912050773E-3</v>
      </c>
      <c r="G1603" s="251">
        <v>1594</v>
      </c>
      <c r="H1603" s="251">
        <f t="shared" ca="1" si="52"/>
        <v>1.4170896168100208E-2</v>
      </c>
    </row>
    <row r="1604" spans="2:8">
      <c r="B1604" s="252">
        <v>45866</v>
      </c>
      <c r="C1604" s="251">
        <v>682.9</v>
      </c>
      <c r="D1604" s="251">
        <f t="shared" si="51"/>
        <v>0.69981331673926561</v>
      </c>
      <c r="E1604" s="251">
        <v>-6.5464067500727377E-3</v>
      </c>
      <c r="G1604" s="251">
        <v>1595</v>
      </c>
      <c r="H1604" s="251">
        <f t="shared" ca="1" si="52"/>
        <v>-4.1495540849112056E-2</v>
      </c>
    </row>
    <row r="1605" spans="2:8">
      <c r="B1605" s="252">
        <v>42993</v>
      </c>
      <c r="C1605" s="251">
        <v>401.75</v>
      </c>
      <c r="D1605" s="251">
        <f t="shared" si="51"/>
        <v>-0.21967563367971257</v>
      </c>
      <c r="E1605" s="251">
        <v>-6.5529179030662148E-3</v>
      </c>
      <c r="G1605" s="251">
        <v>1596</v>
      </c>
      <c r="H1605" s="251">
        <f t="shared" ca="1" si="52"/>
        <v>1.3936197000305706E-2</v>
      </c>
    </row>
    <row r="1606" spans="2:8">
      <c r="B1606" s="252">
        <v>42748</v>
      </c>
      <c r="C1606" s="251">
        <v>514.85</v>
      </c>
      <c r="D1606" s="251">
        <f t="shared" si="51"/>
        <v>0.31292395573009651</v>
      </c>
      <c r="E1606" s="251">
        <v>-6.5605402797877035E-3</v>
      </c>
      <c r="G1606" s="251">
        <v>1597</v>
      </c>
      <c r="H1606" s="251">
        <f t="shared" ca="1" si="52"/>
        <v>-6.8526836812069763E-3</v>
      </c>
    </row>
    <row r="1607" spans="2:8">
      <c r="B1607" s="252">
        <v>44845</v>
      </c>
      <c r="C1607" s="251">
        <v>392.14</v>
      </c>
      <c r="D1607" s="251">
        <f t="shared" si="51"/>
        <v>-0.12050597707852069</v>
      </c>
      <c r="E1607" s="251">
        <v>-6.5614470650825416E-3</v>
      </c>
      <c r="G1607" s="251">
        <v>1598</v>
      </c>
      <c r="H1607" s="251">
        <f t="shared" ca="1" si="52"/>
        <v>1.8802852240342394E-2</v>
      </c>
    </row>
    <row r="1608" spans="2:8">
      <c r="B1608" s="252">
        <v>44819</v>
      </c>
      <c r="C1608" s="251">
        <v>445.87</v>
      </c>
      <c r="D1608" s="251">
        <f t="shared" si="51"/>
        <v>2.6879239040529366</v>
      </c>
      <c r="E1608" s="251">
        <v>-6.5727908738469516E-3</v>
      </c>
      <c r="G1608" s="251">
        <v>1599</v>
      </c>
      <c r="H1608" s="251">
        <f t="shared" ca="1" si="52"/>
        <v>-2.935196566951302E-3</v>
      </c>
    </row>
    <row r="1609" spans="2:8">
      <c r="B1609" s="252">
        <v>44064</v>
      </c>
      <c r="C1609" s="251">
        <v>120.9</v>
      </c>
      <c r="D1609" s="251">
        <f t="shared" si="51"/>
        <v>0.14326241134751777</v>
      </c>
      <c r="E1609" s="251">
        <v>-6.5735414954806665E-3</v>
      </c>
      <c r="G1609" s="251">
        <v>1600</v>
      </c>
      <c r="H1609" s="251">
        <f t="shared" ca="1" si="52"/>
        <v>-6.4850606657511217E-2</v>
      </c>
    </row>
    <row r="1610" spans="2:8">
      <c r="B1610" s="252">
        <v>44041</v>
      </c>
      <c r="C1610" s="251">
        <v>105.75</v>
      </c>
      <c r="D1610" s="251">
        <f t="shared" ref="D1610:D1673" si="53">(C1610-C1611)/C1611</f>
        <v>-0.81260300189612089</v>
      </c>
      <c r="E1610" s="251">
        <v>-6.5758572099577535E-3</v>
      </c>
      <c r="G1610" s="251">
        <v>1601</v>
      </c>
      <c r="H1610" s="251">
        <f t="shared" ca="1" si="52"/>
        <v>-6.4283960822554415E-3</v>
      </c>
    </row>
    <row r="1611" spans="2:8">
      <c r="B1611" s="252">
        <v>45096</v>
      </c>
      <c r="C1611" s="251">
        <v>564.30999999999995</v>
      </c>
      <c r="D1611" s="251">
        <f t="shared" si="53"/>
        <v>0.17295780503013911</v>
      </c>
      <c r="E1611" s="251">
        <v>-6.5839274711733285E-3</v>
      </c>
      <c r="G1611" s="251">
        <v>1602</v>
      </c>
      <c r="H1611" s="251">
        <f t="shared" ref="H1611:H1674" ca="1" si="54">_xlfn.NORM.INV(RAND(),N$12,N$13)</f>
        <v>3.1620478335449686E-3</v>
      </c>
    </row>
    <row r="1612" spans="2:8">
      <c r="B1612" s="252">
        <v>42564</v>
      </c>
      <c r="C1612" s="251">
        <v>481.1</v>
      </c>
      <c r="D1612" s="251">
        <f t="shared" si="53"/>
        <v>-0.12023406784310139</v>
      </c>
      <c r="E1612" s="251">
        <v>-6.6074747057608685E-3</v>
      </c>
      <c r="G1612" s="251">
        <v>1603</v>
      </c>
      <c r="H1612" s="251">
        <f t="shared" ca="1" si="54"/>
        <v>-1.3509368293585825E-2</v>
      </c>
    </row>
    <row r="1613" spans="2:8">
      <c r="B1613" s="252">
        <v>42663</v>
      </c>
      <c r="C1613" s="251">
        <v>546.85</v>
      </c>
      <c r="D1613" s="251">
        <f t="shared" si="53"/>
        <v>2.318264563106796</v>
      </c>
      <c r="E1613" s="251">
        <v>-6.6303360581289328E-3</v>
      </c>
      <c r="G1613" s="251">
        <v>1604</v>
      </c>
      <c r="H1613" s="251">
        <f t="shared" ca="1" si="54"/>
        <v>-3.2242292854064485E-2</v>
      </c>
    </row>
    <row r="1614" spans="2:8">
      <c r="B1614" s="252">
        <v>43797</v>
      </c>
      <c r="C1614" s="251">
        <v>164.8</v>
      </c>
      <c r="D1614" s="251">
        <f t="shared" si="53"/>
        <v>-0.75412159641924659</v>
      </c>
      <c r="E1614" s="251">
        <v>-6.6305003013863431E-3</v>
      </c>
      <c r="G1614" s="251">
        <v>1605</v>
      </c>
      <c r="H1614" s="251">
        <f t="shared" ca="1" si="54"/>
        <v>2.0798321968300941E-2</v>
      </c>
    </row>
    <row r="1615" spans="2:8">
      <c r="B1615" s="252">
        <v>45826</v>
      </c>
      <c r="C1615" s="251">
        <v>670.25</v>
      </c>
      <c r="D1615" s="251">
        <f t="shared" si="53"/>
        <v>-0.2742284786139686</v>
      </c>
      <c r="E1615" s="251">
        <v>-6.6691367173027051E-3</v>
      </c>
      <c r="G1615" s="251">
        <v>1606</v>
      </c>
      <c r="H1615" s="251">
        <f t="shared" ca="1" si="54"/>
        <v>-9.0457579232059715E-3</v>
      </c>
    </row>
    <row r="1616" spans="2:8">
      <c r="B1616" s="252">
        <v>45342</v>
      </c>
      <c r="C1616" s="251">
        <v>923.5</v>
      </c>
      <c r="D1616" s="251">
        <f t="shared" si="53"/>
        <v>4.1984238671545171</v>
      </c>
      <c r="E1616" s="251">
        <v>-6.7008701450959078E-3</v>
      </c>
      <c r="G1616" s="251">
        <v>1607</v>
      </c>
      <c r="H1616" s="251">
        <f t="shared" ca="1" si="54"/>
        <v>1.9867927212258878E-2</v>
      </c>
    </row>
    <row r="1617" spans="2:8">
      <c r="B1617" s="252">
        <v>44179</v>
      </c>
      <c r="C1617" s="251">
        <v>177.65</v>
      </c>
      <c r="D1617" s="251">
        <f t="shared" si="53"/>
        <v>-0.67729336966394194</v>
      </c>
      <c r="E1617" s="251">
        <v>-6.7095331283197578E-3</v>
      </c>
      <c r="G1617" s="251">
        <v>1608</v>
      </c>
      <c r="H1617" s="251">
        <f t="shared" ca="1" si="54"/>
        <v>2.0117847867823176E-2</v>
      </c>
    </row>
    <row r="1618" spans="2:8">
      <c r="B1618" s="252">
        <v>42662</v>
      </c>
      <c r="C1618" s="251">
        <v>550.5</v>
      </c>
      <c r="D1618" s="251">
        <f t="shared" si="53"/>
        <v>2.1430202683414219</v>
      </c>
      <c r="E1618" s="251">
        <v>-6.7658998646820028E-3</v>
      </c>
      <c r="G1618" s="251">
        <v>1609</v>
      </c>
      <c r="H1618" s="251">
        <f t="shared" ca="1" si="54"/>
        <v>-4.1937787008726878E-2</v>
      </c>
    </row>
    <row r="1619" spans="2:8">
      <c r="B1619" s="252">
        <v>43615</v>
      </c>
      <c r="C1619" s="251">
        <v>175.15</v>
      </c>
      <c r="D1619" s="251">
        <f t="shared" si="53"/>
        <v>-0.75656706045865185</v>
      </c>
      <c r="E1619" s="251">
        <v>-6.8046498440600435E-3</v>
      </c>
      <c r="G1619" s="251">
        <v>1610</v>
      </c>
      <c r="H1619" s="251">
        <f t="shared" ca="1" si="54"/>
        <v>1.3704857145064236E-2</v>
      </c>
    </row>
    <row r="1620" spans="2:8">
      <c r="B1620" s="252">
        <v>45807</v>
      </c>
      <c r="C1620" s="251">
        <v>719.5</v>
      </c>
      <c r="D1620" s="251">
        <f t="shared" si="53"/>
        <v>2.2163611980330802</v>
      </c>
      <c r="E1620" s="251">
        <v>-6.8327696873490855E-3</v>
      </c>
      <c r="G1620" s="251">
        <v>1611</v>
      </c>
      <c r="H1620" s="251">
        <f t="shared" ca="1" si="54"/>
        <v>-2.0681145664723278E-2</v>
      </c>
    </row>
    <row r="1621" spans="2:8">
      <c r="B1621" s="252">
        <v>43371</v>
      </c>
      <c r="C1621" s="251">
        <v>223.7</v>
      </c>
      <c r="D1621" s="251">
        <f t="shared" si="53"/>
        <v>-0.43371389514720399</v>
      </c>
      <c r="E1621" s="251">
        <v>-6.8812430632630914E-3</v>
      </c>
      <c r="G1621" s="251">
        <v>1612</v>
      </c>
      <c r="H1621" s="251">
        <f t="shared" ca="1" si="54"/>
        <v>1.4649112881356655E-2</v>
      </c>
    </row>
    <row r="1622" spans="2:8">
      <c r="B1622" s="252">
        <v>44848</v>
      </c>
      <c r="C1622" s="251">
        <v>395.03</v>
      </c>
      <c r="D1622" s="251">
        <f t="shared" si="53"/>
        <v>5.4960608893043092E-2</v>
      </c>
      <c r="E1622" s="251">
        <v>-6.8884028458657248E-3</v>
      </c>
      <c r="G1622" s="251">
        <v>1613</v>
      </c>
      <c r="H1622" s="251">
        <f t="shared" ca="1" si="54"/>
        <v>-2.1558087700209214E-2</v>
      </c>
    </row>
    <row r="1623" spans="2:8">
      <c r="B1623" s="252">
        <v>42374</v>
      </c>
      <c r="C1623" s="251">
        <v>374.45</v>
      </c>
      <c r="D1623" s="251">
        <f t="shared" si="53"/>
        <v>-9.9706674360453995E-2</v>
      </c>
      <c r="E1623" s="251">
        <v>-6.8956371833974878E-3</v>
      </c>
      <c r="G1623" s="251">
        <v>1614</v>
      </c>
      <c r="H1623" s="251">
        <f t="shared" ca="1" si="54"/>
        <v>-3.5534151469039455E-3</v>
      </c>
    </row>
    <row r="1624" spans="2:8">
      <c r="B1624" s="252">
        <v>44903</v>
      </c>
      <c r="C1624" s="251">
        <v>415.92</v>
      </c>
      <c r="D1624" s="251">
        <f t="shared" si="53"/>
        <v>-0.11042669233237086</v>
      </c>
      <c r="E1624" s="251">
        <v>-6.9005038084095083E-3</v>
      </c>
      <c r="G1624" s="251">
        <v>1615</v>
      </c>
      <c r="H1624" s="251">
        <f t="shared" ca="1" si="54"/>
        <v>-7.0639416419811954E-3</v>
      </c>
    </row>
    <row r="1625" spans="2:8">
      <c r="B1625" s="252">
        <v>42801</v>
      </c>
      <c r="C1625" s="251">
        <v>467.55</v>
      </c>
      <c r="D1625" s="251">
        <f t="shared" si="53"/>
        <v>-0.56911805363560963</v>
      </c>
      <c r="E1625" s="251">
        <v>-6.9031435853865756E-3</v>
      </c>
      <c r="G1625" s="251">
        <v>1616</v>
      </c>
      <c r="H1625" s="251">
        <f t="shared" ca="1" si="54"/>
        <v>-1.6061076783322428E-2</v>
      </c>
    </row>
    <row r="1626" spans="2:8">
      <c r="B1626" s="252">
        <v>45538</v>
      </c>
      <c r="C1626" s="267">
        <v>1085.0999999999999</v>
      </c>
      <c r="D1626" s="251">
        <f t="shared" si="53"/>
        <v>0.76052567534679949</v>
      </c>
      <c r="E1626" s="251">
        <v>-6.9098064338994018E-3</v>
      </c>
      <c r="G1626" s="251">
        <v>1617</v>
      </c>
      <c r="H1626" s="251">
        <f t="shared" ca="1" si="54"/>
        <v>1.7183420573690194E-2</v>
      </c>
    </row>
    <row r="1627" spans="2:8">
      <c r="B1627" s="252">
        <v>45148</v>
      </c>
      <c r="C1627" s="251">
        <v>616.35</v>
      </c>
      <c r="D1627" s="251">
        <f t="shared" si="53"/>
        <v>-0.20404209982566021</v>
      </c>
      <c r="E1627" s="251">
        <v>-6.912219644238147E-3</v>
      </c>
      <c r="G1627" s="251">
        <v>1618</v>
      </c>
      <c r="H1627" s="251">
        <f t="shared" ca="1" si="54"/>
        <v>5.0541084669167699E-3</v>
      </c>
    </row>
    <row r="1628" spans="2:8">
      <c r="B1628" s="252">
        <v>45677</v>
      </c>
      <c r="C1628" s="251">
        <v>774.35</v>
      </c>
      <c r="D1628" s="251">
        <f t="shared" si="53"/>
        <v>1.5837504170837506</v>
      </c>
      <c r="E1628" s="251">
        <v>-6.925296569413244E-3</v>
      </c>
      <c r="G1628" s="251">
        <v>1619</v>
      </c>
      <c r="H1628" s="251">
        <f t="shared" ca="1" si="54"/>
        <v>-4.0126259026365213E-2</v>
      </c>
    </row>
    <row r="1629" spans="2:8">
      <c r="B1629" s="252">
        <v>42429</v>
      </c>
      <c r="C1629" s="251">
        <v>299.7</v>
      </c>
      <c r="D1629" s="251">
        <f t="shared" si="53"/>
        <v>-0.61811926605504586</v>
      </c>
      <c r="E1629" s="251">
        <v>-6.9582504970179676E-3</v>
      </c>
      <c r="G1629" s="251">
        <v>1620</v>
      </c>
      <c r="H1629" s="251">
        <f t="shared" ca="1" si="54"/>
        <v>2.3035917126559367E-2</v>
      </c>
    </row>
    <row r="1630" spans="2:8">
      <c r="B1630" s="252">
        <v>45642</v>
      </c>
      <c r="C1630" s="251">
        <v>784.8</v>
      </c>
      <c r="D1630" s="251">
        <f t="shared" si="53"/>
        <v>1.3102691538113958E-2</v>
      </c>
      <c r="E1630" s="251">
        <v>-6.9593825129697588E-3</v>
      </c>
      <c r="G1630" s="251">
        <v>1621</v>
      </c>
      <c r="H1630" s="251">
        <f t="shared" ca="1" si="54"/>
        <v>-2.8875118220825342E-2</v>
      </c>
    </row>
    <row r="1631" spans="2:8">
      <c r="B1631" s="252">
        <v>45667</v>
      </c>
      <c r="C1631" s="251">
        <v>774.65</v>
      </c>
      <c r="D1631" s="251">
        <f t="shared" si="53"/>
        <v>0.7908912264478094</v>
      </c>
      <c r="E1631" s="251">
        <v>-6.9862838097680367E-3</v>
      </c>
      <c r="G1631" s="251">
        <v>1622</v>
      </c>
      <c r="H1631" s="251">
        <f t="shared" ca="1" si="54"/>
        <v>1.1207505027640998E-2</v>
      </c>
    </row>
    <row r="1632" spans="2:8">
      <c r="B1632" s="252">
        <v>42916</v>
      </c>
      <c r="C1632" s="251">
        <v>432.55</v>
      </c>
      <c r="D1632" s="251">
        <f t="shared" si="53"/>
        <v>0.13307138179436806</v>
      </c>
      <c r="E1632" s="251">
        <v>-7.0018365472911187E-3</v>
      </c>
      <c r="G1632" s="251">
        <v>1623</v>
      </c>
      <c r="H1632" s="251">
        <f t="shared" ca="1" si="54"/>
        <v>4.2968897613003265E-2</v>
      </c>
    </row>
    <row r="1633" spans="2:8">
      <c r="B1633" s="252">
        <v>42513</v>
      </c>
      <c r="C1633" s="251">
        <v>381.75</v>
      </c>
      <c r="D1633" s="251">
        <f t="shared" si="53"/>
        <v>2.0070894052776684</v>
      </c>
      <c r="E1633" s="251">
        <v>-7.0230198985563501E-3</v>
      </c>
      <c r="G1633" s="251">
        <v>1624</v>
      </c>
      <c r="H1633" s="251">
        <f t="shared" ca="1" si="54"/>
        <v>4.0965407005008808E-2</v>
      </c>
    </row>
    <row r="1634" spans="2:8">
      <c r="B1634" s="252">
        <v>43753</v>
      </c>
      <c r="C1634" s="251">
        <v>126.95</v>
      </c>
      <c r="D1634" s="251">
        <f t="shared" si="53"/>
        <v>-0.61448527178864265</v>
      </c>
      <c r="E1634" s="251">
        <v>-7.0394994133749821E-3</v>
      </c>
      <c r="G1634" s="251">
        <v>1625</v>
      </c>
      <c r="H1634" s="251">
        <f t="shared" ca="1" si="54"/>
        <v>-2.9011955531701369E-3</v>
      </c>
    </row>
    <row r="1635" spans="2:8">
      <c r="B1635" s="252">
        <v>44467</v>
      </c>
      <c r="C1635" s="251">
        <v>329.3</v>
      </c>
      <c r="D1635" s="251">
        <f t="shared" si="53"/>
        <v>-0.29794265003730946</v>
      </c>
      <c r="E1635" s="251">
        <v>-7.0857832051860878E-3</v>
      </c>
      <c r="G1635" s="251">
        <v>1626</v>
      </c>
      <c r="H1635" s="251">
        <f t="shared" ca="1" si="54"/>
        <v>-3.438981112119513E-2</v>
      </c>
    </row>
    <row r="1636" spans="2:8">
      <c r="B1636" s="252">
        <v>42823</v>
      </c>
      <c r="C1636" s="251">
        <v>469.05</v>
      </c>
      <c r="D1636" s="251">
        <f t="shared" si="53"/>
        <v>-0.34612596537206902</v>
      </c>
      <c r="E1636" s="251">
        <v>-7.0914479254868034E-3</v>
      </c>
      <c r="G1636" s="251">
        <v>1627</v>
      </c>
      <c r="H1636" s="251">
        <f t="shared" ca="1" si="54"/>
        <v>-6.7212913734374731E-4</v>
      </c>
    </row>
    <row r="1637" spans="2:8">
      <c r="B1637" s="252">
        <v>45286</v>
      </c>
      <c r="C1637" s="251">
        <v>717.34</v>
      </c>
      <c r="D1637" s="251">
        <f t="shared" si="53"/>
        <v>1.4470066518847009</v>
      </c>
      <c r="E1637" s="251">
        <v>-7.1006408570598025E-3</v>
      </c>
      <c r="G1637" s="251">
        <v>1628</v>
      </c>
      <c r="H1637" s="251">
        <f t="shared" ca="1" si="54"/>
        <v>-1.6329066163963457E-2</v>
      </c>
    </row>
    <row r="1638" spans="2:8">
      <c r="B1638" s="252">
        <v>44441</v>
      </c>
      <c r="C1638" s="251">
        <v>293.14999999999998</v>
      </c>
      <c r="D1638" s="251">
        <f t="shared" si="53"/>
        <v>-0.20748851040821845</v>
      </c>
      <c r="E1638" s="251">
        <v>-7.1126164267570624E-3</v>
      </c>
      <c r="G1638" s="251">
        <v>1629</v>
      </c>
      <c r="H1638" s="251">
        <f t="shared" ca="1" si="54"/>
        <v>1.5449024476001652E-2</v>
      </c>
    </row>
    <row r="1639" spans="2:8">
      <c r="B1639" s="252">
        <v>43159</v>
      </c>
      <c r="C1639" s="251">
        <v>369.9</v>
      </c>
      <c r="D1639" s="251">
        <f t="shared" si="53"/>
        <v>1.1350649350649349</v>
      </c>
      <c r="E1639" s="251">
        <v>-7.1131391759496282E-3</v>
      </c>
      <c r="G1639" s="251">
        <v>1630</v>
      </c>
      <c r="H1639" s="251">
        <f t="shared" ca="1" si="54"/>
        <v>-1.8439765996194089E-2</v>
      </c>
    </row>
    <row r="1640" spans="2:8">
      <c r="B1640" s="252">
        <v>43620</v>
      </c>
      <c r="C1640" s="251">
        <v>173.25</v>
      </c>
      <c r="D1640" s="251">
        <f t="shared" si="53"/>
        <v>-0.65570349761526237</v>
      </c>
      <c r="E1640" s="251">
        <v>-7.1633237822349575E-3</v>
      </c>
      <c r="G1640" s="251">
        <v>1631</v>
      </c>
      <c r="H1640" s="251">
        <f t="shared" ca="1" si="54"/>
        <v>9.924661412317716E-3</v>
      </c>
    </row>
    <row r="1641" spans="2:8">
      <c r="B1641" s="252">
        <v>42580</v>
      </c>
      <c r="C1641" s="251">
        <v>503.2</v>
      </c>
      <c r="D1641" s="251">
        <f t="shared" si="53"/>
        <v>0.28992566008715703</v>
      </c>
      <c r="E1641" s="251">
        <v>-7.2013416198086887E-3</v>
      </c>
      <c r="G1641" s="251">
        <v>1632</v>
      </c>
      <c r="H1641" s="251">
        <f t="shared" ca="1" si="54"/>
        <v>8.5106001055565497E-3</v>
      </c>
    </row>
    <row r="1642" spans="2:8">
      <c r="B1642" s="252">
        <v>44923</v>
      </c>
      <c r="C1642" s="251">
        <v>390.1</v>
      </c>
      <c r="D1642" s="251">
        <f t="shared" si="53"/>
        <v>0.21280895383180493</v>
      </c>
      <c r="E1642" s="251">
        <v>-7.2275665496003847E-3</v>
      </c>
      <c r="G1642" s="251">
        <v>1633</v>
      </c>
      <c r="H1642" s="251">
        <f t="shared" ca="1" si="54"/>
        <v>1.1626655486648822E-2</v>
      </c>
    </row>
    <row r="1643" spans="2:8">
      <c r="B1643" s="252">
        <v>44251</v>
      </c>
      <c r="C1643" s="251">
        <v>321.64999999999998</v>
      </c>
      <c r="D1643" s="251">
        <f t="shared" si="53"/>
        <v>-0.46876858029992741</v>
      </c>
      <c r="E1643" s="251">
        <v>-7.2530864197531564E-3</v>
      </c>
      <c r="G1643" s="251">
        <v>1634</v>
      </c>
      <c r="H1643" s="251">
        <f t="shared" ca="1" si="54"/>
        <v>3.787540117225472E-2</v>
      </c>
    </row>
    <row r="1644" spans="2:8">
      <c r="B1644" s="252">
        <v>45152</v>
      </c>
      <c r="C1644" s="251">
        <v>605.48</v>
      </c>
      <c r="D1644" s="251">
        <f t="shared" si="53"/>
        <v>0.48274764295334882</v>
      </c>
      <c r="E1644" s="251">
        <v>-7.2796432318991688E-3</v>
      </c>
      <c r="G1644" s="251">
        <v>1635</v>
      </c>
      <c r="H1644" s="251">
        <f t="shared" ca="1" si="54"/>
        <v>-3.0663736346120719E-2</v>
      </c>
    </row>
    <row r="1645" spans="2:8">
      <c r="B1645" s="252">
        <v>42489</v>
      </c>
      <c r="C1645" s="251">
        <v>408.35</v>
      </c>
      <c r="D1645" s="251">
        <f t="shared" si="53"/>
        <v>-0.51040105509262024</v>
      </c>
      <c r="E1645" s="251">
        <v>-7.2930594384344226E-3</v>
      </c>
      <c r="G1645" s="251">
        <v>1636</v>
      </c>
      <c r="H1645" s="251">
        <f t="shared" ca="1" si="54"/>
        <v>4.3361797479297998E-2</v>
      </c>
    </row>
    <row r="1646" spans="2:8">
      <c r="B1646" s="252">
        <v>45596</v>
      </c>
      <c r="C1646" s="251">
        <v>834.05</v>
      </c>
      <c r="D1646" s="251">
        <f t="shared" si="53"/>
        <v>0.24253258845437609</v>
      </c>
      <c r="E1646" s="251">
        <v>-7.3196857890979418E-3</v>
      </c>
      <c r="G1646" s="251">
        <v>1637</v>
      </c>
      <c r="H1646" s="251">
        <f t="shared" ca="1" si="54"/>
        <v>3.0613984745741063E-2</v>
      </c>
    </row>
    <row r="1647" spans="2:8">
      <c r="B1647" s="252">
        <v>45831</v>
      </c>
      <c r="C1647" s="251">
        <v>671.25</v>
      </c>
      <c r="D1647" s="251">
        <f t="shared" si="53"/>
        <v>4.2196734059097976</v>
      </c>
      <c r="E1647" s="251">
        <v>-7.3203194321207407E-3</v>
      </c>
      <c r="G1647" s="251">
        <v>1638</v>
      </c>
      <c r="H1647" s="251">
        <f t="shared" ca="1" si="54"/>
        <v>-8.1286918793580062E-2</v>
      </c>
    </row>
    <row r="1648" spans="2:8">
      <c r="B1648" s="252">
        <v>43724</v>
      </c>
      <c r="C1648" s="251">
        <v>128.6</v>
      </c>
      <c r="D1648" s="251">
        <f t="shared" si="53"/>
        <v>-0.6921677518192263</v>
      </c>
      <c r="E1648" s="251">
        <v>-7.3330760324200458E-3</v>
      </c>
      <c r="G1648" s="251">
        <v>1639</v>
      </c>
      <c r="H1648" s="251">
        <f t="shared" ca="1" si="54"/>
        <v>1.8583329573288732E-2</v>
      </c>
    </row>
    <row r="1649" spans="2:8">
      <c r="B1649" s="252">
        <v>44951</v>
      </c>
      <c r="C1649" s="251">
        <v>417.76</v>
      </c>
      <c r="D1649" s="251">
        <f t="shared" si="53"/>
        <v>-0.37484474373363263</v>
      </c>
      <c r="E1649" s="251">
        <v>-7.3422834739218998E-3</v>
      </c>
      <c r="G1649" s="251">
        <v>1640</v>
      </c>
      <c r="H1649" s="251">
        <f t="shared" ca="1" si="54"/>
        <v>3.5805111128580168E-2</v>
      </c>
    </row>
    <row r="1650" spans="2:8">
      <c r="B1650" s="252">
        <v>45712</v>
      </c>
      <c r="C1650" s="251">
        <v>668.25</v>
      </c>
      <c r="D1650" s="251">
        <f t="shared" si="53"/>
        <v>0.47728528794075376</v>
      </c>
      <c r="E1650" s="251">
        <v>-7.3529411764706549E-3</v>
      </c>
      <c r="G1650" s="251">
        <v>1641</v>
      </c>
      <c r="H1650" s="251">
        <f t="shared" ca="1" si="54"/>
        <v>-4.6348265171157459E-3</v>
      </c>
    </row>
    <row r="1651" spans="2:8">
      <c r="B1651" s="252">
        <v>42905</v>
      </c>
      <c r="C1651" s="251">
        <v>452.35</v>
      </c>
      <c r="D1651" s="251">
        <f t="shared" si="53"/>
        <v>0.36434926858694017</v>
      </c>
      <c r="E1651" s="251">
        <v>-7.4602303894678599E-3</v>
      </c>
      <c r="G1651" s="251">
        <v>1642</v>
      </c>
      <c r="H1651" s="251">
        <f t="shared" ca="1" si="54"/>
        <v>-5.7875741293883384E-2</v>
      </c>
    </row>
    <row r="1652" spans="2:8">
      <c r="B1652" s="252">
        <v>43214</v>
      </c>
      <c r="C1652" s="251">
        <v>331.55</v>
      </c>
      <c r="D1652" s="251">
        <f t="shared" si="53"/>
        <v>-0.53512338754907463</v>
      </c>
      <c r="E1652" s="251">
        <v>-7.4839095943720997E-3</v>
      </c>
      <c r="G1652" s="251">
        <v>1643</v>
      </c>
      <c r="H1652" s="251">
        <f t="shared" ca="1" si="54"/>
        <v>3.5840770304109565E-2</v>
      </c>
    </row>
    <row r="1653" spans="2:8">
      <c r="B1653" s="252">
        <v>45272</v>
      </c>
      <c r="C1653" s="251">
        <v>713.2</v>
      </c>
      <c r="D1653" s="251">
        <f t="shared" si="53"/>
        <v>0.19035300008345168</v>
      </c>
      <c r="E1653" s="251">
        <v>-7.4869882267805882E-3</v>
      </c>
      <c r="G1653" s="251">
        <v>1644</v>
      </c>
      <c r="H1653" s="251">
        <f t="shared" ca="1" si="54"/>
        <v>4.7905140410125523E-2</v>
      </c>
    </row>
    <row r="1654" spans="2:8">
      <c r="B1654" s="252">
        <v>45169</v>
      </c>
      <c r="C1654" s="251">
        <v>599.15</v>
      </c>
      <c r="D1654" s="251">
        <f t="shared" si="53"/>
        <v>-0.33670984169157531</v>
      </c>
      <c r="E1654" s="251">
        <v>-7.5204161076050241E-3</v>
      </c>
      <c r="G1654" s="251">
        <v>1645</v>
      </c>
      <c r="H1654" s="251">
        <f t="shared" ca="1" si="54"/>
        <v>-1.4181905005710963E-2</v>
      </c>
    </row>
    <row r="1655" spans="2:8">
      <c r="B1655" s="252">
        <v>45586</v>
      </c>
      <c r="C1655" s="251">
        <v>903.3</v>
      </c>
      <c r="D1655" s="251">
        <f t="shared" si="53"/>
        <v>1.0501588742623693</v>
      </c>
      <c r="E1655" s="251">
        <v>-7.5262319397901697E-3</v>
      </c>
      <c r="G1655" s="251">
        <v>1646</v>
      </c>
      <c r="H1655" s="251">
        <f t="shared" ca="1" si="54"/>
        <v>-3.1919241369442089E-2</v>
      </c>
    </row>
    <row r="1656" spans="2:8">
      <c r="B1656" s="252">
        <v>42846</v>
      </c>
      <c r="C1656" s="251">
        <v>440.6</v>
      </c>
      <c r="D1656" s="251">
        <f t="shared" si="53"/>
        <v>-0.55309869155086722</v>
      </c>
      <c r="E1656" s="251">
        <v>-7.5458948079737947E-3</v>
      </c>
      <c r="G1656" s="251">
        <v>1647</v>
      </c>
      <c r="H1656" s="251">
        <f t="shared" ca="1" si="54"/>
        <v>-1.5680554366392346E-2</v>
      </c>
    </row>
    <row r="1657" spans="2:8">
      <c r="B1657" s="252">
        <v>45461</v>
      </c>
      <c r="C1657" s="251">
        <v>985.9</v>
      </c>
      <c r="D1657" s="251">
        <f t="shared" si="53"/>
        <v>1.9562218890554721</v>
      </c>
      <c r="E1657" s="251">
        <v>-7.5498288705456015E-3</v>
      </c>
      <c r="G1657" s="251">
        <v>1648</v>
      </c>
      <c r="H1657" s="251">
        <f t="shared" ca="1" si="54"/>
        <v>-3.7113919954607784E-2</v>
      </c>
    </row>
    <row r="1658" spans="2:8">
      <c r="B1658" s="252">
        <v>43223</v>
      </c>
      <c r="C1658" s="251">
        <v>333.5</v>
      </c>
      <c r="D1658" s="251">
        <f t="shared" si="53"/>
        <v>-0.23405525826232751</v>
      </c>
      <c r="E1658" s="251">
        <v>-7.5881565243267708E-3</v>
      </c>
      <c r="G1658" s="251">
        <v>1649</v>
      </c>
      <c r="H1658" s="251">
        <f t="shared" ca="1" si="54"/>
        <v>1.877837060385391E-2</v>
      </c>
    </row>
    <row r="1659" spans="2:8">
      <c r="B1659" s="252">
        <v>44966</v>
      </c>
      <c r="C1659" s="251">
        <v>435.41</v>
      </c>
      <c r="D1659" s="251">
        <f t="shared" si="53"/>
        <v>-6.9557227113428405E-2</v>
      </c>
      <c r="E1659" s="251">
        <v>-7.6125356125355554E-3</v>
      </c>
      <c r="G1659" s="251">
        <v>1650</v>
      </c>
      <c r="H1659" s="251">
        <f t="shared" ca="1" si="54"/>
        <v>-9.4996720187191901E-3</v>
      </c>
    </row>
    <row r="1660" spans="2:8">
      <c r="B1660" s="252">
        <v>45035</v>
      </c>
      <c r="C1660" s="251">
        <v>467.96</v>
      </c>
      <c r="D1660" s="251">
        <f t="shared" si="53"/>
        <v>0.35581631174851519</v>
      </c>
      <c r="E1660" s="251">
        <v>-7.6131905418302019E-3</v>
      </c>
      <c r="G1660" s="251">
        <v>1651</v>
      </c>
      <c r="H1660" s="251">
        <f t="shared" ca="1" si="54"/>
        <v>1.8923973985710277E-2</v>
      </c>
    </row>
    <row r="1661" spans="2:8">
      <c r="B1661" s="252">
        <v>43167</v>
      </c>
      <c r="C1661" s="251">
        <v>345.15</v>
      </c>
      <c r="D1661" s="251">
        <f t="shared" si="53"/>
        <v>0.51647627416520203</v>
      </c>
      <c r="E1661" s="251">
        <v>-7.6193214491087806E-3</v>
      </c>
      <c r="G1661" s="251">
        <v>1652</v>
      </c>
      <c r="H1661" s="251">
        <f t="shared" ca="1" si="54"/>
        <v>-1.9699379698492402E-2</v>
      </c>
    </row>
    <row r="1662" spans="2:8">
      <c r="B1662" s="252">
        <v>43376</v>
      </c>
      <c r="C1662" s="251">
        <v>227.6</v>
      </c>
      <c r="D1662" s="251">
        <f t="shared" si="53"/>
        <v>-0.41596099563766997</v>
      </c>
      <c r="E1662" s="251">
        <v>-7.6302594288205801E-3</v>
      </c>
      <c r="G1662" s="251">
        <v>1653</v>
      </c>
      <c r="H1662" s="251">
        <f t="shared" ca="1" si="54"/>
        <v>-1.8329954124579013E-2</v>
      </c>
    </row>
    <row r="1663" spans="2:8">
      <c r="B1663" s="252">
        <v>42507</v>
      </c>
      <c r="C1663" s="251">
        <v>389.7</v>
      </c>
      <c r="D1663" s="251">
        <f t="shared" si="53"/>
        <v>-0.60056988233364772</v>
      </c>
      <c r="E1663" s="251">
        <v>-7.6394194041252868E-3</v>
      </c>
      <c r="G1663" s="251">
        <v>1654</v>
      </c>
      <c r="H1663" s="251">
        <f t="shared" ca="1" si="54"/>
        <v>-1.6215889908257671E-2</v>
      </c>
    </row>
    <row r="1664" spans="2:8">
      <c r="B1664" s="252">
        <v>45378</v>
      </c>
      <c r="C1664" s="251">
        <v>975.64</v>
      </c>
      <c r="D1664" s="251">
        <f t="shared" si="53"/>
        <v>1.0512583310556525</v>
      </c>
      <c r="E1664" s="251">
        <v>-7.6588992747947688E-3</v>
      </c>
      <c r="G1664" s="251">
        <v>1655</v>
      </c>
      <c r="H1664" s="251">
        <f t="shared" ca="1" si="54"/>
        <v>3.1254358475544176E-2</v>
      </c>
    </row>
    <row r="1665" spans="2:8">
      <c r="B1665" s="252">
        <v>45051</v>
      </c>
      <c r="C1665" s="251">
        <v>475.63</v>
      </c>
      <c r="D1665" s="251">
        <f t="shared" si="53"/>
        <v>1.6387239944521497</v>
      </c>
      <c r="E1665" s="251">
        <v>-7.6984060752732994E-3</v>
      </c>
      <c r="G1665" s="251">
        <v>1656</v>
      </c>
      <c r="H1665" s="251">
        <f t="shared" ca="1" si="54"/>
        <v>9.9553845012952079E-3</v>
      </c>
    </row>
    <row r="1666" spans="2:8">
      <c r="B1666" s="252">
        <v>43500</v>
      </c>
      <c r="C1666" s="251">
        <v>180.25</v>
      </c>
      <c r="D1666" s="251">
        <f t="shared" si="53"/>
        <v>-0.61098521635912384</v>
      </c>
      <c r="E1666" s="251">
        <v>-7.7071290944123625E-3</v>
      </c>
      <c r="G1666" s="251">
        <v>1657</v>
      </c>
      <c r="H1666" s="251">
        <f t="shared" ca="1" si="54"/>
        <v>8.9828870663095951E-3</v>
      </c>
    </row>
    <row r="1667" spans="2:8">
      <c r="B1667" s="252">
        <v>42732</v>
      </c>
      <c r="C1667" s="251">
        <v>463.35</v>
      </c>
      <c r="D1667" s="251">
        <f t="shared" si="53"/>
        <v>0.50024283632831468</v>
      </c>
      <c r="E1667" s="251">
        <v>-7.709604882749686E-3</v>
      </c>
      <c r="G1667" s="251">
        <v>1658</v>
      </c>
      <c r="H1667" s="251">
        <f t="shared" ca="1" si="54"/>
        <v>-2.4164436073833839E-2</v>
      </c>
    </row>
    <row r="1668" spans="2:8">
      <c r="B1668" s="252">
        <v>44396</v>
      </c>
      <c r="C1668" s="251">
        <v>308.85000000000002</v>
      </c>
      <c r="D1668" s="251">
        <f t="shared" si="53"/>
        <v>-0.38304035157810623</v>
      </c>
      <c r="E1668" s="251">
        <v>-7.7108433734939027E-3</v>
      </c>
      <c r="G1668" s="251">
        <v>1659</v>
      </c>
      <c r="H1668" s="251">
        <f t="shared" ca="1" si="54"/>
        <v>-3.590212875002903E-2</v>
      </c>
    </row>
    <row r="1669" spans="2:8">
      <c r="B1669" s="252">
        <v>44596</v>
      </c>
      <c r="C1669" s="251">
        <v>500.6</v>
      </c>
      <c r="D1669" s="251">
        <f t="shared" si="53"/>
        <v>0.13607480029048666</v>
      </c>
      <c r="E1669" s="251">
        <v>-7.7304261645192813E-3</v>
      </c>
      <c r="G1669" s="251">
        <v>1660</v>
      </c>
      <c r="H1669" s="251">
        <f t="shared" ca="1" si="54"/>
        <v>-5.1017054009025127E-2</v>
      </c>
    </row>
    <row r="1670" spans="2:8">
      <c r="B1670" s="252">
        <v>44963</v>
      </c>
      <c r="C1670" s="251">
        <v>440.64</v>
      </c>
      <c r="D1670" s="251">
        <f t="shared" si="53"/>
        <v>3.2185523541813095E-2</v>
      </c>
      <c r="E1670" s="251">
        <v>-7.7463520086470854E-3</v>
      </c>
      <c r="G1670" s="251">
        <v>1661</v>
      </c>
      <c r="H1670" s="251">
        <f t="shared" ca="1" si="54"/>
        <v>2.364073010905425E-2</v>
      </c>
    </row>
    <row r="1671" spans="2:8">
      <c r="B1671" s="252">
        <v>42920</v>
      </c>
      <c r="C1671" s="251">
        <v>426.9</v>
      </c>
      <c r="D1671" s="251">
        <f t="shared" si="53"/>
        <v>-7.9599844767366687E-2</v>
      </c>
      <c r="E1671" s="251">
        <v>-7.7861708309123132E-3</v>
      </c>
      <c r="G1671" s="251">
        <v>1662</v>
      </c>
      <c r="H1671" s="251">
        <f t="shared" ca="1" si="54"/>
        <v>-1.6262878993839314E-3</v>
      </c>
    </row>
    <row r="1672" spans="2:8">
      <c r="B1672" s="252">
        <v>44778</v>
      </c>
      <c r="C1672" s="251">
        <v>463.82</v>
      </c>
      <c r="D1672" s="251">
        <f t="shared" si="53"/>
        <v>0.2373482726423902</v>
      </c>
      <c r="E1672" s="251">
        <v>-7.7867625037436067E-3</v>
      </c>
      <c r="G1672" s="251">
        <v>1663</v>
      </c>
      <c r="H1672" s="251">
        <f t="shared" ca="1" si="54"/>
        <v>-1.2960265475037052E-2</v>
      </c>
    </row>
    <row r="1673" spans="2:8">
      <c r="B1673" s="252">
        <v>43139</v>
      </c>
      <c r="C1673" s="251">
        <v>374.85</v>
      </c>
      <c r="D1673" s="251">
        <f t="shared" si="53"/>
        <v>0.68965517241379326</v>
      </c>
      <c r="E1673" s="251">
        <v>-7.8083642138697422E-3</v>
      </c>
      <c r="G1673" s="251">
        <v>1664</v>
      </c>
      <c r="H1673" s="251">
        <f t="shared" ca="1" si="54"/>
        <v>-7.71279531562014E-3</v>
      </c>
    </row>
    <row r="1674" spans="2:8">
      <c r="B1674" s="252">
        <v>43580</v>
      </c>
      <c r="C1674" s="251">
        <v>221.85</v>
      </c>
      <c r="D1674" s="251">
        <f t="shared" ref="D1674:D1737" si="55">(C1674-C1675)/C1675</f>
        <v>-0.71630071995805566</v>
      </c>
      <c r="E1674" s="251">
        <v>-7.8264758497316646E-3</v>
      </c>
      <c r="G1674" s="251">
        <v>1665</v>
      </c>
      <c r="H1674" s="251">
        <f t="shared" ca="1" si="54"/>
        <v>-3.9714068032633595E-2</v>
      </c>
    </row>
    <row r="1675" spans="2:8">
      <c r="B1675" s="252">
        <v>45293</v>
      </c>
      <c r="C1675" s="251">
        <v>781.99</v>
      </c>
      <c r="D1675" s="251">
        <f t="shared" si="55"/>
        <v>1.3325577926920209</v>
      </c>
      <c r="E1675" s="251">
        <v>-7.8409480188283628E-3</v>
      </c>
      <c r="G1675" s="251">
        <v>1666</v>
      </c>
      <c r="H1675" s="251">
        <f t="shared" ref="H1675:H1738" ca="1" si="56">_xlfn.NORM.INV(RAND(),N$12,N$13)</f>
        <v>-8.2704603931701656E-4</v>
      </c>
    </row>
    <row r="1676" spans="2:8">
      <c r="B1676" s="252">
        <v>44370</v>
      </c>
      <c r="C1676" s="251">
        <v>335.25</v>
      </c>
      <c r="D1676" s="251">
        <f t="shared" si="55"/>
        <v>0.66501117457164149</v>
      </c>
      <c r="E1676" s="251">
        <v>-7.8425569695175414E-3</v>
      </c>
      <c r="G1676" s="251">
        <v>1667</v>
      </c>
      <c r="H1676" s="251">
        <f t="shared" ca="1" si="56"/>
        <v>-3.1360758617981779E-2</v>
      </c>
    </row>
    <row r="1677" spans="2:8">
      <c r="B1677" s="252">
        <v>43558</v>
      </c>
      <c r="C1677" s="251">
        <v>201.35</v>
      </c>
      <c r="D1677" s="251">
        <f t="shared" si="55"/>
        <v>-0.70346097201767299</v>
      </c>
      <c r="E1677" s="251">
        <v>-7.8837152007883438E-3</v>
      </c>
      <c r="G1677" s="251">
        <v>1668</v>
      </c>
      <c r="H1677" s="251">
        <f t="shared" ca="1" si="56"/>
        <v>-1.0224780017424899E-2</v>
      </c>
    </row>
    <row r="1678" spans="2:8">
      <c r="B1678" s="252">
        <v>45854</v>
      </c>
      <c r="C1678" s="251">
        <v>679</v>
      </c>
      <c r="D1678" s="251">
        <f t="shared" si="55"/>
        <v>1.0181304800118889</v>
      </c>
      <c r="E1678" s="251">
        <v>-7.8901227352425156E-3</v>
      </c>
      <c r="G1678" s="251">
        <v>1669</v>
      </c>
      <c r="H1678" s="251">
        <f t="shared" ca="1" si="56"/>
        <v>1.4627974746432499E-2</v>
      </c>
    </row>
    <row r="1679" spans="2:8">
      <c r="B1679" s="252">
        <v>43207</v>
      </c>
      <c r="C1679" s="251">
        <v>336.45</v>
      </c>
      <c r="D1679" s="251">
        <f t="shared" si="55"/>
        <v>-0.16740905716406837</v>
      </c>
      <c r="E1679" s="251">
        <v>-7.9610791685094766E-3</v>
      </c>
      <c r="G1679" s="251">
        <v>1670</v>
      </c>
      <c r="H1679" s="251">
        <f t="shared" ca="1" si="56"/>
        <v>3.8539773105640577E-3</v>
      </c>
    </row>
    <row r="1680" spans="2:8">
      <c r="B1680" s="252">
        <v>42480</v>
      </c>
      <c r="C1680" s="251">
        <v>404.1</v>
      </c>
      <c r="D1680" s="251">
        <f t="shared" si="55"/>
        <v>-0.3138986043668715</v>
      </c>
      <c r="E1680" s="251">
        <v>-7.9783969559346999E-3</v>
      </c>
      <c r="G1680" s="251">
        <v>1671</v>
      </c>
      <c r="H1680" s="251">
        <f t="shared" ca="1" si="56"/>
        <v>3.3782349491015037E-2</v>
      </c>
    </row>
    <row r="1681" spans="2:8">
      <c r="B1681" s="252">
        <v>45110</v>
      </c>
      <c r="C1681" s="251">
        <v>588.98</v>
      </c>
      <c r="D1681" s="251">
        <f t="shared" si="55"/>
        <v>4.5933523266856602</v>
      </c>
      <c r="E1681" s="251">
        <v>-7.9835612746749461E-3</v>
      </c>
      <c r="G1681" s="251">
        <v>1672</v>
      </c>
      <c r="H1681" s="251">
        <f t="shared" ca="1" si="56"/>
        <v>-3.2341025570382043E-2</v>
      </c>
    </row>
    <row r="1682" spans="2:8">
      <c r="B1682" s="252">
        <v>43994</v>
      </c>
      <c r="C1682" s="251">
        <v>105.3</v>
      </c>
      <c r="D1682" s="251">
        <f t="shared" si="55"/>
        <v>-0.75269499048826882</v>
      </c>
      <c r="E1682" s="251">
        <v>-8.0075365049459106E-3</v>
      </c>
      <c r="G1682" s="251">
        <v>1673</v>
      </c>
      <c r="H1682" s="251">
        <f t="shared" ca="1" si="56"/>
        <v>2.930414459148091E-2</v>
      </c>
    </row>
    <row r="1683" spans="2:8">
      <c r="B1683" s="252">
        <v>44755</v>
      </c>
      <c r="C1683" s="251">
        <v>425.79</v>
      </c>
      <c r="D1683" s="251">
        <f t="shared" si="55"/>
        <v>4.6552783581172416E-2</v>
      </c>
      <c r="E1683" s="251">
        <v>-8.0143512801994204E-3</v>
      </c>
      <c r="G1683" s="251">
        <v>1674</v>
      </c>
      <c r="H1683" s="251">
        <f t="shared" ca="1" si="56"/>
        <v>-2.2778421019603368E-2</v>
      </c>
    </row>
    <row r="1684" spans="2:8">
      <c r="B1684" s="252">
        <v>43081</v>
      </c>
      <c r="C1684" s="251">
        <v>406.85</v>
      </c>
      <c r="D1684" s="251">
        <f t="shared" si="55"/>
        <v>-9.2460405978139606E-2</v>
      </c>
      <c r="E1684" s="251">
        <v>-8.0458368889429598E-3</v>
      </c>
      <c r="G1684" s="251">
        <v>1675</v>
      </c>
      <c r="H1684" s="251">
        <f t="shared" ca="1" si="56"/>
        <v>1.7066133629160807E-2</v>
      </c>
    </row>
    <row r="1685" spans="2:8">
      <c r="B1685" s="252">
        <v>42901</v>
      </c>
      <c r="C1685" s="251">
        <v>448.3</v>
      </c>
      <c r="D1685" s="251">
        <f t="shared" si="55"/>
        <v>-0.26731605269179226</v>
      </c>
      <c r="E1685" s="251">
        <v>-8.076114614448451E-3</v>
      </c>
      <c r="G1685" s="251">
        <v>1676</v>
      </c>
      <c r="H1685" s="251">
        <f t="shared" ca="1" si="56"/>
        <v>-4.8253632738848959E-2</v>
      </c>
    </row>
    <row r="1686" spans="2:8">
      <c r="B1686" s="252">
        <v>45155</v>
      </c>
      <c r="C1686" s="251">
        <v>611.86</v>
      </c>
      <c r="D1686" s="251">
        <f t="shared" si="55"/>
        <v>1.0001961425302388</v>
      </c>
      <c r="E1686" s="251">
        <v>-8.0894869092972502E-3</v>
      </c>
      <c r="G1686" s="251">
        <v>1677</v>
      </c>
      <c r="H1686" s="251">
        <f t="shared" ca="1" si="56"/>
        <v>-3.2603180363194005E-3</v>
      </c>
    </row>
    <row r="1687" spans="2:8">
      <c r="B1687" s="252">
        <v>43265</v>
      </c>
      <c r="C1687" s="251">
        <v>305.89999999999998</v>
      </c>
      <c r="D1687" s="251">
        <f t="shared" si="55"/>
        <v>4.3493092273580079E-2</v>
      </c>
      <c r="E1687" s="251">
        <v>-8.1063553826199748E-3</v>
      </c>
      <c r="G1687" s="251">
        <v>1678</v>
      </c>
      <c r="H1687" s="251">
        <f t="shared" ca="1" si="56"/>
        <v>1.4458115567203967E-2</v>
      </c>
    </row>
    <row r="1688" spans="2:8">
      <c r="B1688" s="252">
        <v>44403</v>
      </c>
      <c r="C1688" s="251">
        <v>293.14999999999998</v>
      </c>
      <c r="D1688" s="251">
        <f t="shared" si="55"/>
        <v>0.71834701055099637</v>
      </c>
      <c r="E1688" s="251">
        <v>-8.1204533919811677E-3</v>
      </c>
      <c r="G1688" s="251">
        <v>1679</v>
      </c>
      <c r="H1688" s="251">
        <f t="shared" ca="1" si="56"/>
        <v>-2.6390906835231914E-3</v>
      </c>
    </row>
    <row r="1689" spans="2:8">
      <c r="B1689" s="252">
        <v>43782</v>
      </c>
      <c r="C1689" s="251">
        <v>170.6</v>
      </c>
      <c r="D1689" s="251">
        <f t="shared" si="55"/>
        <v>-0.57381963527354485</v>
      </c>
      <c r="E1689" s="251">
        <v>-8.1395348837209631E-3</v>
      </c>
      <c r="G1689" s="251">
        <v>1680</v>
      </c>
      <c r="H1689" s="251">
        <f t="shared" ca="1" si="56"/>
        <v>3.7394152935754855E-2</v>
      </c>
    </row>
    <row r="1690" spans="2:8">
      <c r="B1690" s="252">
        <v>43125</v>
      </c>
      <c r="C1690" s="251">
        <v>400.3</v>
      </c>
      <c r="D1690" s="251">
        <f t="shared" si="55"/>
        <v>-0.34958160695426116</v>
      </c>
      <c r="E1690" s="251">
        <v>-8.1764122893954686E-3</v>
      </c>
      <c r="G1690" s="251">
        <v>1681</v>
      </c>
      <c r="H1690" s="251">
        <f t="shared" ca="1" si="56"/>
        <v>-1.4867653737355912E-2</v>
      </c>
    </row>
    <row r="1691" spans="2:8">
      <c r="B1691" s="252">
        <v>45208</v>
      </c>
      <c r="C1691" s="251">
        <v>615.45000000000005</v>
      </c>
      <c r="D1691" s="251">
        <f t="shared" si="55"/>
        <v>-0.35029769445148207</v>
      </c>
      <c r="E1691" s="251">
        <v>-8.1865502070809261E-3</v>
      </c>
      <c r="G1691" s="251">
        <v>1682</v>
      </c>
      <c r="H1691" s="251">
        <f t="shared" ca="1" si="56"/>
        <v>-7.8941107869555487E-3</v>
      </c>
    </row>
    <row r="1692" spans="2:8">
      <c r="B1692" s="252">
        <v>45351</v>
      </c>
      <c r="C1692" s="251">
        <v>947.28</v>
      </c>
      <c r="D1692" s="251">
        <f t="shared" si="55"/>
        <v>1.1488068233372652</v>
      </c>
      <c r="E1692" s="251">
        <v>-8.1876243325306776E-3</v>
      </c>
      <c r="G1692" s="251">
        <v>1683</v>
      </c>
      <c r="H1692" s="251">
        <f t="shared" ca="1" si="56"/>
        <v>1.9953257069591182E-2</v>
      </c>
    </row>
    <row r="1693" spans="2:8">
      <c r="B1693" s="252">
        <v>44812</v>
      </c>
      <c r="C1693" s="251">
        <v>440.84</v>
      </c>
      <c r="D1693" s="251">
        <f t="shared" si="55"/>
        <v>0.17541661111851742</v>
      </c>
      <c r="E1693" s="251">
        <v>-8.1893448524119044E-3</v>
      </c>
      <c r="G1693" s="251">
        <v>1684</v>
      </c>
      <c r="H1693" s="251">
        <f t="shared" ca="1" si="56"/>
        <v>-2.0824147013556556E-2</v>
      </c>
    </row>
    <row r="1694" spans="2:8">
      <c r="B1694" s="252">
        <v>42986</v>
      </c>
      <c r="C1694" s="251">
        <v>375.05</v>
      </c>
      <c r="D1694" s="251">
        <f t="shared" si="55"/>
        <v>-0.25776766277458935</v>
      </c>
      <c r="E1694" s="251">
        <v>-8.197805103794701E-3</v>
      </c>
      <c r="G1694" s="251">
        <v>1685</v>
      </c>
      <c r="H1694" s="251">
        <f t="shared" ca="1" si="56"/>
        <v>-9.9778200642805189E-4</v>
      </c>
    </row>
    <row r="1695" spans="2:8">
      <c r="B1695" s="252">
        <v>42779</v>
      </c>
      <c r="C1695" s="251">
        <v>505.3</v>
      </c>
      <c r="D1695" s="251">
        <f t="shared" si="55"/>
        <v>-0.28247873564034476</v>
      </c>
      <c r="E1695" s="251">
        <v>-8.3406927681287414E-3</v>
      </c>
      <c r="G1695" s="251">
        <v>1686</v>
      </c>
      <c r="H1695" s="251">
        <f t="shared" ca="1" si="56"/>
        <v>4.3327106559567008E-2</v>
      </c>
    </row>
    <row r="1696" spans="2:8">
      <c r="B1696" s="252">
        <v>45260</v>
      </c>
      <c r="C1696" s="251">
        <v>704.23</v>
      </c>
      <c r="D1696" s="251">
        <f t="shared" si="55"/>
        <v>6.5143081856131727E-2</v>
      </c>
      <c r="E1696" s="251">
        <v>-8.350230933873987E-3</v>
      </c>
      <c r="G1696" s="251">
        <v>1687</v>
      </c>
      <c r="H1696" s="251">
        <f t="shared" ca="1" si="56"/>
        <v>-6.1519030820646338E-2</v>
      </c>
    </row>
    <row r="1697" spans="2:8">
      <c r="B1697" s="252">
        <v>45219</v>
      </c>
      <c r="C1697" s="251">
        <v>661.16</v>
      </c>
      <c r="D1697" s="251">
        <f t="shared" si="55"/>
        <v>-0.3114638007164876</v>
      </c>
      <c r="E1697" s="251">
        <v>-8.3690794012659213E-3</v>
      </c>
      <c r="G1697" s="251">
        <v>1688</v>
      </c>
      <c r="H1697" s="251">
        <f t="shared" ca="1" si="56"/>
        <v>-3.6764462086976091E-2</v>
      </c>
    </row>
    <row r="1698" spans="2:8">
      <c r="B1698" s="252">
        <v>45401</v>
      </c>
      <c r="C1698" s="251">
        <v>960.24</v>
      </c>
      <c r="D1698" s="251">
        <f t="shared" si="55"/>
        <v>1.9027811366384524</v>
      </c>
      <c r="E1698" s="251">
        <v>-8.3853112478830226E-3</v>
      </c>
      <c r="G1698" s="251">
        <v>1689</v>
      </c>
      <c r="H1698" s="251">
        <f t="shared" ca="1" si="56"/>
        <v>-3.2636439501102579E-2</v>
      </c>
    </row>
    <row r="1699" spans="2:8">
      <c r="B1699" s="252">
        <v>43231</v>
      </c>
      <c r="C1699" s="251">
        <v>330.8</v>
      </c>
      <c r="D1699" s="251">
        <f t="shared" si="55"/>
        <v>-0.28959518952002572</v>
      </c>
      <c r="E1699" s="251">
        <v>-8.3932853717026707E-3</v>
      </c>
      <c r="G1699" s="251">
        <v>1690</v>
      </c>
      <c r="H1699" s="251">
        <f t="shared" ca="1" si="56"/>
        <v>1.187819750800847E-2</v>
      </c>
    </row>
    <row r="1700" spans="2:8">
      <c r="B1700" s="252">
        <v>42727</v>
      </c>
      <c r="C1700" s="251">
        <v>465.65</v>
      </c>
      <c r="D1700" s="251">
        <f t="shared" si="55"/>
        <v>4.6442424242424236</v>
      </c>
      <c r="E1700" s="251">
        <v>-8.4114139693357015E-3</v>
      </c>
      <c r="G1700" s="251">
        <v>1691</v>
      </c>
      <c r="H1700" s="251">
        <f t="shared" ca="1" si="56"/>
        <v>2.9093278403505739E-2</v>
      </c>
    </row>
    <row r="1701" spans="2:8">
      <c r="B1701" s="252">
        <v>43958</v>
      </c>
      <c r="C1701" s="251">
        <v>82.5</v>
      </c>
      <c r="D1701" s="251">
        <f t="shared" si="55"/>
        <v>-0.33225414811817078</v>
      </c>
      <c r="E1701" s="251">
        <v>-8.4134615384615728E-3</v>
      </c>
      <c r="G1701" s="251">
        <v>1692</v>
      </c>
      <c r="H1701" s="251">
        <f t="shared" ca="1" si="56"/>
        <v>4.1994414720692413E-3</v>
      </c>
    </row>
    <row r="1702" spans="2:8">
      <c r="B1702" s="252">
        <v>44060</v>
      </c>
      <c r="C1702" s="251">
        <v>123.55</v>
      </c>
      <c r="D1702" s="251">
        <f t="shared" si="55"/>
        <v>-0.67149694230257906</v>
      </c>
      <c r="E1702" s="251">
        <v>-8.4269662921348087E-3</v>
      </c>
      <c r="G1702" s="251">
        <v>1693</v>
      </c>
      <c r="H1702" s="251">
        <f t="shared" ca="1" si="56"/>
        <v>2.2874888780646436E-2</v>
      </c>
    </row>
    <row r="1703" spans="2:8">
      <c r="B1703" s="252">
        <v>42976</v>
      </c>
      <c r="C1703" s="251">
        <v>376.1</v>
      </c>
      <c r="D1703" s="251">
        <f t="shared" si="55"/>
        <v>0.12537402752842619</v>
      </c>
      <c r="E1703" s="251">
        <v>-8.4365937252833863E-3</v>
      </c>
      <c r="G1703" s="251">
        <v>1694</v>
      </c>
      <c r="H1703" s="251">
        <f t="shared" ca="1" si="56"/>
        <v>-5.883075931962576E-2</v>
      </c>
    </row>
    <row r="1704" spans="2:8">
      <c r="B1704" s="252">
        <v>42397</v>
      </c>
      <c r="C1704" s="251">
        <v>334.2</v>
      </c>
      <c r="D1704" s="251">
        <f t="shared" si="55"/>
        <v>0.97168141592920343</v>
      </c>
      <c r="E1704" s="251">
        <v>-8.4557187360926357E-3</v>
      </c>
      <c r="G1704" s="251">
        <v>1695</v>
      </c>
      <c r="H1704" s="251">
        <f t="shared" ca="1" si="56"/>
        <v>4.7473423060354868E-2</v>
      </c>
    </row>
    <row r="1705" spans="2:8">
      <c r="B1705" s="252">
        <v>43874</v>
      </c>
      <c r="C1705" s="251">
        <v>169.5</v>
      </c>
      <c r="D1705" s="251">
        <f t="shared" si="55"/>
        <v>-0.57180750284198567</v>
      </c>
      <c r="E1705" s="251">
        <v>-8.4820122842935875E-3</v>
      </c>
      <c r="G1705" s="251">
        <v>1696</v>
      </c>
      <c r="H1705" s="251">
        <f t="shared" ca="1" si="56"/>
        <v>2.3878142369729079E-2</v>
      </c>
    </row>
    <row r="1706" spans="2:8">
      <c r="B1706" s="252">
        <v>43130</v>
      </c>
      <c r="C1706" s="251">
        <v>395.85</v>
      </c>
      <c r="D1706" s="251">
        <f t="shared" si="55"/>
        <v>-5.0058793885435812E-2</v>
      </c>
      <c r="E1706" s="251">
        <v>-8.515967438947971E-3</v>
      </c>
      <c r="G1706" s="251">
        <v>1697</v>
      </c>
      <c r="H1706" s="251">
        <f t="shared" ca="1" si="56"/>
        <v>2.0272377496249331E-2</v>
      </c>
    </row>
    <row r="1707" spans="2:8">
      <c r="B1707" s="252">
        <v>44914</v>
      </c>
      <c r="C1707" s="251">
        <v>416.71</v>
      </c>
      <c r="D1707" s="251">
        <f t="shared" si="55"/>
        <v>2.4467328370554173</v>
      </c>
      <c r="E1707" s="251">
        <v>-8.5415179633595798E-3</v>
      </c>
      <c r="G1707" s="251">
        <v>1698</v>
      </c>
      <c r="H1707" s="251">
        <f t="shared" ca="1" si="56"/>
        <v>1.6844923845398967E-4</v>
      </c>
    </row>
    <row r="1708" spans="2:8">
      <c r="B1708" s="252">
        <v>43691</v>
      </c>
      <c r="C1708" s="251">
        <v>120.9</v>
      </c>
      <c r="D1708" s="251">
        <f t="shared" si="55"/>
        <v>-0.73590510932960518</v>
      </c>
      <c r="E1708" s="251">
        <v>-8.6100861008609857E-3</v>
      </c>
      <c r="G1708" s="251">
        <v>1699</v>
      </c>
      <c r="H1708" s="251">
        <f t="shared" ca="1" si="56"/>
        <v>2.6885532152350795E-3</v>
      </c>
    </row>
    <row r="1709" spans="2:8">
      <c r="B1709" s="252">
        <v>44798</v>
      </c>
      <c r="C1709" s="251">
        <v>457.79</v>
      </c>
      <c r="D1709" s="251">
        <f t="shared" si="55"/>
        <v>0.14048330842052828</v>
      </c>
      <c r="E1709" s="251">
        <v>-8.6190094635856841E-3</v>
      </c>
      <c r="G1709" s="251">
        <v>1700</v>
      </c>
      <c r="H1709" s="251">
        <f t="shared" ca="1" si="56"/>
        <v>1.9932657128391595E-2</v>
      </c>
    </row>
    <row r="1710" spans="2:8">
      <c r="B1710" s="252">
        <v>43006</v>
      </c>
      <c r="C1710" s="251">
        <v>401.4</v>
      </c>
      <c r="D1710" s="251">
        <f t="shared" si="55"/>
        <v>1.189852700490998</v>
      </c>
      <c r="E1710" s="251">
        <v>-8.644109656705359E-3</v>
      </c>
      <c r="G1710" s="251">
        <v>1701</v>
      </c>
      <c r="H1710" s="251">
        <f t="shared" ca="1" si="56"/>
        <v>-4.738005554630019E-3</v>
      </c>
    </row>
    <row r="1711" spans="2:8">
      <c r="B1711" s="252">
        <v>43483</v>
      </c>
      <c r="C1711" s="251">
        <v>183.3</v>
      </c>
      <c r="D1711" s="251">
        <f t="shared" si="55"/>
        <v>0.39179954441913462</v>
      </c>
      <c r="E1711" s="251">
        <v>-8.6533261222282009E-3</v>
      </c>
      <c r="G1711" s="251">
        <v>1702</v>
      </c>
      <c r="H1711" s="251">
        <f t="shared" ca="1" si="56"/>
        <v>6.3379786446828415E-2</v>
      </c>
    </row>
    <row r="1712" spans="2:8">
      <c r="B1712" s="252">
        <v>44103</v>
      </c>
      <c r="C1712" s="251">
        <v>131.69999999999999</v>
      </c>
      <c r="D1712" s="251">
        <f t="shared" si="55"/>
        <v>4.6483909415971351E-2</v>
      </c>
      <c r="E1712" s="251">
        <v>-8.6563793752352704E-3</v>
      </c>
      <c r="G1712" s="251">
        <v>1703</v>
      </c>
      <c r="H1712" s="251">
        <f t="shared" ca="1" si="56"/>
        <v>4.4634078451259085E-3</v>
      </c>
    </row>
    <row r="1713" spans="2:8">
      <c r="B1713" s="252">
        <v>43754</v>
      </c>
      <c r="C1713" s="251">
        <v>125.85</v>
      </c>
      <c r="D1713" s="251">
        <f t="shared" si="55"/>
        <v>-0.87123343735611603</v>
      </c>
      <c r="E1713" s="251">
        <v>-8.6648286727058575E-3</v>
      </c>
      <c r="G1713" s="251">
        <v>1704</v>
      </c>
      <c r="H1713" s="251">
        <f t="shared" ca="1" si="56"/>
        <v>-1.765435064428774E-2</v>
      </c>
    </row>
    <row r="1714" spans="2:8">
      <c r="B1714" s="252">
        <v>45462</v>
      </c>
      <c r="C1714" s="251">
        <v>977.35</v>
      </c>
      <c r="D1714" s="251">
        <f t="shared" si="55"/>
        <v>6.2567949554251004E-2</v>
      </c>
      <c r="E1714" s="251">
        <v>-8.6722791358149458E-3</v>
      </c>
      <c r="G1714" s="251">
        <v>1705</v>
      </c>
      <c r="H1714" s="251">
        <f t="shared" ca="1" si="56"/>
        <v>3.7563157883671559E-2</v>
      </c>
    </row>
    <row r="1715" spans="2:8">
      <c r="B1715" s="252">
        <v>45573</v>
      </c>
      <c r="C1715" s="251">
        <v>919.8</v>
      </c>
      <c r="D1715" s="251">
        <f t="shared" si="55"/>
        <v>4.0386195562859486</v>
      </c>
      <c r="E1715" s="251">
        <v>-8.6759713315730652E-3</v>
      </c>
      <c r="G1715" s="251">
        <v>1706</v>
      </c>
      <c r="H1715" s="251">
        <f t="shared" ca="1" si="56"/>
        <v>-1.9538779085446656E-2</v>
      </c>
    </row>
    <row r="1716" spans="2:8">
      <c r="B1716" s="252">
        <v>43426</v>
      </c>
      <c r="C1716" s="251">
        <v>182.55</v>
      </c>
      <c r="D1716" s="251">
        <f t="shared" si="55"/>
        <v>-0.55279274865262118</v>
      </c>
      <c r="E1716" s="251">
        <v>-8.6885691012761022E-3</v>
      </c>
      <c r="G1716" s="251">
        <v>1707</v>
      </c>
      <c r="H1716" s="251">
        <f t="shared" ca="1" si="56"/>
        <v>4.0760894440083371E-2</v>
      </c>
    </row>
    <row r="1717" spans="2:8">
      <c r="B1717" s="252">
        <v>43003</v>
      </c>
      <c r="C1717" s="251">
        <v>408.2</v>
      </c>
      <c r="D1717" s="251">
        <f t="shared" si="55"/>
        <v>-0.14243697478991599</v>
      </c>
      <c r="E1717" s="251">
        <v>-8.7421078193298269E-3</v>
      </c>
      <c r="G1717" s="251">
        <v>1708</v>
      </c>
      <c r="H1717" s="251">
        <f t="shared" ca="1" si="56"/>
        <v>7.9847162331340444E-3</v>
      </c>
    </row>
    <row r="1718" spans="2:8">
      <c r="B1718" s="252">
        <v>44559</v>
      </c>
      <c r="C1718" s="251">
        <v>476</v>
      </c>
      <c r="D1718" s="251">
        <f t="shared" si="55"/>
        <v>-4.3696634856855848E-2</v>
      </c>
      <c r="E1718" s="251">
        <v>-8.7463556851311713E-3</v>
      </c>
      <c r="G1718" s="251">
        <v>1709</v>
      </c>
      <c r="H1718" s="251">
        <f t="shared" ca="1" si="56"/>
        <v>4.3719241327488299E-2</v>
      </c>
    </row>
    <row r="1719" spans="2:8">
      <c r="B1719" s="252">
        <v>42741</v>
      </c>
      <c r="C1719" s="251">
        <v>497.75</v>
      </c>
      <c r="D1719" s="251">
        <f t="shared" si="55"/>
        <v>0.63169972135715446</v>
      </c>
      <c r="E1719" s="251">
        <v>-8.7623220153340182E-3</v>
      </c>
      <c r="G1719" s="251">
        <v>1710</v>
      </c>
      <c r="H1719" s="251">
        <f t="shared" ca="1" si="56"/>
        <v>-3.7493209594545086E-2</v>
      </c>
    </row>
    <row r="1720" spans="2:8">
      <c r="B1720" s="252">
        <v>44291</v>
      </c>
      <c r="C1720" s="251">
        <v>305.05</v>
      </c>
      <c r="D1720" s="251">
        <f t="shared" si="55"/>
        <v>0.87954405422057913</v>
      </c>
      <c r="E1720" s="251">
        <v>-8.7733549959382248E-3</v>
      </c>
      <c r="G1720" s="251">
        <v>1711</v>
      </c>
      <c r="H1720" s="251">
        <f t="shared" ca="1" si="56"/>
        <v>1.6001526617076992E-2</v>
      </c>
    </row>
    <row r="1721" spans="2:8">
      <c r="B1721" s="252">
        <v>43649</v>
      </c>
      <c r="C1721" s="251">
        <v>162.30000000000001</v>
      </c>
      <c r="D1721" s="251">
        <f t="shared" si="55"/>
        <v>-0.50608642726719411</v>
      </c>
      <c r="E1721" s="251">
        <v>-8.8549618320609997E-3</v>
      </c>
      <c r="G1721" s="251">
        <v>1712</v>
      </c>
      <c r="H1721" s="251">
        <f t="shared" ca="1" si="56"/>
        <v>-5.480084930269846E-3</v>
      </c>
    </row>
    <row r="1722" spans="2:8">
      <c r="B1722" s="252">
        <v>43215</v>
      </c>
      <c r="C1722" s="251">
        <v>328.6</v>
      </c>
      <c r="D1722" s="251">
        <f t="shared" si="55"/>
        <v>0.23048118329900771</v>
      </c>
      <c r="E1722" s="251">
        <v>-8.8976021716181217E-3</v>
      </c>
      <c r="G1722" s="251">
        <v>1713</v>
      </c>
      <c r="H1722" s="251">
        <f t="shared" ca="1" si="56"/>
        <v>-4.0678355395300847E-2</v>
      </c>
    </row>
    <row r="1723" spans="2:8">
      <c r="B1723" s="252">
        <v>43285</v>
      </c>
      <c r="C1723" s="251">
        <v>267.05</v>
      </c>
      <c r="D1723" s="251">
        <f t="shared" si="55"/>
        <v>6.6706610744957123E-2</v>
      </c>
      <c r="E1723" s="251">
        <v>-8.9070328446835302E-3</v>
      </c>
      <c r="G1723" s="251">
        <v>1714</v>
      </c>
      <c r="H1723" s="251">
        <f t="shared" ca="1" si="56"/>
        <v>-3.6024731702369611E-2</v>
      </c>
    </row>
    <row r="1724" spans="2:8">
      <c r="B1724" s="252">
        <v>43364</v>
      </c>
      <c r="C1724" s="251">
        <v>250.35</v>
      </c>
      <c r="D1724" s="251">
        <f t="shared" si="55"/>
        <v>-0.46214497486357581</v>
      </c>
      <c r="E1724" s="251">
        <v>-8.9073634204275536E-3</v>
      </c>
      <c r="G1724" s="251">
        <v>1715</v>
      </c>
      <c r="H1724" s="251">
        <f t="shared" ca="1" si="56"/>
        <v>3.0585484424974014E-2</v>
      </c>
    </row>
    <row r="1725" spans="2:8">
      <c r="B1725" s="252">
        <v>44805</v>
      </c>
      <c r="C1725" s="251">
        <v>465.46</v>
      </c>
      <c r="D1725" s="251">
        <f t="shared" si="55"/>
        <v>-0.23397462271448088</v>
      </c>
      <c r="E1725" s="251">
        <v>-8.9215373150218196E-3</v>
      </c>
      <c r="G1725" s="251">
        <v>1716</v>
      </c>
      <c r="H1725" s="251">
        <f t="shared" ca="1" si="56"/>
        <v>4.4556903375588012E-3</v>
      </c>
    </row>
    <row r="1726" spans="2:8">
      <c r="B1726" s="252">
        <v>45145</v>
      </c>
      <c r="C1726" s="251">
        <v>607.63</v>
      </c>
      <c r="D1726" s="251">
        <f t="shared" si="55"/>
        <v>0.82938431431582127</v>
      </c>
      <c r="E1726" s="251">
        <v>-8.9380372200747304E-3</v>
      </c>
      <c r="G1726" s="251">
        <v>1717</v>
      </c>
      <c r="H1726" s="251">
        <f t="shared" ca="1" si="56"/>
        <v>-1.1719638240302067E-2</v>
      </c>
    </row>
    <row r="1727" spans="2:8">
      <c r="B1727" s="252">
        <v>43228</v>
      </c>
      <c r="C1727" s="251">
        <v>332.15</v>
      </c>
      <c r="D1727" s="251">
        <f t="shared" si="55"/>
        <v>-0.56502095337873237</v>
      </c>
      <c r="E1727" s="251">
        <v>-8.9512158734894823E-3</v>
      </c>
      <c r="G1727" s="251">
        <v>1718</v>
      </c>
      <c r="H1727" s="251">
        <f t="shared" ca="1" si="56"/>
        <v>-7.5065021428539274E-3</v>
      </c>
    </row>
    <row r="1728" spans="2:8">
      <c r="B1728" s="252">
        <v>45672</v>
      </c>
      <c r="C1728" s="251">
        <v>763.6</v>
      </c>
      <c r="D1728" s="251">
        <f t="shared" si="55"/>
        <v>1.9442837863890494</v>
      </c>
      <c r="E1728" s="251">
        <v>-8.955223880596986E-3</v>
      </c>
      <c r="G1728" s="251">
        <v>1719</v>
      </c>
      <c r="H1728" s="251">
        <f t="shared" ca="1" si="56"/>
        <v>-8.7617212418584327E-3</v>
      </c>
    </row>
    <row r="1729" spans="2:8">
      <c r="B1729" s="252">
        <v>43342</v>
      </c>
      <c r="C1729" s="251">
        <v>259.35000000000002</v>
      </c>
      <c r="D1729" s="251">
        <f t="shared" si="55"/>
        <v>-0.47484053862508857</v>
      </c>
      <c r="E1729" s="251">
        <v>-8.9797478028275351E-3</v>
      </c>
      <c r="G1729" s="251">
        <v>1720</v>
      </c>
      <c r="H1729" s="251">
        <f t="shared" ca="1" si="56"/>
        <v>-1.7986340978633483E-2</v>
      </c>
    </row>
    <row r="1730" spans="2:8">
      <c r="B1730" s="252">
        <v>42607</v>
      </c>
      <c r="C1730" s="251">
        <v>493.85</v>
      </c>
      <c r="D1730" s="251">
        <f t="shared" si="55"/>
        <v>2.054100969188485E-2</v>
      </c>
      <c r="E1730" s="251">
        <v>-9.0297983345038624E-3</v>
      </c>
      <c r="G1730" s="251">
        <v>1721</v>
      </c>
      <c r="H1730" s="251">
        <f t="shared" ca="1" si="56"/>
        <v>4.319054581169041E-3</v>
      </c>
    </row>
    <row r="1731" spans="2:8">
      <c r="B1731" s="252">
        <v>44790</v>
      </c>
      <c r="C1731" s="251">
        <v>483.91</v>
      </c>
      <c r="D1731" s="251">
        <f t="shared" si="55"/>
        <v>0.16801834419502779</v>
      </c>
      <c r="E1731" s="251">
        <v>-9.0715485112830199E-3</v>
      </c>
      <c r="G1731" s="251">
        <v>1722</v>
      </c>
      <c r="H1731" s="251">
        <f t="shared" ca="1" si="56"/>
        <v>-4.5134358454224248E-2</v>
      </c>
    </row>
    <row r="1732" spans="2:8">
      <c r="B1732" s="252">
        <v>43053</v>
      </c>
      <c r="C1732" s="251">
        <v>414.3</v>
      </c>
      <c r="D1732" s="251">
        <f t="shared" si="55"/>
        <v>-3.6399581346668167E-2</v>
      </c>
      <c r="E1732" s="251">
        <v>-9.0887347524515934E-3</v>
      </c>
      <c r="G1732" s="251">
        <v>1723</v>
      </c>
      <c r="H1732" s="251">
        <f t="shared" ca="1" si="56"/>
        <v>-4.9394331308964118E-2</v>
      </c>
    </row>
    <row r="1733" spans="2:8">
      <c r="B1733" s="252">
        <v>43104</v>
      </c>
      <c r="C1733" s="251">
        <v>429.95</v>
      </c>
      <c r="D1733" s="251">
        <f t="shared" si="55"/>
        <v>2.7114190157668337E-2</v>
      </c>
      <c r="E1733" s="251">
        <v>-9.1034800645309714E-3</v>
      </c>
      <c r="G1733" s="251">
        <v>1724</v>
      </c>
      <c r="H1733" s="251">
        <f t="shared" ca="1" si="56"/>
        <v>-2.1607610384433595E-2</v>
      </c>
    </row>
    <row r="1734" spans="2:8">
      <c r="B1734" s="252">
        <v>43097</v>
      </c>
      <c r="C1734" s="251">
        <v>418.6</v>
      </c>
      <c r="D1734" s="251">
        <f t="shared" si="55"/>
        <v>0.18684434363481722</v>
      </c>
      <c r="E1734" s="251">
        <v>-9.1135045567521979E-3</v>
      </c>
      <c r="G1734" s="251">
        <v>1725</v>
      </c>
      <c r="H1734" s="251">
        <f t="shared" ca="1" si="56"/>
        <v>2.2228998078488178E-2</v>
      </c>
    </row>
    <row r="1735" spans="2:8">
      <c r="B1735" s="252">
        <v>44362</v>
      </c>
      <c r="C1735" s="251">
        <v>352.7</v>
      </c>
      <c r="D1735" s="251">
        <f t="shared" si="55"/>
        <v>-0.21482635796972396</v>
      </c>
      <c r="E1735" s="251">
        <v>-9.1304958561595727E-3</v>
      </c>
      <c r="G1735" s="251">
        <v>1726</v>
      </c>
      <c r="H1735" s="251">
        <f t="shared" ca="1" si="56"/>
        <v>2.1835342435621657E-2</v>
      </c>
    </row>
    <row r="1736" spans="2:8">
      <c r="B1736" s="252">
        <v>42842</v>
      </c>
      <c r="C1736" s="251">
        <v>449.2</v>
      </c>
      <c r="D1736" s="251">
        <f t="shared" si="55"/>
        <v>0.1222985633978763</v>
      </c>
      <c r="E1736" s="251">
        <v>-9.1540752178229483E-3</v>
      </c>
      <c r="G1736" s="251">
        <v>1727</v>
      </c>
      <c r="H1736" s="251">
        <f t="shared" ca="1" si="56"/>
        <v>-9.6117685661140123E-2</v>
      </c>
    </row>
    <row r="1737" spans="2:8">
      <c r="B1737" s="252">
        <v>42324</v>
      </c>
      <c r="C1737" s="251">
        <v>400.25</v>
      </c>
      <c r="D1737" s="251">
        <f t="shared" si="55"/>
        <v>-0.63985243172717865</v>
      </c>
      <c r="E1737" s="251">
        <v>-9.1595494491892287E-3</v>
      </c>
      <c r="G1737" s="251">
        <v>1728</v>
      </c>
      <c r="H1737" s="251">
        <f t="shared" ca="1" si="56"/>
        <v>5.4848910774825371E-2</v>
      </c>
    </row>
    <row r="1738" spans="2:8">
      <c r="B1738" s="252">
        <v>45534</v>
      </c>
      <c r="C1738" s="267">
        <v>1111.3499999999999</v>
      </c>
      <c r="D1738" s="251">
        <f t="shared" ref="D1738:D1801" si="57">(C1738-C1739)/C1739</f>
        <v>2.3244092132814833</v>
      </c>
      <c r="E1738" s="251">
        <v>-9.1829001916820582E-3</v>
      </c>
      <c r="G1738" s="251">
        <v>1729</v>
      </c>
      <c r="H1738" s="251">
        <f t="shared" ca="1" si="56"/>
        <v>-2.1963824372884966E-2</v>
      </c>
    </row>
    <row r="1739" spans="2:8">
      <c r="B1739" s="252">
        <v>44368</v>
      </c>
      <c r="C1739" s="251">
        <v>334.3</v>
      </c>
      <c r="D1739" s="251">
        <f t="shared" si="57"/>
        <v>-0.13873502511915489</v>
      </c>
      <c r="E1739" s="251">
        <v>-9.1879075281563905E-3</v>
      </c>
      <c r="G1739" s="251">
        <v>1730</v>
      </c>
      <c r="H1739" s="251">
        <f t="shared" ref="H1739:H1802" ca="1" si="58">_xlfn.NORM.INV(RAND(),N$12,N$13)</f>
        <v>1.6363472497120526E-2</v>
      </c>
    </row>
    <row r="1740" spans="2:8">
      <c r="B1740" s="252">
        <v>44692</v>
      </c>
      <c r="C1740" s="251">
        <v>388.15</v>
      </c>
      <c r="D1740" s="251">
        <f t="shared" si="57"/>
        <v>-0.42207763202954013</v>
      </c>
      <c r="E1740" s="251">
        <v>-9.1895341416720431E-3</v>
      </c>
      <c r="G1740" s="251">
        <v>1731</v>
      </c>
      <c r="H1740" s="251">
        <f t="shared" ca="1" si="58"/>
        <v>7.5494814745944317E-3</v>
      </c>
    </row>
    <row r="1741" spans="2:8">
      <c r="B1741" s="252">
        <v>45254</v>
      </c>
      <c r="C1741" s="251">
        <v>671.63</v>
      </c>
      <c r="D1741" s="251">
        <f t="shared" si="57"/>
        <v>1.5986844650802865</v>
      </c>
      <c r="E1741" s="251">
        <v>-9.1906883427256628E-3</v>
      </c>
      <c r="G1741" s="251">
        <v>1732</v>
      </c>
      <c r="H1741" s="251">
        <f t="shared" ca="1" si="58"/>
        <v>-3.8016807788899237E-2</v>
      </c>
    </row>
    <row r="1742" spans="2:8">
      <c r="B1742" s="252">
        <v>43315</v>
      </c>
      <c r="C1742" s="251">
        <v>258.45</v>
      </c>
      <c r="D1742" s="251">
        <f t="shared" si="57"/>
        <v>-0.38169856459330148</v>
      </c>
      <c r="E1742" s="251">
        <v>-9.2006900517540118E-3</v>
      </c>
      <c r="G1742" s="251">
        <v>1733</v>
      </c>
      <c r="H1742" s="251">
        <f t="shared" ca="1" si="58"/>
        <v>2.5732857131496957E-2</v>
      </c>
    </row>
    <row r="1743" spans="2:8">
      <c r="B1743" s="252">
        <v>43123</v>
      </c>
      <c r="C1743" s="251">
        <v>418</v>
      </c>
      <c r="D1743" s="251">
        <f t="shared" si="57"/>
        <v>-0.12277019937040923</v>
      </c>
      <c r="E1743" s="251">
        <v>-9.2438966579757708E-3</v>
      </c>
      <c r="G1743" s="251">
        <v>1734</v>
      </c>
      <c r="H1743" s="251">
        <f t="shared" ca="1" si="58"/>
        <v>4.1908752712569754E-3</v>
      </c>
    </row>
    <row r="1744" spans="2:8">
      <c r="B1744" s="252">
        <v>42811</v>
      </c>
      <c r="C1744" s="251">
        <v>476.5</v>
      </c>
      <c r="D1744" s="251">
        <f t="shared" si="57"/>
        <v>1.7881802223522529</v>
      </c>
      <c r="E1744" s="251">
        <v>-9.252521052084392E-3</v>
      </c>
      <c r="G1744" s="251">
        <v>1735</v>
      </c>
      <c r="H1744" s="251">
        <f t="shared" ca="1" si="58"/>
        <v>-5.5294376936090755E-3</v>
      </c>
    </row>
    <row r="1745" spans="2:8">
      <c r="B1745" s="252">
        <v>43460</v>
      </c>
      <c r="C1745" s="251">
        <v>170.9</v>
      </c>
      <c r="D1745" s="251">
        <f t="shared" si="57"/>
        <v>-0.83003480855295875</v>
      </c>
      <c r="E1745" s="251">
        <v>-9.2753623188405465E-3</v>
      </c>
      <c r="G1745" s="251">
        <v>1736</v>
      </c>
      <c r="H1745" s="251">
        <f t="shared" ca="1" si="58"/>
        <v>1.4937558834598436E-2</v>
      </c>
    </row>
    <row r="1746" spans="2:8">
      <c r="B1746" s="252">
        <v>45483</v>
      </c>
      <c r="C1746" s="267">
        <v>1005.5</v>
      </c>
      <c r="D1746" s="251">
        <f t="shared" si="57"/>
        <v>1.4403562847365485</v>
      </c>
      <c r="E1746" s="251">
        <v>-9.3108034878565896E-3</v>
      </c>
      <c r="G1746" s="251">
        <v>1737</v>
      </c>
      <c r="H1746" s="251">
        <f t="shared" ca="1" si="58"/>
        <v>1.3797320631618343E-2</v>
      </c>
    </row>
    <row r="1747" spans="2:8">
      <c r="B1747" s="252">
        <v>44904</v>
      </c>
      <c r="C1747" s="251">
        <v>412.03</v>
      </c>
      <c r="D1747" s="251">
        <f t="shared" si="57"/>
        <v>1.2884198833657314</v>
      </c>
      <c r="E1747" s="251">
        <v>-9.3527601461820611E-3</v>
      </c>
      <c r="G1747" s="251">
        <v>1738</v>
      </c>
      <c r="H1747" s="251">
        <f t="shared" ca="1" si="58"/>
        <v>-2.1538318853731454E-2</v>
      </c>
    </row>
    <row r="1748" spans="2:8">
      <c r="B1748" s="252">
        <v>43431</v>
      </c>
      <c r="C1748" s="251">
        <v>180.05</v>
      </c>
      <c r="D1748" s="251">
        <f t="shared" si="57"/>
        <v>-0.31695751138088013</v>
      </c>
      <c r="E1748" s="251">
        <v>-9.3535075653369392E-3</v>
      </c>
      <c r="G1748" s="251">
        <v>1739</v>
      </c>
      <c r="H1748" s="251">
        <f t="shared" ca="1" si="58"/>
        <v>-4.7821245012523404E-2</v>
      </c>
    </row>
    <row r="1749" spans="2:8">
      <c r="B1749" s="252">
        <v>43294</v>
      </c>
      <c r="C1749" s="251">
        <v>263.60000000000002</v>
      </c>
      <c r="D1749" s="251">
        <f t="shared" si="57"/>
        <v>-0.5044647053294482</v>
      </c>
      <c r="E1749" s="251">
        <v>-9.3949642991356629E-3</v>
      </c>
      <c r="G1749" s="251">
        <v>1740</v>
      </c>
      <c r="H1749" s="251">
        <f t="shared" ca="1" si="58"/>
        <v>6.0316604558273866E-3</v>
      </c>
    </row>
    <row r="1750" spans="2:8">
      <c r="B1750" s="252">
        <v>42673</v>
      </c>
      <c r="C1750" s="251">
        <v>531.95000000000005</v>
      </c>
      <c r="D1750" s="251">
        <f t="shared" si="57"/>
        <v>0.26972192385726235</v>
      </c>
      <c r="E1750" s="251">
        <v>-9.4040968342643475E-3</v>
      </c>
      <c r="G1750" s="251">
        <v>1741</v>
      </c>
      <c r="H1750" s="251">
        <f t="shared" ca="1" si="58"/>
        <v>-1.663791249651371E-2</v>
      </c>
    </row>
    <row r="1751" spans="2:8">
      <c r="B1751" s="252">
        <v>43118</v>
      </c>
      <c r="C1751" s="251">
        <v>418.95</v>
      </c>
      <c r="D1751" s="251">
        <f t="shared" si="57"/>
        <v>0.1992271361099183</v>
      </c>
      <c r="E1751" s="251">
        <v>-9.4573826693462593E-3</v>
      </c>
      <c r="G1751" s="251">
        <v>1742</v>
      </c>
      <c r="H1751" s="251">
        <f t="shared" ca="1" si="58"/>
        <v>-8.7225885403947826E-3</v>
      </c>
    </row>
    <row r="1752" spans="2:8">
      <c r="B1752" s="252">
        <v>44363</v>
      </c>
      <c r="C1752" s="251">
        <v>349.35</v>
      </c>
      <c r="D1752" s="251">
        <f t="shared" si="57"/>
        <v>0.92161716171617158</v>
      </c>
      <c r="E1752" s="251">
        <v>-9.4981570740004708E-3</v>
      </c>
      <c r="G1752" s="251">
        <v>1743</v>
      </c>
      <c r="H1752" s="251">
        <f t="shared" ca="1" si="58"/>
        <v>-1.6060216761609365E-2</v>
      </c>
    </row>
    <row r="1753" spans="2:8">
      <c r="B1753" s="252">
        <v>44173</v>
      </c>
      <c r="C1753" s="251">
        <v>181.8</v>
      </c>
      <c r="D1753" s="251">
        <f t="shared" si="57"/>
        <v>0.75144508670520249</v>
      </c>
      <c r="E1753" s="251">
        <v>-9.5341868700626522E-3</v>
      </c>
      <c r="G1753" s="251">
        <v>1744</v>
      </c>
      <c r="H1753" s="251">
        <f t="shared" ca="1" si="58"/>
        <v>2.8437059265371302E-2</v>
      </c>
    </row>
    <row r="1754" spans="2:8">
      <c r="B1754" s="252">
        <v>44007</v>
      </c>
      <c r="C1754" s="251">
        <v>103.8</v>
      </c>
      <c r="D1754" s="251">
        <f t="shared" si="57"/>
        <v>-0.82792918241495916</v>
      </c>
      <c r="E1754" s="251">
        <v>-9.5419847328244278E-3</v>
      </c>
      <c r="G1754" s="251">
        <v>1745</v>
      </c>
      <c r="H1754" s="251">
        <f t="shared" ca="1" si="58"/>
        <v>1.124010024599539E-2</v>
      </c>
    </row>
    <row r="1755" spans="2:8">
      <c r="B1755" s="252">
        <v>45163</v>
      </c>
      <c r="C1755" s="251">
        <v>603.24</v>
      </c>
      <c r="D1755" s="251">
        <f t="shared" si="57"/>
        <v>1.0476578411405295</v>
      </c>
      <c r="E1755" s="251">
        <v>-9.5719703810728494E-3</v>
      </c>
      <c r="G1755" s="251">
        <v>1746</v>
      </c>
      <c r="H1755" s="251">
        <f t="shared" ca="1" si="58"/>
        <v>8.6141444783553582E-4</v>
      </c>
    </row>
    <row r="1756" spans="2:8">
      <c r="B1756" s="252">
        <v>44446</v>
      </c>
      <c r="C1756" s="251">
        <v>294.60000000000002</v>
      </c>
      <c r="D1756" s="251">
        <f t="shared" si="57"/>
        <v>-0.30090175605125763</v>
      </c>
      <c r="E1756" s="251">
        <v>-9.5814422592031129E-3</v>
      </c>
      <c r="G1756" s="251">
        <v>1747</v>
      </c>
      <c r="H1756" s="251">
        <f t="shared" ca="1" si="58"/>
        <v>5.6254470055734302E-3</v>
      </c>
    </row>
    <row r="1757" spans="2:8">
      <c r="B1757" s="252">
        <v>43066</v>
      </c>
      <c r="C1757" s="251">
        <v>421.4</v>
      </c>
      <c r="D1757" s="251">
        <f t="shared" si="57"/>
        <v>0.39098861198217527</v>
      </c>
      <c r="E1757" s="251">
        <v>-9.6357226792009934E-3</v>
      </c>
      <c r="G1757" s="251">
        <v>1748</v>
      </c>
      <c r="H1757" s="251">
        <f t="shared" ca="1" si="58"/>
        <v>-1.5625858576398071E-2</v>
      </c>
    </row>
    <row r="1758" spans="2:8">
      <c r="B1758" s="252">
        <v>43266</v>
      </c>
      <c r="C1758" s="251">
        <v>302.95</v>
      </c>
      <c r="D1758" s="251">
        <f t="shared" si="57"/>
        <v>0.20409379968203495</v>
      </c>
      <c r="E1758" s="251">
        <v>-9.6436744033997681E-3</v>
      </c>
      <c r="G1758" s="251">
        <v>1749</v>
      </c>
      <c r="H1758" s="251">
        <f t="shared" ca="1" si="58"/>
        <v>-4.821377476853006E-2</v>
      </c>
    </row>
    <row r="1759" spans="2:8">
      <c r="B1759" s="252">
        <v>43319</v>
      </c>
      <c r="C1759" s="251">
        <v>251.6</v>
      </c>
      <c r="D1759" s="251">
        <f t="shared" si="57"/>
        <v>-5.6617922759655027E-2</v>
      </c>
      <c r="E1759" s="251">
        <v>-9.6437709112380116E-3</v>
      </c>
      <c r="G1759" s="251">
        <v>1750</v>
      </c>
      <c r="H1759" s="251">
        <f t="shared" ca="1" si="58"/>
        <v>8.1993357844404677E-3</v>
      </c>
    </row>
    <row r="1760" spans="2:8">
      <c r="B1760" s="252">
        <v>43283</v>
      </c>
      <c r="C1760" s="251">
        <v>266.7</v>
      </c>
      <c r="D1760" s="251">
        <f t="shared" si="57"/>
        <v>-0.51776512069433145</v>
      </c>
      <c r="E1760" s="251">
        <v>-9.6546602302265971E-3</v>
      </c>
      <c r="G1760" s="251">
        <v>1751</v>
      </c>
      <c r="H1760" s="251">
        <f t="shared" ca="1" si="58"/>
        <v>-1.3245200902133181E-2</v>
      </c>
    </row>
    <row r="1761" spans="2:8">
      <c r="B1761" s="252">
        <v>42636</v>
      </c>
      <c r="C1761" s="251">
        <v>553.04999999999995</v>
      </c>
      <c r="D1761" s="251">
        <f t="shared" si="57"/>
        <v>-0.42700994612515547</v>
      </c>
      <c r="E1761" s="251">
        <v>-9.6696212731669628E-3</v>
      </c>
      <c r="G1761" s="251">
        <v>1752</v>
      </c>
      <c r="H1761" s="251">
        <f t="shared" ca="1" si="58"/>
        <v>7.3086296575933267E-3</v>
      </c>
    </row>
    <row r="1762" spans="2:8">
      <c r="B1762" s="252">
        <v>45566</v>
      </c>
      <c r="C1762" s="251">
        <v>965.2</v>
      </c>
      <c r="D1762" s="251">
        <f t="shared" si="57"/>
        <v>-0.11262296589133032</v>
      </c>
      <c r="E1762" s="251">
        <v>-9.6957882316728392E-3</v>
      </c>
      <c r="G1762" s="251">
        <v>1753</v>
      </c>
      <c r="H1762" s="251">
        <f t="shared" ca="1" si="58"/>
        <v>4.3529053209280751E-2</v>
      </c>
    </row>
    <row r="1763" spans="2:8">
      <c r="B1763" s="252">
        <v>45523</v>
      </c>
      <c r="C1763" s="267">
        <v>1087.7</v>
      </c>
      <c r="D1763" s="251">
        <f t="shared" si="57"/>
        <v>1.2718633164149802</v>
      </c>
      <c r="E1763" s="251">
        <v>-9.6963627259069197E-3</v>
      </c>
      <c r="G1763" s="251">
        <v>1754</v>
      </c>
      <c r="H1763" s="251">
        <f t="shared" ca="1" si="58"/>
        <v>4.3370867981411119E-2</v>
      </c>
    </row>
    <row r="1764" spans="2:8">
      <c r="B1764" s="252">
        <v>45048</v>
      </c>
      <c r="C1764" s="251">
        <v>478.77</v>
      </c>
      <c r="D1764" s="251">
        <f t="shared" si="57"/>
        <v>0.10493884144934218</v>
      </c>
      <c r="E1764" s="251">
        <v>-9.700905969470066E-3</v>
      </c>
      <c r="G1764" s="251">
        <v>1755</v>
      </c>
      <c r="H1764" s="251">
        <f t="shared" ca="1" si="58"/>
        <v>1.3184367896874842E-2</v>
      </c>
    </row>
    <row r="1765" spans="2:8">
      <c r="B1765" s="252">
        <v>43110</v>
      </c>
      <c r="C1765" s="251">
        <v>433.3</v>
      </c>
      <c r="D1765" s="251">
        <f t="shared" si="57"/>
        <v>-0.32977571539056455</v>
      </c>
      <c r="E1765" s="251">
        <v>-9.7131756370700487E-3</v>
      </c>
      <c r="G1765" s="251">
        <v>1756</v>
      </c>
      <c r="H1765" s="251">
        <f t="shared" ca="1" si="58"/>
        <v>4.0107086539117966E-2</v>
      </c>
    </row>
    <row r="1766" spans="2:8">
      <c r="B1766" s="252">
        <v>45876</v>
      </c>
      <c r="C1766" s="251">
        <v>646.5</v>
      </c>
      <c r="D1766" s="251">
        <f t="shared" si="57"/>
        <v>5.6010192580977052E-2</v>
      </c>
      <c r="E1766" s="251">
        <v>-9.726583441832002E-3</v>
      </c>
      <c r="G1766" s="251">
        <v>1757</v>
      </c>
      <c r="H1766" s="251">
        <f t="shared" ca="1" si="58"/>
        <v>-2.3247594644713069E-3</v>
      </c>
    </row>
    <row r="1767" spans="2:8">
      <c r="B1767" s="252">
        <v>45197</v>
      </c>
      <c r="C1767" s="251">
        <v>612.21</v>
      </c>
      <c r="D1767" s="251">
        <f t="shared" si="57"/>
        <v>2.6571684587813622</v>
      </c>
      <c r="E1767" s="251">
        <v>-9.7534937888198309E-3</v>
      </c>
      <c r="G1767" s="251">
        <v>1758</v>
      </c>
      <c r="H1767" s="251">
        <f t="shared" ca="1" si="58"/>
        <v>3.1521824266627349E-2</v>
      </c>
    </row>
    <row r="1768" spans="2:8">
      <c r="B1768" s="252">
        <v>43629</v>
      </c>
      <c r="C1768" s="251">
        <v>167.4</v>
      </c>
      <c r="D1768" s="251">
        <f t="shared" si="57"/>
        <v>-0.45755022683084901</v>
      </c>
      <c r="E1768" s="251">
        <v>-9.760425909494266E-3</v>
      </c>
      <c r="G1768" s="251">
        <v>1759</v>
      </c>
      <c r="H1768" s="251">
        <f t="shared" ca="1" si="58"/>
        <v>1.8846082188773271E-2</v>
      </c>
    </row>
    <row r="1769" spans="2:8">
      <c r="B1769" s="252">
        <v>44456</v>
      </c>
      <c r="C1769" s="251">
        <v>308.60000000000002</v>
      </c>
      <c r="D1769" s="251">
        <f t="shared" si="57"/>
        <v>0.70027548209366408</v>
      </c>
      <c r="E1769" s="251">
        <v>-9.7866196053263427E-3</v>
      </c>
      <c r="G1769" s="251">
        <v>1760</v>
      </c>
      <c r="H1769" s="251">
        <f t="shared" ca="1" si="58"/>
        <v>1.3360931137392095E-2</v>
      </c>
    </row>
    <row r="1770" spans="2:8">
      <c r="B1770" s="252">
        <v>43486</v>
      </c>
      <c r="C1770" s="251">
        <v>181.5</v>
      </c>
      <c r="D1770" s="251">
        <f t="shared" si="57"/>
        <v>-0.61259338313767342</v>
      </c>
      <c r="E1770" s="251">
        <v>-9.8199672667758382E-3</v>
      </c>
      <c r="G1770" s="251">
        <v>1761</v>
      </c>
      <c r="H1770" s="251">
        <f t="shared" ca="1" si="58"/>
        <v>4.3876646060649303E-3</v>
      </c>
    </row>
    <row r="1771" spans="2:8">
      <c r="B1771" s="252">
        <v>42725</v>
      </c>
      <c r="C1771" s="251">
        <v>468.5</v>
      </c>
      <c r="D1771" s="251">
        <f t="shared" si="57"/>
        <v>0.10821998817267889</v>
      </c>
      <c r="E1771" s="251">
        <v>-9.8277501849307353E-3</v>
      </c>
      <c r="G1771" s="251">
        <v>1762</v>
      </c>
      <c r="H1771" s="251">
        <f t="shared" ca="1" si="58"/>
        <v>1.1790255328948836E-2</v>
      </c>
    </row>
    <row r="1772" spans="2:8">
      <c r="B1772" s="252">
        <v>43031</v>
      </c>
      <c r="C1772" s="251">
        <v>422.75</v>
      </c>
      <c r="D1772" s="251">
        <f t="shared" si="57"/>
        <v>1.2704081632653064</v>
      </c>
      <c r="E1772" s="251">
        <v>-9.837217472771961E-3</v>
      </c>
      <c r="G1772" s="251">
        <v>1763</v>
      </c>
      <c r="H1772" s="251">
        <f t="shared" ca="1" si="58"/>
        <v>-1.9290388879302043E-2</v>
      </c>
    </row>
    <row r="1773" spans="2:8">
      <c r="B1773" s="252">
        <v>43860</v>
      </c>
      <c r="C1773" s="251">
        <v>186.2</v>
      </c>
      <c r="D1773" s="251">
        <f t="shared" si="57"/>
        <v>-0.5932721712538227</v>
      </c>
      <c r="E1773" s="251">
        <v>-9.8378090933263634E-3</v>
      </c>
      <c r="G1773" s="251">
        <v>1764</v>
      </c>
      <c r="H1773" s="251">
        <f t="shared" ca="1" si="58"/>
        <v>-1.4286003974354198E-3</v>
      </c>
    </row>
    <row r="1774" spans="2:8">
      <c r="B1774" s="252">
        <v>42793</v>
      </c>
      <c r="C1774" s="251">
        <v>457.8</v>
      </c>
      <c r="D1774" s="251">
        <f t="shared" si="57"/>
        <v>-0.25687850012174329</v>
      </c>
      <c r="E1774" s="251">
        <v>-9.8410295230885927E-3</v>
      </c>
      <c r="G1774" s="251">
        <v>1765</v>
      </c>
      <c r="H1774" s="251">
        <f t="shared" ca="1" si="58"/>
        <v>2.1751304415413035E-3</v>
      </c>
    </row>
    <row r="1775" spans="2:8">
      <c r="B1775" s="252">
        <v>45763</v>
      </c>
      <c r="C1775" s="251">
        <v>616.04999999999995</v>
      </c>
      <c r="D1775" s="251">
        <f t="shared" si="57"/>
        <v>0.19458987783595094</v>
      </c>
      <c r="E1775" s="251">
        <v>-9.8842815814851985E-3</v>
      </c>
      <c r="G1775" s="251">
        <v>1766</v>
      </c>
      <c r="H1775" s="251">
        <f t="shared" ca="1" si="58"/>
        <v>2.0541551000845759E-2</v>
      </c>
    </row>
    <row r="1776" spans="2:8">
      <c r="B1776" s="252">
        <v>44581</v>
      </c>
      <c r="C1776" s="251">
        <v>515.70000000000005</v>
      </c>
      <c r="D1776" s="251">
        <f t="shared" si="57"/>
        <v>1.9476993426693345</v>
      </c>
      <c r="E1776" s="251">
        <v>-9.8876835941249432E-3</v>
      </c>
      <c r="G1776" s="251">
        <v>1767</v>
      </c>
      <c r="H1776" s="251">
        <f t="shared" ca="1" si="58"/>
        <v>4.7895296832922596E-2</v>
      </c>
    </row>
    <row r="1777" spans="2:8">
      <c r="B1777" s="252">
        <v>43815</v>
      </c>
      <c r="C1777" s="251">
        <v>174.95</v>
      </c>
      <c r="D1777" s="251">
        <f t="shared" si="57"/>
        <v>-0.73556529625151157</v>
      </c>
      <c r="E1777" s="251">
        <v>-9.903791737408036E-3</v>
      </c>
      <c r="G1777" s="251">
        <v>1768</v>
      </c>
      <c r="H1777" s="251">
        <f t="shared" ca="1" si="58"/>
        <v>1.5954238281474315E-2</v>
      </c>
    </row>
    <row r="1778" spans="2:8">
      <c r="B1778" s="252">
        <v>45713</v>
      </c>
      <c r="C1778" s="251">
        <v>661.6</v>
      </c>
      <c r="D1778" s="251">
        <f t="shared" si="57"/>
        <v>2.9136350192250813</v>
      </c>
      <c r="E1778" s="251">
        <v>-9.9513655069210279E-3</v>
      </c>
      <c r="G1778" s="251">
        <v>1769</v>
      </c>
      <c r="H1778" s="251">
        <f t="shared" ca="1" si="58"/>
        <v>6.5249965971014342E-3</v>
      </c>
    </row>
    <row r="1779" spans="2:8">
      <c r="B1779" s="252">
        <v>43628</v>
      </c>
      <c r="C1779" s="251">
        <v>169.05</v>
      </c>
      <c r="D1779" s="251">
        <f t="shared" si="57"/>
        <v>-0.54489164086687303</v>
      </c>
      <c r="E1779" s="251">
        <v>-9.9560761346997873E-3</v>
      </c>
      <c r="G1779" s="251">
        <v>1770</v>
      </c>
      <c r="H1779" s="251">
        <f t="shared" ca="1" si="58"/>
        <v>-7.1716519509043538E-3</v>
      </c>
    </row>
    <row r="1780" spans="2:8">
      <c r="B1780" s="252">
        <v>42468</v>
      </c>
      <c r="C1780" s="251">
        <v>371.45</v>
      </c>
      <c r="D1780" s="251">
        <f t="shared" si="57"/>
        <v>1.6011904761904758</v>
      </c>
      <c r="E1780" s="251">
        <v>-9.9946695095948831E-3</v>
      </c>
      <c r="G1780" s="251">
        <v>1771</v>
      </c>
      <c r="H1780" s="251">
        <f t="shared" ca="1" si="58"/>
        <v>4.7303187354273316E-2</v>
      </c>
    </row>
    <row r="1781" spans="2:8">
      <c r="B1781" s="252">
        <v>44071</v>
      </c>
      <c r="C1781" s="251">
        <v>142.80000000000001</v>
      </c>
      <c r="D1781" s="251">
        <f t="shared" si="57"/>
        <v>-0.69461077844311381</v>
      </c>
      <c r="E1781" s="251">
        <v>-1.0051993067590909E-2</v>
      </c>
      <c r="G1781" s="251">
        <v>1772</v>
      </c>
      <c r="H1781" s="251">
        <f t="shared" ca="1" si="58"/>
        <v>2.6709415160691263E-3</v>
      </c>
    </row>
    <row r="1782" spans="2:8">
      <c r="B1782" s="252">
        <v>44554</v>
      </c>
      <c r="C1782" s="251">
        <v>467.6</v>
      </c>
      <c r="D1782" s="251">
        <f t="shared" si="57"/>
        <v>3.2913629335100586E-2</v>
      </c>
      <c r="E1782" s="251">
        <v>-1.0056102466391447E-2</v>
      </c>
      <c r="G1782" s="251">
        <v>1773</v>
      </c>
      <c r="H1782" s="251">
        <f t="shared" ca="1" si="58"/>
        <v>-1.3510770888355622E-2</v>
      </c>
    </row>
    <row r="1783" spans="2:8">
      <c r="B1783" s="252">
        <v>42908</v>
      </c>
      <c r="C1783" s="251">
        <v>452.7</v>
      </c>
      <c r="D1783" s="251">
        <f t="shared" si="57"/>
        <v>9.5727943846060787E-2</v>
      </c>
      <c r="E1783" s="251">
        <v>-1.0059042204242341E-2</v>
      </c>
      <c r="G1783" s="251">
        <v>1774</v>
      </c>
      <c r="H1783" s="251">
        <f t="shared" ca="1" si="58"/>
        <v>-1.0168716108779946E-2</v>
      </c>
    </row>
    <row r="1784" spans="2:8">
      <c r="B1784" s="252">
        <v>42340</v>
      </c>
      <c r="C1784" s="251">
        <v>413.15</v>
      </c>
      <c r="D1784" s="251">
        <f t="shared" si="57"/>
        <v>-0.54707404240391155</v>
      </c>
      <c r="E1784" s="251">
        <v>-1.0063495866778592E-2</v>
      </c>
      <c r="G1784" s="251">
        <v>1775</v>
      </c>
      <c r="H1784" s="251">
        <f t="shared" ca="1" si="58"/>
        <v>-2.7768414645286947E-2</v>
      </c>
    </row>
    <row r="1785" spans="2:8">
      <c r="B1785" s="252">
        <v>45331</v>
      </c>
      <c r="C1785" s="251">
        <v>912.18</v>
      </c>
      <c r="D1785" s="251">
        <f t="shared" si="57"/>
        <v>1.2643167432046665</v>
      </c>
      <c r="E1785" s="251">
        <v>-1.0070974323356506E-2</v>
      </c>
      <c r="G1785" s="251">
        <v>1776</v>
      </c>
      <c r="H1785" s="251">
        <f t="shared" ca="1" si="58"/>
        <v>1.4884094521345875E-2</v>
      </c>
    </row>
    <row r="1786" spans="2:8">
      <c r="B1786" s="252">
        <v>42328</v>
      </c>
      <c r="C1786" s="251">
        <v>402.85</v>
      </c>
      <c r="D1786" s="251">
        <f t="shared" si="57"/>
        <v>1.1600536193029491</v>
      </c>
      <c r="E1786" s="251">
        <v>-1.0074947782282751E-2</v>
      </c>
      <c r="G1786" s="251">
        <v>1777</v>
      </c>
      <c r="H1786" s="251">
        <f t="shared" ca="1" si="58"/>
        <v>-1.1682908591624946E-2</v>
      </c>
    </row>
    <row r="1787" spans="2:8">
      <c r="B1787" s="252">
        <v>43854</v>
      </c>
      <c r="C1787" s="251">
        <v>186.5</v>
      </c>
      <c r="D1787" s="251">
        <f t="shared" si="57"/>
        <v>0.52244897959183678</v>
      </c>
      <c r="E1787" s="251">
        <v>-1.0084925690021262E-2</v>
      </c>
      <c r="G1787" s="251">
        <v>1778</v>
      </c>
      <c r="H1787" s="251">
        <f t="shared" ca="1" si="58"/>
        <v>1.7468632186913358E-2</v>
      </c>
    </row>
    <row r="1788" spans="2:8">
      <c r="B1788" s="252">
        <v>43683</v>
      </c>
      <c r="C1788" s="251">
        <v>122.5</v>
      </c>
      <c r="D1788" s="251">
        <f t="shared" si="57"/>
        <v>-0.78984388402813521</v>
      </c>
      <c r="E1788" s="251">
        <v>-1.0101010101010102E-2</v>
      </c>
      <c r="G1788" s="251">
        <v>1779</v>
      </c>
      <c r="H1788" s="251">
        <f t="shared" ca="1" si="58"/>
        <v>4.7205806503120985E-2</v>
      </c>
    </row>
    <row r="1789" spans="2:8">
      <c r="B1789" s="252">
        <v>45756</v>
      </c>
      <c r="C1789" s="251">
        <v>582.9</v>
      </c>
      <c r="D1789" s="251">
        <f t="shared" si="57"/>
        <v>0.51284713210485322</v>
      </c>
      <c r="E1789" s="251">
        <v>-1.0104440859302106E-2</v>
      </c>
      <c r="G1789" s="251">
        <v>1780</v>
      </c>
      <c r="H1789" s="251">
        <f t="shared" ca="1" si="58"/>
        <v>-9.387526928153183E-3</v>
      </c>
    </row>
    <row r="1790" spans="2:8">
      <c r="B1790" s="252">
        <v>42964</v>
      </c>
      <c r="C1790" s="251">
        <v>385.3</v>
      </c>
      <c r="D1790" s="251">
        <f t="shared" si="57"/>
        <v>-0.62905555020698956</v>
      </c>
      <c r="E1790" s="251">
        <v>-1.0147719974309541E-2</v>
      </c>
      <c r="G1790" s="251">
        <v>1781</v>
      </c>
      <c r="H1790" s="251">
        <f t="shared" ca="1" si="58"/>
        <v>2.8234373436574551E-2</v>
      </c>
    </row>
    <row r="1791" spans="2:8">
      <c r="B1791" s="252">
        <v>45544</v>
      </c>
      <c r="C1791" s="267">
        <v>1038.7</v>
      </c>
      <c r="D1791" s="251">
        <f t="shared" si="57"/>
        <v>0.69719449028610658</v>
      </c>
      <c r="E1791" s="251">
        <v>-1.0149139943774588E-2</v>
      </c>
      <c r="G1791" s="251">
        <v>1782</v>
      </c>
      <c r="H1791" s="251">
        <f t="shared" ca="1" si="58"/>
        <v>2.8815599582748472E-3</v>
      </c>
    </row>
    <row r="1792" spans="2:8">
      <c r="B1792" s="252">
        <v>45161</v>
      </c>
      <c r="C1792" s="251">
        <v>612.01</v>
      </c>
      <c r="D1792" s="251">
        <f t="shared" si="57"/>
        <v>0.32240708729472767</v>
      </c>
      <c r="E1792" s="251">
        <v>-1.015704604635361E-2</v>
      </c>
      <c r="G1792" s="251">
        <v>1783</v>
      </c>
      <c r="H1792" s="251">
        <f t="shared" ca="1" si="58"/>
        <v>4.3081932057060833E-3</v>
      </c>
    </row>
    <row r="1793" spans="2:8">
      <c r="B1793" s="252">
        <v>42802</v>
      </c>
      <c r="C1793" s="251">
        <v>462.8</v>
      </c>
      <c r="D1793" s="251">
        <f t="shared" si="57"/>
        <v>-0.49775356499468237</v>
      </c>
      <c r="E1793" s="251">
        <v>-1.0159341246925462E-2</v>
      </c>
      <c r="G1793" s="251">
        <v>1784</v>
      </c>
      <c r="H1793" s="251">
        <f t="shared" ca="1" si="58"/>
        <v>-4.732308321176072E-3</v>
      </c>
    </row>
    <row r="1794" spans="2:8">
      <c r="B1794" s="252">
        <v>45330</v>
      </c>
      <c r="C1794" s="251">
        <v>921.46</v>
      </c>
      <c r="D1794" s="251">
        <f t="shared" si="57"/>
        <v>1.1148470312822751</v>
      </c>
      <c r="E1794" s="251">
        <v>-1.0172623075848789E-2</v>
      </c>
      <c r="G1794" s="251">
        <v>1785</v>
      </c>
      <c r="H1794" s="251">
        <f t="shared" ca="1" si="58"/>
        <v>-1.9014176655109353E-2</v>
      </c>
    </row>
    <row r="1795" spans="2:8">
      <c r="B1795" s="252">
        <v>44753</v>
      </c>
      <c r="C1795" s="251">
        <v>435.71</v>
      </c>
      <c r="D1795" s="251">
        <f t="shared" si="57"/>
        <v>0.12022110811158244</v>
      </c>
      <c r="E1795" s="251">
        <v>-1.0177423385356365E-2</v>
      </c>
      <c r="G1795" s="251">
        <v>1786</v>
      </c>
      <c r="H1795" s="251">
        <f t="shared" ca="1" si="58"/>
        <v>1.4259742211332652E-2</v>
      </c>
    </row>
    <row r="1796" spans="2:8">
      <c r="B1796" s="252">
        <v>44729</v>
      </c>
      <c r="C1796" s="251">
        <v>388.95</v>
      </c>
      <c r="D1796" s="251">
        <f t="shared" si="57"/>
        <v>-0.36920207590009735</v>
      </c>
      <c r="E1796" s="251">
        <v>-1.0179412138948976E-2</v>
      </c>
      <c r="G1796" s="251">
        <v>1787</v>
      </c>
      <c r="H1796" s="251">
        <f t="shared" ca="1" si="58"/>
        <v>5.8120541137032921E-3</v>
      </c>
    </row>
    <row r="1797" spans="2:8">
      <c r="B1797" s="252">
        <v>45124</v>
      </c>
      <c r="C1797" s="251">
        <v>616.6</v>
      </c>
      <c r="D1797" s="251">
        <f t="shared" si="57"/>
        <v>-0.13441426265178633</v>
      </c>
      <c r="E1797" s="251">
        <v>-1.0241099232720144E-2</v>
      </c>
      <c r="G1797" s="251">
        <v>1788</v>
      </c>
      <c r="H1797" s="251">
        <f t="shared" ca="1" si="58"/>
        <v>2.6755183375563568E-2</v>
      </c>
    </row>
    <row r="1798" spans="2:8">
      <c r="B1798" s="252">
        <v>45268</v>
      </c>
      <c r="C1798" s="251">
        <v>712.35</v>
      </c>
      <c r="D1798" s="251">
        <f t="shared" si="57"/>
        <v>0.38786603541995451</v>
      </c>
      <c r="E1798" s="251">
        <v>-1.0253845191946973E-2</v>
      </c>
      <c r="G1798" s="251">
        <v>1789</v>
      </c>
      <c r="H1798" s="251">
        <f t="shared" ca="1" si="58"/>
        <v>-6.5018034620963838E-2</v>
      </c>
    </row>
    <row r="1799" spans="2:8">
      <c r="B1799" s="252">
        <v>45071</v>
      </c>
      <c r="C1799" s="251">
        <v>513.27</v>
      </c>
      <c r="D1799" s="251">
        <f t="shared" si="57"/>
        <v>0.14928347514554402</v>
      </c>
      <c r="E1799" s="251">
        <v>-1.0277670651754802E-2</v>
      </c>
      <c r="G1799" s="251">
        <v>1790</v>
      </c>
      <c r="H1799" s="251">
        <f t="shared" ca="1" si="58"/>
        <v>2.3211034461628702E-2</v>
      </c>
    </row>
    <row r="1800" spans="2:8">
      <c r="B1800" s="252">
        <v>42858</v>
      </c>
      <c r="C1800" s="251">
        <v>446.6</v>
      </c>
      <c r="D1800" s="251">
        <f t="shared" si="57"/>
        <v>9.6785284510916336E-2</v>
      </c>
      <c r="E1800" s="251">
        <v>-1.0304709141274187E-2</v>
      </c>
      <c r="G1800" s="251">
        <v>1791</v>
      </c>
      <c r="H1800" s="251">
        <f t="shared" ca="1" si="58"/>
        <v>1.7699306238660922E-2</v>
      </c>
    </row>
    <row r="1801" spans="2:8">
      <c r="B1801" s="252">
        <v>44746</v>
      </c>
      <c r="C1801" s="251">
        <v>407.19</v>
      </c>
      <c r="D1801" s="251">
        <f t="shared" si="57"/>
        <v>0.88557536466774722</v>
      </c>
      <c r="E1801" s="251">
        <v>-1.0305519772500812E-2</v>
      </c>
      <c r="G1801" s="251">
        <v>1792</v>
      </c>
      <c r="H1801" s="251">
        <f t="shared" ca="1" si="58"/>
        <v>2.8766711552120534E-2</v>
      </c>
    </row>
    <row r="1802" spans="2:8">
      <c r="B1802" s="252">
        <v>43567</v>
      </c>
      <c r="C1802" s="251">
        <v>215.95</v>
      </c>
      <c r="D1802" s="251">
        <f t="shared" ref="D1802:D1865" si="59">(C1802-C1803)/C1803</f>
        <v>-0.69569506094553657</v>
      </c>
      <c r="E1802" s="251">
        <v>-1.0311640696608617E-2</v>
      </c>
      <c r="G1802" s="251">
        <v>1793</v>
      </c>
      <c r="H1802" s="251">
        <f t="shared" ca="1" si="58"/>
        <v>7.510646954146283E-3</v>
      </c>
    </row>
    <row r="1803" spans="2:8">
      <c r="B1803" s="252">
        <v>45694</v>
      </c>
      <c r="C1803" s="251">
        <v>709.65</v>
      </c>
      <c r="D1803" s="251">
        <f t="shared" si="59"/>
        <v>0.62838458008260656</v>
      </c>
      <c r="E1803" s="251">
        <v>-1.0320061362526989E-2</v>
      </c>
      <c r="G1803" s="251">
        <v>1794</v>
      </c>
      <c r="H1803" s="251">
        <f t="shared" ref="H1803:H1866" ca="1" si="60">_xlfn.NORM.INV(RAND(),N$12,N$13)</f>
        <v>-2.8546912145278085E-2</v>
      </c>
    </row>
    <row r="1804" spans="2:8">
      <c r="B1804" s="252">
        <v>44643</v>
      </c>
      <c r="C1804" s="251">
        <v>435.8</v>
      </c>
      <c r="D1804" s="251">
        <f t="shared" si="59"/>
        <v>-0.28583133951689554</v>
      </c>
      <c r="E1804" s="251">
        <v>-1.0332689905756809E-2</v>
      </c>
      <c r="G1804" s="251">
        <v>1795</v>
      </c>
      <c r="H1804" s="251">
        <f t="shared" ca="1" si="60"/>
        <v>-1.0102189444694961E-3</v>
      </c>
    </row>
    <row r="1805" spans="2:8">
      <c r="B1805" s="252">
        <v>45125</v>
      </c>
      <c r="C1805" s="251">
        <v>610.22</v>
      </c>
      <c r="D1805" s="251">
        <f t="shared" si="59"/>
        <v>0.30305359812086274</v>
      </c>
      <c r="E1805" s="251">
        <v>-1.0347064547518643E-2</v>
      </c>
      <c r="G1805" s="251">
        <v>1796</v>
      </c>
      <c r="H1805" s="251">
        <f t="shared" ca="1" si="60"/>
        <v>3.0622136341561072E-3</v>
      </c>
    </row>
    <row r="1806" spans="2:8">
      <c r="B1806" s="252">
        <v>42832</v>
      </c>
      <c r="C1806" s="251">
        <v>468.3</v>
      </c>
      <c r="D1806" s="251">
        <f t="shared" si="59"/>
        <v>-0.23219438614900309</v>
      </c>
      <c r="E1806" s="251">
        <v>-1.0355029585798769E-2</v>
      </c>
      <c r="G1806" s="251">
        <v>1797</v>
      </c>
      <c r="H1806" s="251">
        <f t="shared" ca="1" si="60"/>
        <v>-2.603165986463506E-2</v>
      </c>
    </row>
    <row r="1807" spans="2:8">
      <c r="B1807" s="252">
        <v>45149</v>
      </c>
      <c r="C1807" s="251">
        <v>609.91999999999996</v>
      </c>
      <c r="D1807" s="251">
        <f t="shared" si="59"/>
        <v>0.496919867468401</v>
      </c>
      <c r="E1807" s="251">
        <v>-1.0432384197290603E-2</v>
      </c>
      <c r="G1807" s="251">
        <v>1798</v>
      </c>
      <c r="H1807" s="251">
        <f t="shared" ca="1" si="60"/>
        <v>-6.3149095095831305E-3</v>
      </c>
    </row>
    <row r="1808" spans="2:8">
      <c r="B1808" s="252">
        <v>42318</v>
      </c>
      <c r="C1808" s="251">
        <v>407.45</v>
      </c>
      <c r="D1808" s="251">
        <f t="shared" si="59"/>
        <v>-0.61890286676331663</v>
      </c>
      <c r="E1808" s="251">
        <v>-1.0443230115361291E-2</v>
      </c>
      <c r="G1808" s="251">
        <v>1799</v>
      </c>
      <c r="H1808" s="251">
        <f t="shared" ca="1" si="60"/>
        <v>2.6353637269269654E-2</v>
      </c>
    </row>
    <row r="1809" spans="2:8">
      <c r="B1809" s="252">
        <v>45540</v>
      </c>
      <c r="C1809" s="267">
        <v>1069.1500000000001</v>
      </c>
      <c r="D1809" s="251">
        <f t="shared" si="59"/>
        <v>0.7285058363242477</v>
      </c>
      <c r="E1809" s="251">
        <v>-1.0458605210791757E-2</v>
      </c>
      <c r="G1809" s="251">
        <v>1800</v>
      </c>
      <c r="H1809" s="251">
        <f t="shared" ca="1" si="60"/>
        <v>-7.6918711702530099E-3</v>
      </c>
    </row>
    <row r="1810" spans="2:8">
      <c r="B1810" s="252">
        <v>45191</v>
      </c>
      <c r="C1810" s="251">
        <v>618.54</v>
      </c>
      <c r="D1810" s="251">
        <f t="shared" si="59"/>
        <v>0.47940684046878718</v>
      </c>
      <c r="E1810" s="251">
        <v>-1.0525979012029755E-2</v>
      </c>
      <c r="G1810" s="251">
        <v>1801</v>
      </c>
      <c r="H1810" s="251">
        <f t="shared" ca="1" si="60"/>
        <v>7.9252764155612974E-3</v>
      </c>
    </row>
    <row r="1811" spans="2:8">
      <c r="B1811" s="252">
        <v>43052</v>
      </c>
      <c r="C1811" s="251">
        <v>418.1</v>
      </c>
      <c r="D1811" s="251">
        <f t="shared" si="59"/>
        <v>1.5517241379310347</v>
      </c>
      <c r="E1811" s="251">
        <v>-1.0531298071234147E-2</v>
      </c>
      <c r="G1811" s="251">
        <v>1802</v>
      </c>
      <c r="H1811" s="251">
        <f t="shared" ca="1" si="60"/>
        <v>3.1592160181860918E-3</v>
      </c>
    </row>
    <row r="1812" spans="2:8">
      <c r="B1812" s="252">
        <v>43864</v>
      </c>
      <c r="C1812" s="251">
        <v>163.85</v>
      </c>
      <c r="D1812" s="251">
        <f t="shared" si="59"/>
        <v>-0.52020497803806731</v>
      </c>
      <c r="E1812" s="251">
        <v>-1.0567632850241546E-2</v>
      </c>
      <c r="G1812" s="251">
        <v>1803</v>
      </c>
      <c r="H1812" s="251">
        <f t="shared" ca="1" si="60"/>
        <v>4.0771461796609017E-2</v>
      </c>
    </row>
    <row r="1813" spans="2:8">
      <c r="B1813" s="252">
        <v>43168</v>
      </c>
      <c r="C1813" s="251">
        <v>341.5</v>
      </c>
      <c r="D1813" s="251">
        <f t="shared" si="59"/>
        <v>-0.70159035302341843</v>
      </c>
      <c r="E1813" s="251">
        <v>-1.057511227002746E-2</v>
      </c>
      <c r="G1813" s="251">
        <v>1804</v>
      </c>
      <c r="H1813" s="251">
        <f t="shared" ca="1" si="60"/>
        <v>3.3649760797500226E-2</v>
      </c>
    </row>
    <row r="1814" spans="2:8">
      <c r="B1814" s="252">
        <v>45505</v>
      </c>
      <c r="C1814" s="267">
        <v>1144.4000000000001</v>
      </c>
      <c r="D1814" s="251">
        <f t="shared" si="59"/>
        <v>2.3108635903370467</v>
      </c>
      <c r="E1814" s="251">
        <v>-1.0590930705053386E-2</v>
      </c>
      <c r="G1814" s="251">
        <v>1805</v>
      </c>
      <c r="H1814" s="251">
        <f t="shared" ca="1" si="60"/>
        <v>5.9860461328765839E-3</v>
      </c>
    </row>
    <row r="1815" spans="2:8">
      <c r="B1815" s="252">
        <v>44364</v>
      </c>
      <c r="C1815" s="251">
        <v>345.65</v>
      </c>
      <c r="D1815" s="251">
        <f t="shared" si="59"/>
        <v>-0.48581586659327913</v>
      </c>
      <c r="E1815" s="251">
        <v>-1.059109775296993E-2</v>
      </c>
      <c r="G1815" s="251">
        <v>1806</v>
      </c>
      <c r="H1815" s="251">
        <f t="shared" ca="1" si="60"/>
        <v>1.6929890229177815E-2</v>
      </c>
    </row>
    <row r="1816" spans="2:8">
      <c r="B1816" s="252">
        <v>45250</v>
      </c>
      <c r="C1816" s="251">
        <v>672.23</v>
      </c>
      <c r="D1816" s="251">
        <f t="shared" si="59"/>
        <v>0.56241719930273104</v>
      </c>
      <c r="E1816" s="251">
        <v>-1.0626241813231329E-2</v>
      </c>
      <c r="G1816" s="251">
        <v>1807</v>
      </c>
      <c r="H1816" s="251">
        <f t="shared" ca="1" si="60"/>
        <v>1.7769646079977303E-2</v>
      </c>
    </row>
    <row r="1817" spans="2:8">
      <c r="B1817" s="252">
        <v>44678</v>
      </c>
      <c r="C1817" s="251">
        <v>430.25</v>
      </c>
      <c r="D1817" s="251">
        <f t="shared" si="59"/>
        <v>4.7397633769901235E-2</v>
      </c>
      <c r="E1817" s="251">
        <v>-1.0692113129454995E-2</v>
      </c>
      <c r="G1817" s="251">
        <v>1808</v>
      </c>
      <c r="H1817" s="251">
        <f t="shared" ca="1" si="60"/>
        <v>2.5563857976656421E-2</v>
      </c>
    </row>
    <row r="1818" spans="2:8">
      <c r="B1818" s="252">
        <v>45012</v>
      </c>
      <c r="C1818" s="251">
        <v>410.78</v>
      </c>
      <c r="D1818" s="251">
        <f t="shared" si="59"/>
        <v>-0.13728866953691066</v>
      </c>
      <c r="E1818" s="251">
        <v>-1.06931265353308E-2</v>
      </c>
      <c r="G1818" s="251">
        <v>1809</v>
      </c>
      <c r="H1818" s="251">
        <f t="shared" ca="1" si="60"/>
        <v>-1.1190375228780297E-2</v>
      </c>
    </row>
    <row r="1819" spans="2:8">
      <c r="B1819" s="252">
        <v>42886</v>
      </c>
      <c r="C1819" s="251">
        <v>476.15</v>
      </c>
      <c r="D1819" s="251">
        <f t="shared" si="59"/>
        <v>-0.29406968124536698</v>
      </c>
      <c r="E1819" s="251">
        <v>-1.0700186993559182E-2</v>
      </c>
      <c r="G1819" s="251">
        <v>1810</v>
      </c>
      <c r="H1819" s="251">
        <f t="shared" ca="1" si="60"/>
        <v>-2.1703749754463268E-2</v>
      </c>
    </row>
    <row r="1820" spans="2:8">
      <c r="B1820" s="252">
        <v>45852</v>
      </c>
      <c r="C1820" s="251">
        <v>674.5</v>
      </c>
      <c r="D1820" s="251">
        <f t="shared" si="59"/>
        <v>0.36566106499291362</v>
      </c>
      <c r="E1820" s="251">
        <v>-1.0706952185391545E-2</v>
      </c>
      <c r="G1820" s="251">
        <v>1811</v>
      </c>
      <c r="H1820" s="251">
        <f t="shared" ca="1" si="60"/>
        <v>-4.8327324575575589E-3</v>
      </c>
    </row>
    <row r="1821" spans="2:8">
      <c r="B1821" s="252">
        <v>42571</v>
      </c>
      <c r="C1821" s="251">
        <v>493.9</v>
      </c>
      <c r="D1821" s="251">
        <f t="shared" si="59"/>
        <v>-0.10816179126038278</v>
      </c>
      <c r="E1821" s="251">
        <v>-1.0716074111166795E-2</v>
      </c>
      <c r="G1821" s="251">
        <v>1812</v>
      </c>
      <c r="H1821" s="251">
        <f t="shared" ca="1" si="60"/>
        <v>-8.6788914610048343E-3</v>
      </c>
    </row>
    <row r="1822" spans="2:8">
      <c r="B1822" s="252">
        <v>42668</v>
      </c>
      <c r="C1822" s="251">
        <v>553.79999999999995</v>
      </c>
      <c r="D1822" s="251">
        <f t="shared" si="59"/>
        <v>-0.38971844178742637</v>
      </c>
      <c r="E1822" s="251">
        <v>-1.0718113612004289E-2</v>
      </c>
      <c r="G1822" s="251">
        <v>1813</v>
      </c>
      <c r="H1822" s="251">
        <f t="shared" ca="1" si="60"/>
        <v>-2.4013137922865489E-2</v>
      </c>
    </row>
    <row r="1823" spans="2:8">
      <c r="B1823" s="252">
        <v>45581</v>
      </c>
      <c r="C1823" s="251">
        <v>907.45</v>
      </c>
      <c r="D1823" s="251">
        <f t="shared" si="59"/>
        <v>1.0638404330323639</v>
      </c>
      <c r="E1823" s="251">
        <v>-1.0738035539081991E-2</v>
      </c>
      <c r="G1823" s="251">
        <v>1814</v>
      </c>
      <c r="H1823" s="251">
        <f t="shared" ca="1" si="60"/>
        <v>-4.2315889460162071E-2</v>
      </c>
    </row>
    <row r="1824" spans="2:8">
      <c r="B1824" s="252">
        <v>44970</v>
      </c>
      <c r="C1824" s="251">
        <v>439.69</v>
      </c>
      <c r="D1824" s="251">
        <f t="shared" si="59"/>
        <v>-0.19830431215242963</v>
      </c>
      <c r="E1824" s="251">
        <v>-1.0776637868970528E-2</v>
      </c>
      <c r="G1824" s="251">
        <v>1815</v>
      </c>
      <c r="H1824" s="251">
        <f t="shared" ca="1" si="60"/>
        <v>3.0856978686354002E-2</v>
      </c>
    </row>
    <row r="1825" spans="2:8">
      <c r="B1825" s="252">
        <v>42633</v>
      </c>
      <c r="C1825" s="251">
        <v>548.45000000000005</v>
      </c>
      <c r="D1825" s="251">
        <f t="shared" si="59"/>
        <v>0.26706711331870164</v>
      </c>
      <c r="E1825" s="251">
        <v>-1.0821534854360175E-2</v>
      </c>
      <c r="G1825" s="251">
        <v>1816</v>
      </c>
      <c r="H1825" s="251">
        <f t="shared" ca="1" si="60"/>
        <v>7.9150428890242715E-3</v>
      </c>
    </row>
    <row r="1826" spans="2:8">
      <c r="B1826" s="252">
        <v>44683</v>
      </c>
      <c r="C1826" s="251">
        <v>432.85</v>
      </c>
      <c r="D1826" s="251">
        <f t="shared" si="59"/>
        <v>-0.15773189858146358</v>
      </c>
      <c r="E1826" s="251">
        <v>-1.0854661791590493E-2</v>
      </c>
      <c r="G1826" s="251">
        <v>1817</v>
      </c>
      <c r="H1826" s="251">
        <f t="shared" ca="1" si="60"/>
        <v>-3.964843368668453E-4</v>
      </c>
    </row>
    <row r="1827" spans="2:8">
      <c r="B1827" s="252">
        <v>45063</v>
      </c>
      <c r="C1827" s="251">
        <v>513.91</v>
      </c>
      <c r="D1827" s="251">
        <f t="shared" si="59"/>
        <v>0.1886434601595928</v>
      </c>
      <c r="E1827" s="251">
        <v>-1.0855548070445552E-2</v>
      </c>
      <c r="G1827" s="251">
        <v>1818</v>
      </c>
      <c r="H1827" s="251">
        <f t="shared" ca="1" si="60"/>
        <v>-6.7212076939540503E-3</v>
      </c>
    </row>
    <row r="1828" spans="2:8">
      <c r="B1828" s="252">
        <v>43115</v>
      </c>
      <c r="C1828" s="251">
        <v>432.35</v>
      </c>
      <c r="D1828" s="251">
        <f t="shared" si="59"/>
        <v>-0.57812926895905692</v>
      </c>
      <c r="E1828" s="251">
        <v>-1.0867078471745596E-2</v>
      </c>
      <c r="G1828" s="251">
        <v>1819</v>
      </c>
      <c r="H1828" s="251">
        <f t="shared" ca="1" si="60"/>
        <v>4.9975788592612229E-3</v>
      </c>
    </row>
    <row r="1829" spans="2:8">
      <c r="B1829" s="252">
        <v>45362</v>
      </c>
      <c r="C1829" s="267">
        <v>1024.8399999999999</v>
      </c>
      <c r="D1829" s="251">
        <f t="shared" si="59"/>
        <v>1.3706685172334026</v>
      </c>
      <c r="E1829" s="251">
        <v>-1.0867676865167448E-2</v>
      </c>
      <c r="G1829" s="251">
        <v>1820</v>
      </c>
      <c r="H1829" s="251">
        <f t="shared" ca="1" si="60"/>
        <v>-9.6349287865751341E-3</v>
      </c>
    </row>
    <row r="1830" spans="2:8">
      <c r="B1830" s="252">
        <v>43025</v>
      </c>
      <c r="C1830" s="251">
        <v>432.3</v>
      </c>
      <c r="D1830" s="251">
        <f t="shared" si="59"/>
        <v>-0.38580663493642109</v>
      </c>
      <c r="E1830" s="251">
        <v>-1.0868321702322388E-2</v>
      </c>
      <c r="G1830" s="251">
        <v>1821</v>
      </c>
      <c r="H1830" s="251">
        <f t="shared" ca="1" si="60"/>
        <v>2.1711308639437682E-2</v>
      </c>
    </row>
    <row r="1831" spans="2:8">
      <c r="B1831" s="252">
        <v>45811</v>
      </c>
      <c r="C1831" s="251">
        <v>703.85</v>
      </c>
      <c r="D1831" s="251">
        <f t="shared" si="59"/>
        <v>3.3353865106251925</v>
      </c>
      <c r="E1831" s="251">
        <v>-1.0890949971894322E-2</v>
      </c>
      <c r="G1831" s="251">
        <v>1822</v>
      </c>
      <c r="H1831" s="251">
        <f t="shared" ca="1" si="60"/>
        <v>-5.6292599006496129E-2</v>
      </c>
    </row>
    <row r="1832" spans="2:8">
      <c r="B1832" s="252">
        <v>43791</v>
      </c>
      <c r="C1832" s="251">
        <v>162.35</v>
      </c>
      <c r="D1832" s="251">
        <f t="shared" si="59"/>
        <v>-0.77185216413715563</v>
      </c>
      <c r="E1832" s="251">
        <v>-1.0965580261955597E-2</v>
      </c>
      <c r="G1832" s="251">
        <v>1823</v>
      </c>
      <c r="H1832" s="251">
        <f t="shared" ca="1" si="60"/>
        <v>-2.6853153355573429E-3</v>
      </c>
    </row>
    <row r="1833" spans="2:8">
      <c r="B1833" s="252">
        <v>45810</v>
      </c>
      <c r="C1833" s="251">
        <v>711.6</v>
      </c>
      <c r="D1833" s="251">
        <f t="shared" si="59"/>
        <v>0.42762563948239551</v>
      </c>
      <c r="E1833" s="251">
        <v>-1.0979847116052783E-2</v>
      </c>
      <c r="G1833" s="251">
        <v>1824</v>
      </c>
      <c r="H1833" s="251">
        <f t="shared" ca="1" si="60"/>
        <v>3.5534405086664396E-2</v>
      </c>
    </row>
    <row r="1834" spans="2:8">
      <c r="B1834" s="252">
        <v>44608</v>
      </c>
      <c r="C1834" s="251">
        <v>498.45</v>
      </c>
      <c r="D1834" s="251">
        <f t="shared" si="59"/>
        <v>8.2810157930180539E-2</v>
      </c>
      <c r="E1834" s="251">
        <v>-1.1011904761904785E-2</v>
      </c>
      <c r="G1834" s="251">
        <v>1825</v>
      </c>
      <c r="H1834" s="251">
        <f t="shared" ca="1" si="60"/>
        <v>-1.2341962649206832E-2</v>
      </c>
    </row>
    <row r="1835" spans="2:8">
      <c r="B1835" s="252">
        <v>44806</v>
      </c>
      <c r="C1835" s="251">
        <v>460.33</v>
      </c>
      <c r="D1835" s="251">
        <f t="shared" si="59"/>
        <v>0.44780625884573044</v>
      </c>
      <c r="E1835" s="251">
        <v>-1.1021355218493524E-2</v>
      </c>
      <c r="G1835" s="251">
        <v>1826</v>
      </c>
      <c r="H1835" s="251">
        <f t="shared" ca="1" si="60"/>
        <v>-3.7436947258038769E-2</v>
      </c>
    </row>
    <row r="1836" spans="2:8">
      <c r="B1836" s="252">
        <v>44463</v>
      </c>
      <c r="C1836" s="251">
        <v>317.95</v>
      </c>
      <c r="D1836" s="251">
        <f t="shared" si="59"/>
        <v>-0.18390657084188919</v>
      </c>
      <c r="E1836" s="251">
        <v>-1.1041990668740315E-2</v>
      </c>
      <c r="G1836" s="251">
        <v>1827</v>
      </c>
      <c r="H1836" s="251">
        <f t="shared" ca="1" si="60"/>
        <v>-9.1782388732623964E-3</v>
      </c>
    </row>
    <row r="1837" spans="2:8">
      <c r="B1837" s="252">
        <v>42348</v>
      </c>
      <c r="C1837" s="251">
        <v>389.6</v>
      </c>
      <c r="D1837" s="251">
        <f t="shared" si="59"/>
        <v>-0.36309689231825537</v>
      </c>
      <c r="E1837" s="251">
        <v>-1.1042010407412022E-2</v>
      </c>
      <c r="G1837" s="251">
        <v>1828</v>
      </c>
      <c r="H1837" s="251">
        <f t="shared" ca="1" si="60"/>
        <v>-2.569394450857998E-2</v>
      </c>
    </row>
    <row r="1838" spans="2:8">
      <c r="B1838" s="252">
        <v>45203</v>
      </c>
      <c r="C1838" s="251">
        <v>611.71</v>
      </c>
      <c r="D1838" s="251">
        <f t="shared" si="59"/>
        <v>1.052373762791478</v>
      </c>
      <c r="E1838" s="251">
        <v>-1.104213147088293E-2</v>
      </c>
      <c r="G1838" s="251">
        <v>1829</v>
      </c>
      <c r="H1838" s="251">
        <f t="shared" ca="1" si="60"/>
        <v>4.2542108341399616E-3</v>
      </c>
    </row>
    <row r="1839" spans="2:8">
      <c r="B1839" s="252">
        <v>44306</v>
      </c>
      <c r="C1839" s="251">
        <v>298.05</v>
      </c>
      <c r="D1839" s="251">
        <f t="shared" si="59"/>
        <v>-0.70588235294117641</v>
      </c>
      <c r="E1839" s="251">
        <v>-1.1114797611147864E-2</v>
      </c>
      <c r="G1839" s="251">
        <v>1830</v>
      </c>
      <c r="H1839" s="251">
        <f t="shared" ca="1" si="60"/>
        <v>2.5394708643275372E-2</v>
      </c>
    </row>
    <row r="1840" spans="2:8">
      <c r="B1840" s="252">
        <v>45363</v>
      </c>
      <c r="C1840" s="267">
        <v>1013.37</v>
      </c>
      <c r="D1840" s="251">
        <f t="shared" si="59"/>
        <v>1.0334503862747064</v>
      </c>
      <c r="E1840" s="251">
        <v>-1.1191990944927906E-2</v>
      </c>
      <c r="G1840" s="251">
        <v>1831</v>
      </c>
      <c r="H1840" s="251">
        <f t="shared" ca="1" si="60"/>
        <v>7.3977194921116584E-3</v>
      </c>
    </row>
    <row r="1841" spans="2:8">
      <c r="B1841" s="252">
        <v>42606</v>
      </c>
      <c r="C1841" s="251">
        <v>498.35</v>
      </c>
      <c r="D1841" s="251">
        <f t="shared" si="59"/>
        <v>0.16586735290677282</v>
      </c>
      <c r="E1841" s="251">
        <v>-1.1210317460317415E-2</v>
      </c>
      <c r="G1841" s="251">
        <v>1832</v>
      </c>
      <c r="H1841" s="251">
        <f t="shared" ca="1" si="60"/>
        <v>4.7542407423625838E-2</v>
      </c>
    </row>
    <row r="1842" spans="2:8">
      <c r="B1842" s="252">
        <v>42866</v>
      </c>
      <c r="C1842" s="251">
        <v>427.45</v>
      </c>
      <c r="D1842" s="251">
        <f t="shared" si="59"/>
        <v>-0.31005261968557313</v>
      </c>
      <c r="E1842" s="251">
        <v>-1.12190608373815E-2</v>
      </c>
      <c r="G1842" s="251">
        <v>1833</v>
      </c>
      <c r="H1842" s="251">
        <f t="shared" ca="1" si="60"/>
        <v>2.0089127211203511E-2</v>
      </c>
    </row>
    <row r="1843" spans="2:8">
      <c r="B1843" s="252">
        <v>45119</v>
      </c>
      <c r="C1843" s="251">
        <v>619.54</v>
      </c>
      <c r="D1843" s="251">
        <f t="shared" si="59"/>
        <v>0.53370466641911118</v>
      </c>
      <c r="E1843" s="251">
        <v>-1.1219815822653632E-2</v>
      </c>
      <c r="G1843" s="251">
        <v>1834</v>
      </c>
      <c r="H1843" s="251">
        <f t="shared" ca="1" si="60"/>
        <v>4.972432706055682E-4</v>
      </c>
    </row>
    <row r="1844" spans="2:8">
      <c r="B1844" s="252">
        <v>44690</v>
      </c>
      <c r="C1844" s="251">
        <v>403.95</v>
      </c>
      <c r="D1844" s="251">
        <f t="shared" si="59"/>
        <v>-0.19731743666169899</v>
      </c>
      <c r="E1844" s="251">
        <v>-1.1259331783135535E-2</v>
      </c>
      <c r="G1844" s="251">
        <v>1835</v>
      </c>
      <c r="H1844" s="251">
        <f t="shared" ca="1" si="60"/>
        <v>7.3223520552032342E-3</v>
      </c>
    </row>
    <row r="1845" spans="2:8">
      <c r="B1845" s="252">
        <v>42577</v>
      </c>
      <c r="C1845" s="251">
        <v>503.25</v>
      </c>
      <c r="D1845" s="251">
        <f t="shared" si="59"/>
        <v>0.28020859832103784</v>
      </c>
      <c r="E1845" s="251">
        <v>-1.1296660117878193E-2</v>
      </c>
      <c r="G1845" s="251">
        <v>1836</v>
      </c>
      <c r="H1845" s="251">
        <f t="shared" ca="1" si="60"/>
        <v>-3.586540219720236E-3</v>
      </c>
    </row>
    <row r="1846" spans="2:8">
      <c r="B1846" s="252">
        <v>44734</v>
      </c>
      <c r="C1846" s="251">
        <v>393.1</v>
      </c>
      <c r="D1846" s="251">
        <f t="shared" si="59"/>
        <v>-0.576628971459343</v>
      </c>
      <c r="E1846" s="251">
        <v>-1.1317907444668008E-2</v>
      </c>
      <c r="G1846" s="251">
        <v>1837</v>
      </c>
      <c r="H1846" s="251">
        <f t="shared" ca="1" si="60"/>
        <v>-5.3252854327846856E-3</v>
      </c>
    </row>
    <row r="1847" spans="2:8">
      <c r="B1847" s="252">
        <v>45575</v>
      </c>
      <c r="C1847" s="251">
        <v>928.5</v>
      </c>
      <c r="D1847" s="251">
        <f t="shared" si="59"/>
        <v>-1.7085873983739824E-2</v>
      </c>
      <c r="E1847" s="251">
        <v>-1.1340041526912609E-2</v>
      </c>
      <c r="G1847" s="251">
        <v>1838</v>
      </c>
      <c r="H1847" s="251">
        <f t="shared" ca="1" si="60"/>
        <v>-3.8699359013694784E-2</v>
      </c>
    </row>
    <row r="1848" spans="2:8">
      <c r="B1848" s="252">
        <v>45440</v>
      </c>
      <c r="C1848" s="251">
        <v>944.64</v>
      </c>
      <c r="D1848" s="251">
        <f t="shared" si="59"/>
        <v>1.1911903333618995E-2</v>
      </c>
      <c r="E1848" s="251">
        <v>-1.1417508241326951E-2</v>
      </c>
      <c r="G1848" s="251">
        <v>1839</v>
      </c>
      <c r="H1848" s="251">
        <f t="shared" ca="1" si="60"/>
        <v>-1.3936375527510302E-2</v>
      </c>
    </row>
    <row r="1849" spans="2:8">
      <c r="B1849" s="252">
        <v>45428</v>
      </c>
      <c r="C1849" s="251">
        <v>933.52</v>
      </c>
      <c r="D1849" s="251">
        <f t="shared" si="59"/>
        <v>1.2647258612324113</v>
      </c>
      <c r="E1849" s="251">
        <v>-1.1510075286693002E-2</v>
      </c>
      <c r="G1849" s="251">
        <v>1840</v>
      </c>
      <c r="H1849" s="251">
        <f t="shared" ca="1" si="60"/>
        <v>-1.3609325520836249E-2</v>
      </c>
    </row>
    <row r="1850" spans="2:8">
      <c r="B1850" s="252">
        <v>42485</v>
      </c>
      <c r="C1850" s="251">
        <v>412.2</v>
      </c>
      <c r="D1850" s="251">
        <f t="shared" si="59"/>
        <v>0.35726045439578535</v>
      </c>
      <c r="E1850" s="251">
        <v>-1.1510791366906503E-2</v>
      </c>
      <c r="G1850" s="251">
        <v>1841</v>
      </c>
      <c r="H1850" s="251">
        <f t="shared" ca="1" si="60"/>
        <v>-9.5769183080649956E-3</v>
      </c>
    </row>
    <row r="1851" spans="2:8">
      <c r="B1851" s="252">
        <v>44424</v>
      </c>
      <c r="C1851" s="251">
        <v>303.7</v>
      </c>
      <c r="D1851" s="251">
        <f t="shared" si="59"/>
        <v>-0.40021724103880718</v>
      </c>
      <c r="E1851" s="251">
        <v>-1.1554109031733154E-2</v>
      </c>
      <c r="G1851" s="251">
        <v>1842</v>
      </c>
      <c r="H1851" s="251">
        <f t="shared" ca="1" si="60"/>
        <v>1.4471512530314503E-2</v>
      </c>
    </row>
    <row r="1852" spans="2:8">
      <c r="B1852" s="252">
        <v>42681</v>
      </c>
      <c r="C1852" s="251">
        <v>506.35</v>
      </c>
      <c r="D1852" s="251">
        <f t="shared" si="59"/>
        <v>1.7737606135305395</v>
      </c>
      <c r="E1852" s="251">
        <v>-1.1614288502830241E-2</v>
      </c>
      <c r="G1852" s="251">
        <v>1843</v>
      </c>
      <c r="H1852" s="251">
        <f t="shared" ca="1" si="60"/>
        <v>4.8710999952477824E-2</v>
      </c>
    </row>
    <row r="1853" spans="2:8">
      <c r="B1853" s="252">
        <v>43838</v>
      </c>
      <c r="C1853" s="251">
        <v>182.55</v>
      </c>
      <c r="D1853" s="251">
        <f t="shared" si="59"/>
        <v>-6.3846153846153789E-2</v>
      </c>
      <c r="E1853" s="251">
        <v>-1.164049810503507E-2</v>
      </c>
      <c r="G1853" s="251">
        <v>1844</v>
      </c>
      <c r="H1853" s="251">
        <f t="shared" ca="1" si="60"/>
        <v>-1.6723624276195483E-2</v>
      </c>
    </row>
    <row r="1854" spans="2:8">
      <c r="B1854" s="252">
        <v>43850</v>
      </c>
      <c r="C1854" s="251">
        <v>195</v>
      </c>
      <c r="D1854" s="251">
        <f t="shared" si="59"/>
        <v>-0.58488557743480574</v>
      </c>
      <c r="E1854" s="251">
        <v>-1.1657374556512981E-2</v>
      </c>
      <c r="G1854" s="251">
        <v>1845</v>
      </c>
      <c r="H1854" s="251">
        <f t="shared" ca="1" si="60"/>
        <v>-7.3414098396029854E-3</v>
      </c>
    </row>
    <row r="1855" spans="2:8">
      <c r="B1855" s="252">
        <v>45037</v>
      </c>
      <c r="C1855" s="251">
        <v>469.75</v>
      </c>
      <c r="D1855" s="251">
        <f t="shared" si="59"/>
        <v>0.59480563571549816</v>
      </c>
      <c r="E1855" s="251">
        <v>-1.1739212757452685E-2</v>
      </c>
      <c r="G1855" s="251">
        <v>1846</v>
      </c>
      <c r="H1855" s="251">
        <f t="shared" ca="1" si="60"/>
        <v>-1.0749000935947764E-2</v>
      </c>
    </row>
    <row r="1856" spans="2:8">
      <c r="B1856" s="252">
        <v>44308</v>
      </c>
      <c r="C1856" s="251">
        <v>294.55</v>
      </c>
      <c r="D1856" s="251">
        <f t="shared" si="59"/>
        <v>-0.34277171608987661</v>
      </c>
      <c r="E1856" s="251">
        <v>-1.1742996141586982E-2</v>
      </c>
      <c r="G1856" s="251">
        <v>1847</v>
      </c>
      <c r="H1856" s="251">
        <f t="shared" ca="1" si="60"/>
        <v>5.0704167955109448E-3</v>
      </c>
    </row>
    <row r="1857" spans="2:8">
      <c r="B1857" s="252">
        <v>44767</v>
      </c>
      <c r="C1857" s="251">
        <v>448.17</v>
      </c>
      <c r="D1857" s="251">
        <f t="shared" si="59"/>
        <v>-4.7257653061224411E-2</v>
      </c>
      <c r="E1857" s="251">
        <v>-1.1753031973539104E-2</v>
      </c>
      <c r="G1857" s="251">
        <v>1848</v>
      </c>
      <c r="H1857" s="251">
        <f t="shared" ca="1" si="60"/>
        <v>3.2777536118090478E-2</v>
      </c>
    </row>
    <row r="1858" spans="2:8">
      <c r="B1858" s="252">
        <v>44560</v>
      </c>
      <c r="C1858" s="251">
        <v>470.4</v>
      </c>
      <c r="D1858" s="251">
        <f t="shared" si="59"/>
        <v>-0.48719066826556195</v>
      </c>
      <c r="E1858" s="251">
        <v>-1.176470588235299E-2</v>
      </c>
      <c r="G1858" s="251">
        <v>1849</v>
      </c>
      <c r="H1858" s="251">
        <f t="shared" ca="1" si="60"/>
        <v>3.3284630284123595E-2</v>
      </c>
    </row>
    <row r="1859" spans="2:8">
      <c r="B1859" s="252">
        <v>45580</v>
      </c>
      <c r="C1859" s="251">
        <v>917.3</v>
      </c>
      <c r="D1859" s="251">
        <f t="shared" si="59"/>
        <v>4.1088833194096352</v>
      </c>
      <c r="E1859" s="251">
        <v>-1.1796391058443356E-2</v>
      </c>
      <c r="G1859" s="251">
        <v>1850</v>
      </c>
      <c r="H1859" s="251">
        <f t="shared" ca="1" si="60"/>
        <v>-3.7910513900554492E-2</v>
      </c>
    </row>
    <row r="1860" spans="2:8">
      <c r="B1860" s="252">
        <v>43538</v>
      </c>
      <c r="C1860" s="251">
        <v>179.55</v>
      </c>
      <c r="D1860" s="251">
        <f t="shared" si="59"/>
        <v>-0.4475384615384615</v>
      </c>
      <c r="E1860" s="251">
        <v>-1.1832691249311928E-2</v>
      </c>
      <c r="G1860" s="251">
        <v>1851</v>
      </c>
      <c r="H1860" s="251">
        <f t="shared" ca="1" si="60"/>
        <v>1.5271143295119053E-2</v>
      </c>
    </row>
    <row r="1861" spans="2:8">
      <c r="B1861" s="252">
        <v>44238</v>
      </c>
      <c r="C1861" s="251">
        <v>325</v>
      </c>
      <c r="D1861" s="251">
        <f t="shared" si="59"/>
        <v>-0.35509475146343883</v>
      </c>
      <c r="E1861" s="251">
        <v>-1.1857707509881354E-2</v>
      </c>
      <c r="G1861" s="251">
        <v>1852</v>
      </c>
      <c r="H1861" s="251">
        <f t="shared" ca="1" si="60"/>
        <v>-3.3112948842872608E-2</v>
      </c>
    </row>
    <row r="1862" spans="2:8">
      <c r="B1862" s="252">
        <v>42604</v>
      </c>
      <c r="C1862" s="251">
        <v>503.95</v>
      </c>
      <c r="D1862" s="251">
        <f t="shared" si="59"/>
        <v>0.33267222001851121</v>
      </c>
      <c r="E1862" s="251">
        <v>-1.1862745098039237E-2</v>
      </c>
      <c r="G1862" s="251">
        <v>1853</v>
      </c>
      <c r="H1862" s="251">
        <f t="shared" ca="1" si="60"/>
        <v>5.8611631696582015E-3</v>
      </c>
    </row>
    <row r="1863" spans="2:8">
      <c r="B1863" s="252">
        <v>42985</v>
      </c>
      <c r="C1863" s="251">
        <v>378.15</v>
      </c>
      <c r="D1863" s="251">
        <f t="shared" si="59"/>
        <v>0.12645218945487038</v>
      </c>
      <c r="E1863" s="251">
        <v>-1.188920825712049E-2</v>
      </c>
      <c r="G1863" s="251">
        <v>1854</v>
      </c>
      <c r="H1863" s="251">
        <f t="shared" ca="1" si="60"/>
        <v>-7.9946825576016012E-2</v>
      </c>
    </row>
    <row r="1864" spans="2:8">
      <c r="B1864" s="252">
        <v>43178</v>
      </c>
      <c r="C1864" s="251">
        <v>335.7</v>
      </c>
      <c r="D1864" s="251">
        <f t="shared" si="59"/>
        <v>-0.56619499903081993</v>
      </c>
      <c r="E1864" s="251">
        <v>-1.1920529801324537E-2</v>
      </c>
      <c r="G1864" s="251">
        <v>1855</v>
      </c>
      <c r="H1864" s="251">
        <f t="shared" ca="1" si="60"/>
        <v>2.2923462092768229E-2</v>
      </c>
    </row>
    <row r="1865" spans="2:8">
      <c r="B1865" s="252">
        <v>45617</v>
      </c>
      <c r="C1865" s="251">
        <v>773.85</v>
      </c>
      <c r="D1865" s="251">
        <f t="shared" si="59"/>
        <v>0.56459765467044076</v>
      </c>
      <c r="E1865" s="251">
        <v>-1.193820224719104E-2</v>
      </c>
      <c r="G1865" s="251">
        <v>1856</v>
      </c>
      <c r="H1865" s="251">
        <f t="shared" ca="1" si="60"/>
        <v>2.1461185768623395E-2</v>
      </c>
    </row>
    <row r="1866" spans="2:8">
      <c r="B1866" s="252">
        <v>44599</v>
      </c>
      <c r="C1866" s="251">
        <v>494.6</v>
      </c>
      <c r="D1866" s="251">
        <f t="shared" ref="D1866:D1929" si="61">(C1866-C1867)/C1867</f>
        <v>0.53961089494163428</v>
      </c>
      <c r="E1866" s="251">
        <v>-1.1985617259288853E-2</v>
      </c>
      <c r="G1866" s="251">
        <v>1857</v>
      </c>
      <c r="H1866" s="251">
        <f t="shared" ca="1" si="60"/>
        <v>3.9916816907234511E-3</v>
      </c>
    </row>
    <row r="1867" spans="2:8">
      <c r="B1867" s="252">
        <v>44263</v>
      </c>
      <c r="C1867" s="251">
        <v>321.25</v>
      </c>
      <c r="D1867" s="251">
        <f t="shared" si="61"/>
        <v>-0.3087681549220011</v>
      </c>
      <c r="E1867" s="251">
        <v>-1.1994464093495241E-2</v>
      </c>
      <c r="G1867" s="251">
        <v>1858</v>
      </c>
      <c r="H1867" s="251">
        <f t="shared" ref="H1867:H1930" ca="1" si="62">_xlfn.NORM.INV(RAND(),N$12,N$13)</f>
        <v>-3.2106322957301342E-2</v>
      </c>
    </row>
    <row r="1868" spans="2:8">
      <c r="B1868" s="252">
        <v>42821</v>
      </c>
      <c r="C1868" s="251">
        <v>464.75</v>
      </c>
      <c r="D1868" s="251">
        <f t="shared" si="61"/>
        <v>-5.0367797302819733E-2</v>
      </c>
      <c r="E1868" s="251">
        <v>-1.201105442176866E-2</v>
      </c>
      <c r="G1868" s="251">
        <v>1859</v>
      </c>
      <c r="H1868" s="251">
        <f t="shared" ca="1" si="62"/>
        <v>-3.4339285506264756E-2</v>
      </c>
    </row>
    <row r="1869" spans="2:8">
      <c r="B1869" s="252">
        <v>44544</v>
      </c>
      <c r="C1869" s="251">
        <v>489.4</v>
      </c>
      <c r="D1869" s="251">
        <f t="shared" si="61"/>
        <v>0.21756437367831818</v>
      </c>
      <c r="E1869" s="251">
        <v>-1.2011708892702221E-2</v>
      </c>
      <c r="G1869" s="251">
        <v>1860</v>
      </c>
      <c r="H1869" s="251">
        <f t="shared" ca="1" si="62"/>
        <v>1.4346624071830917E-2</v>
      </c>
    </row>
    <row r="1870" spans="2:8">
      <c r="B1870" s="252">
        <v>43082</v>
      </c>
      <c r="C1870" s="251">
        <v>401.95</v>
      </c>
      <c r="D1870" s="251">
        <f t="shared" si="61"/>
        <v>-9.7309558030901869E-2</v>
      </c>
      <c r="E1870" s="251">
        <v>-1.2043750768096433E-2</v>
      </c>
      <c r="G1870" s="251">
        <v>1861</v>
      </c>
      <c r="H1870" s="251">
        <f t="shared" ca="1" si="62"/>
        <v>-3.4216917099387706E-2</v>
      </c>
    </row>
    <row r="1871" spans="2:8">
      <c r="B1871" s="252">
        <v>44958</v>
      </c>
      <c r="C1871" s="251">
        <v>445.28</v>
      </c>
      <c r="D1871" s="251">
        <f t="shared" si="61"/>
        <v>3.5321119592875316</v>
      </c>
      <c r="E1871" s="251">
        <v>-1.2047658139380106E-2</v>
      </c>
      <c r="G1871" s="251">
        <v>1862</v>
      </c>
      <c r="H1871" s="251">
        <f t="shared" ca="1" si="62"/>
        <v>-1.5238564782143919E-2</v>
      </c>
    </row>
    <row r="1872" spans="2:8">
      <c r="B1872" s="252">
        <v>44012</v>
      </c>
      <c r="C1872" s="251">
        <v>98.25</v>
      </c>
      <c r="D1872" s="251">
        <f t="shared" si="61"/>
        <v>-0.66056313698393498</v>
      </c>
      <c r="E1872" s="251">
        <v>-1.2066365007541506E-2</v>
      </c>
      <c r="G1872" s="251">
        <v>1863</v>
      </c>
      <c r="H1872" s="251">
        <f t="shared" ca="1" si="62"/>
        <v>-1.7298721859487051E-2</v>
      </c>
    </row>
    <row r="1873" spans="2:8">
      <c r="B1873" s="252">
        <v>44320</v>
      </c>
      <c r="C1873" s="251">
        <v>289.45</v>
      </c>
      <c r="D1873" s="251">
        <f t="shared" si="61"/>
        <v>-8.8490001574555263E-2</v>
      </c>
      <c r="E1873" s="251">
        <v>-1.2116040955631438E-2</v>
      </c>
      <c r="G1873" s="251">
        <v>1864</v>
      </c>
      <c r="H1873" s="251">
        <f t="shared" ca="1" si="62"/>
        <v>1.3871457457019896E-2</v>
      </c>
    </row>
    <row r="1874" spans="2:8">
      <c r="B1874" s="252">
        <v>44267</v>
      </c>
      <c r="C1874" s="251">
        <v>317.55</v>
      </c>
      <c r="D1874" s="251">
        <f t="shared" si="61"/>
        <v>4.0976889034584491E-2</v>
      </c>
      <c r="E1874" s="251">
        <v>-1.2132524498366706E-2</v>
      </c>
      <c r="G1874" s="251">
        <v>1865</v>
      </c>
      <c r="H1874" s="251">
        <f t="shared" ca="1" si="62"/>
        <v>-3.69553786376269E-2</v>
      </c>
    </row>
    <row r="1875" spans="2:8">
      <c r="B1875" s="252">
        <v>43270</v>
      </c>
      <c r="C1875" s="251">
        <v>305.05</v>
      </c>
      <c r="D1875" s="251">
        <f t="shared" si="61"/>
        <v>-0.36593223861982954</v>
      </c>
      <c r="E1875" s="251">
        <v>-1.2143782383419689E-2</v>
      </c>
      <c r="G1875" s="251">
        <v>1866</v>
      </c>
      <c r="H1875" s="251">
        <f t="shared" ca="1" si="62"/>
        <v>1.2910135717174512E-2</v>
      </c>
    </row>
    <row r="1876" spans="2:8">
      <c r="B1876" s="252">
        <v>42738</v>
      </c>
      <c r="C1876" s="251">
        <v>481.1</v>
      </c>
      <c r="D1876" s="251">
        <f t="shared" si="61"/>
        <v>8.4291187739463674E-2</v>
      </c>
      <c r="E1876" s="251">
        <v>-1.2216404886561932E-2</v>
      </c>
      <c r="G1876" s="251">
        <v>1867</v>
      </c>
      <c r="H1876" s="251">
        <f t="shared" ca="1" si="62"/>
        <v>-5.9108970366401496E-2</v>
      </c>
    </row>
    <row r="1877" spans="2:8">
      <c r="B1877" s="252">
        <v>42843</v>
      </c>
      <c r="C1877" s="251">
        <v>443.7</v>
      </c>
      <c r="D1877" s="251">
        <f t="shared" si="61"/>
        <v>1.561038961038961</v>
      </c>
      <c r="E1877" s="251">
        <v>-1.2243989314336599E-2</v>
      </c>
      <c r="G1877" s="251">
        <v>1868</v>
      </c>
      <c r="H1877" s="251">
        <f t="shared" ca="1" si="62"/>
        <v>1.4615062201963564E-3</v>
      </c>
    </row>
    <row r="1878" spans="2:8">
      <c r="B1878" s="252">
        <v>43490</v>
      </c>
      <c r="C1878" s="251">
        <v>173.25</v>
      </c>
      <c r="D1878" s="251">
        <f t="shared" si="61"/>
        <v>-0.60548787430263007</v>
      </c>
      <c r="E1878" s="251">
        <v>-1.2257696693272552E-2</v>
      </c>
      <c r="G1878" s="251">
        <v>1869</v>
      </c>
      <c r="H1878" s="251">
        <f t="shared" ca="1" si="62"/>
        <v>1.920532859584614E-3</v>
      </c>
    </row>
    <row r="1879" spans="2:8">
      <c r="B1879" s="252">
        <v>44714</v>
      </c>
      <c r="C1879" s="251">
        <v>439.15</v>
      </c>
      <c r="D1879" s="251">
        <f t="shared" si="61"/>
        <v>0.16100462656972894</v>
      </c>
      <c r="E1879" s="251">
        <v>-1.2258209626630781E-2</v>
      </c>
      <c r="G1879" s="251">
        <v>1870</v>
      </c>
      <c r="H1879" s="251">
        <f t="shared" ca="1" si="62"/>
        <v>2.0790201761419911E-2</v>
      </c>
    </row>
    <row r="1880" spans="2:8">
      <c r="B1880" s="252">
        <v>42356</v>
      </c>
      <c r="C1880" s="251">
        <v>378.25</v>
      </c>
      <c r="D1880" s="251">
        <f t="shared" si="61"/>
        <v>-0.12825535837750629</v>
      </c>
      <c r="E1880" s="251">
        <v>-1.2273142707925287E-2</v>
      </c>
      <c r="G1880" s="251">
        <v>1871</v>
      </c>
      <c r="H1880" s="251">
        <f t="shared" ca="1" si="62"/>
        <v>-1.491328795288551E-3</v>
      </c>
    </row>
    <row r="1881" spans="2:8">
      <c r="B1881" s="252">
        <v>43103</v>
      </c>
      <c r="C1881" s="251">
        <v>433.9</v>
      </c>
      <c r="D1881" s="251">
        <f t="shared" si="61"/>
        <v>5.3666828557552122E-2</v>
      </c>
      <c r="E1881" s="251">
        <v>-1.2292283177782914E-2</v>
      </c>
      <c r="G1881" s="251">
        <v>1872</v>
      </c>
      <c r="H1881" s="251">
        <f t="shared" ca="1" si="62"/>
        <v>-2.9347215864749691E-2</v>
      </c>
    </row>
    <row r="1882" spans="2:8">
      <c r="B1882" s="252">
        <v>44742</v>
      </c>
      <c r="C1882" s="251">
        <v>411.8</v>
      </c>
      <c r="D1882" s="251">
        <f t="shared" si="61"/>
        <v>1.4526503871351995</v>
      </c>
      <c r="E1882" s="251">
        <v>-1.2351600911380206E-2</v>
      </c>
      <c r="G1882" s="251">
        <v>1873</v>
      </c>
      <c r="H1882" s="251">
        <f t="shared" ca="1" si="62"/>
        <v>1.8057097677348727E-2</v>
      </c>
    </row>
    <row r="1883" spans="2:8">
      <c r="B1883" s="252">
        <v>43663</v>
      </c>
      <c r="C1883" s="251">
        <v>167.9</v>
      </c>
      <c r="D1883" s="251">
        <f t="shared" si="61"/>
        <v>-0.75978253093926607</v>
      </c>
      <c r="E1883" s="251">
        <v>-1.2352941176470554E-2</v>
      </c>
      <c r="G1883" s="251">
        <v>1874</v>
      </c>
      <c r="H1883" s="251">
        <f t="shared" ca="1" si="62"/>
        <v>3.9241102178769957E-2</v>
      </c>
    </row>
    <row r="1884" spans="2:8">
      <c r="B1884" s="252">
        <v>45791</v>
      </c>
      <c r="C1884" s="251">
        <v>698.95</v>
      </c>
      <c r="D1884" s="251">
        <f t="shared" si="61"/>
        <v>0.53936791102301518</v>
      </c>
      <c r="E1884" s="251">
        <v>-1.2363996043521265E-2</v>
      </c>
      <c r="G1884" s="251">
        <v>1875</v>
      </c>
      <c r="H1884" s="251">
        <f t="shared" ca="1" si="62"/>
        <v>-3.2088293570675793E-5</v>
      </c>
    </row>
    <row r="1885" spans="2:8">
      <c r="B1885" s="252">
        <v>44620</v>
      </c>
      <c r="C1885" s="251">
        <v>454.05</v>
      </c>
      <c r="D1885" s="251">
        <f t="shared" si="61"/>
        <v>-0.14892221180880971</v>
      </c>
      <c r="E1885" s="251">
        <v>-1.2398042414355603E-2</v>
      </c>
      <c r="G1885" s="251">
        <v>1876</v>
      </c>
      <c r="H1885" s="251">
        <f t="shared" ca="1" si="62"/>
        <v>3.0297060596765145E-2</v>
      </c>
    </row>
    <row r="1886" spans="2:8">
      <c r="B1886" s="252">
        <v>42683</v>
      </c>
      <c r="C1886" s="251">
        <v>533.5</v>
      </c>
      <c r="D1886" s="251">
        <f t="shared" si="61"/>
        <v>0.38625438482525654</v>
      </c>
      <c r="E1886" s="251">
        <v>-1.2402813772676869E-2</v>
      </c>
      <c r="G1886" s="251">
        <v>1877</v>
      </c>
      <c r="H1886" s="251">
        <f t="shared" ca="1" si="62"/>
        <v>-3.1199690196230749E-2</v>
      </c>
    </row>
    <row r="1887" spans="2:8">
      <c r="B1887" s="252">
        <v>42508</v>
      </c>
      <c r="C1887" s="251">
        <v>384.85</v>
      </c>
      <c r="D1887" s="251">
        <f t="shared" si="61"/>
        <v>0.16904617253948978</v>
      </c>
      <c r="E1887" s="251">
        <v>-1.2445470875031988E-2</v>
      </c>
      <c r="G1887" s="251">
        <v>1878</v>
      </c>
      <c r="H1887" s="251">
        <f t="shared" ca="1" si="62"/>
        <v>-1.7764956714204791E-2</v>
      </c>
    </row>
    <row r="1888" spans="2:8">
      <c r="B1888" s="252">
        <v>44243</v>
      </c>
      <c r="C1888" s="251">
        <v>329.2</v>
      </c>
      <c r="D1888" s="251">
        <f t="shared" si="61"/>
        <v>-0.27672195979347469</v>
      </c>
      <c r="E1888" s="251">
        <v>-1.2449377531123546E-2</v>
      </c>
      <c r="G1888" s="251">
        <v>1879</v>
      </c>
      <c r="H1888" s="251">
        <f t="shared" ca="1" si="62"/>
        <v>1.6455961611232733E-2</v>
      </c>
    </row>
    <row r="1889" spans="2:8">
      <c r="B1889" s="252">
        <v>42558</v>
      </c>
      <c r="C1889" s="251">
        <v>455.15</v>
      </c>
      <c r="D1889" s="251">
        <f t="shared" si="61"/>
        <v>2.7215862632869992</v>
      </c>
      <c r="E1889" s="251">
        <v>-1.2475591234541115E-2</v>
      </c>
      <c r="G1889" s="251">
        <v>1880</v>
      </c>
      <c r="H1889" s="251">
        <f t="shared" ca="1" si="62"/>
        <v>-2.3589969504822044E-2</v>
      </c>
    </row>
    <row r="1890" spans="2:8">
      <c r="B1890" s="252">
        <v>44054</v>
      </c>
      <c r="C1890" s="251">
        <v>122.3</v>
      </c>
      <c r="D1890" s="251">
        <f t="shared" si="61"/>
        <v>-0.71320029078629554</v>
      </c>
      <c r="E1890" s="251">
        <v>-1.2515139281388754E-2</v>
      </c>
      <c r="G1890" s="251">
        <v>1881</v>
      </c>
      <c r="H1890" s="251">
        <f t="shared" ca="1" si="62"/>
        <v>1.6877855223795073E-2</v>
      </c>
    </row>
    <row r="1891" spans="2:8">
      <c r="B1891" s="252">
        <v>44981</v>
      </c>
      <c r="C1891" s="251">
        <v>426.43</v>
      </c>
      <c r="D1891" s="251">
        <f t="shared" si="61"/>
        <v>0.12425520696018981</v>
      </c>
      <c r="E1891" s="251">
        <v>-1.2596383170861597E-2</v>
      </c>
      <c r="G1891" s="251">
        <v>1882</v>
      </c>
      <c r="H1891" s="251">
        <f t="shared" ca="1" si="62"/>
        <v>9.9544699554645136E-3</v>
      </c>
    </row>
    <row r="1892" spans="2:8">
      <c r="B1892" s="252">
        <v>42975</v>
      </c>
      <c r="C1892" s="251">
        <v>379.3</v>
      </c>
      <c r="D1892" s="251">
        <f t="shared" si="61"/>
        <v>-4.0175406349288994E-3</v>
      </c>
      <c r="E1892" s="251">
        <v>-1.2625276584667359E-2</v>
      </c>
      <c r="G1892" s="251">
        <v>1883</v>
      </c>
      <c r="H1892" s="251">
        <f t="shared" ca="1" si="62"/>
        <v>-2.7971205692118417E-2</v>
      </c>
    </row>
    <row r="1893" spans="2:8">
      <c r="B1893" s="252">
        <v>44932</v>
      </c>
      <c r="C1893" s="251">
        <v>380.83</v>
      </c>
      <c r="D1893" s="251">
        <f t="shared" si="61"/>
        <v>-0.29729679859765668</v>
      </c>
      <c r="E1893" s="251">
        <v>-1.2651992429545502E-2</v>
      </c>
      <c r="G1893" s="251">
        <v>1884</v>
      </c>
      <c r="H1893" s="251">
        <f t="shared" ca="1" si="62"/>
        <v>-1.8770332289276791E-2</v>
      </c>
    </row>
    <row r="1894" spans="2:8">
      <c r="B1894" s="252">
        <v>42762</v>
      </c>
      <c r="C1894" s="251">
        <v>541.95000000000005</v>
      </c>
      <c r="D1894" s="251">
        <f t="shared" si="61"/>
        <v>4.1589719181342222</v>
      </c>
      <c r="E1894" s="251">
        <v>-1.2661687010384282E-2</v>
      </c>
      <c r="G1894" s="251">
        <v>1885</v>
      </c>
      <c r="H1894" s="251">
        <f t="shared" ca="1" si="62"/>
        <v>-6.902513019523126E-3</v>
      </c>
    </row>
    <row r="1895" spans="2:8">
      <c r="B1895" s="252">
        <v>44032</v>
      </c>
      <c r="C1895" s="251">
        <v>105.05</v>
      </c>
      <c r="D1895" s="251">
        <f t="shared" si="61"/>
        <v>-0.60223400227186674</v>
      </c>
      <c r="E1895" s="251">
        <v>-1.2687969924812109E-2</v>
      </c>
      <c r="G1895" s="251">
        <v>1886</v>
      </c>
      <c r="H1895" s="251">
        <f t="shared" ca="1" si="62"/>
        <v>9.964792980670701E-3</v>
      </c>
    </row>
    <row r="1896" spans="2:8">
      <c r="B1896" s="252">
        <v>43312</v>
      </c>
      <c r="C1896" s="251">
        <v>264.10000000000002</v>
      </c>
      <c r="D1896" s="251">
        <f t="shared" si="61"/>
        <v>-0.30573080967402722</v>
      </c>
      <c r="E1896" s="251">
        <v>-1.271028037383169E-2</v>
      </c>
      <c r="G1896" s="251">
        <v>1887</v>
      </c>
      <c r="H1896" s="251">
        <f t="shared" ca="1" si="62"/>
        <v>-1.2020634653608994E-2</v>
      </c>
    </row>
    <row r="1897" spans="2:8">
      <c r="B1897" s="252">
        <v>42965</v>
      </c>
      <c r="C1897" s="251">
        <v>380.4</v>
      </c>
      <c r="D1897" s="251">
        <f t="shared" si="61"/>
        <v>-7.2376121732344922E-2</v>
      </c>
      <c r="E1897" s="251">
        <v>-1.2717363093693314E-2</v>
      </c>
      <c r="G1897" s="251">
        <v>1888</v>
      </c>
      <c r="H1897" s="251">
        <f t="shared" ca="1" si="62"/>
        <v>2.1204565972664478E-2</v>
      </c>
    </row>
    <row r="1898" spans="2:8">
      <c r="B1898" s="252">
        <v>45000</v>
      </c>
      <c r="C1898" s="251">
        <v>410.08</v>
      </c>
      <c r="D1898" s="251">
        <f t="shared" si="61"/>
        <v>2.1208523592085231</v>
      </c>
      <c r="E1898" s="251">
        <v>-1.2735633290801022E-2</v>
      </c>
      <c r="G1898" s="251">
        <v>1889</v>
      </c>
      <c r="H1898" s="251">
        <f t="shared" ca="1" si="62"/>
        <v>3.7524434163258263E-2</v>
      </c>
    </row>
    <row r="1899" spans="2:8">
      <c r="B1899" s="252">
        <v>44097</v>
      </c>
      <c r="C1899" s="251">
        <v>131.4</v>
      </c>
      <c r="D1899" s="251">
        <f t="shared" si="61"/>
        <v>-0.60898675792292811</v>
      </c>
      <c r="E1899" s="251">
        <v>-1.2772351615326737E-2</v>
      </c>
      <c r="G1899" s="251">
        <v>1890</v>
      </c>
      <c r="H1899" s="251">
        <f t="shared" ca="1" si="62"/>
        <v>-1.1916490468813563E-2</v>
      </c>
    </row>
    <row r="1900" spans="2:8">
      <c r="B1900" s="252">
        <v>43222</v>
      </c>
      <c r="C1900" s="251">
        <v>336.05</v>
      </c>
      <c r="D1900" s="251">
        <f t="shared" si="61"/>
        <v>-0.21888801078517969</v>
      </c>
      <c r="E1900" s="251">
        <v>-1.2779083431257245E-2</v>
      </c>
      <c r="G1900" s="251">
        <v>1891</v>
      </c>
      <c r="H1900" s="251">
        <f t="shared" ca="1" si="62"/>
        <v>2.3053991069022586E-2</v>
      </c>
    </row>
    <row r="1901" spans="2:8">
      <c r="B1901" s="252">
        <v>44881</v>
      </c>
      <c r="C1901" s="251">
        <v>430.22</v>
      </c>
      <c r="D1901" s="251">
        <f t="shared" si="61"/>
        <v>5.1162790697680764E-4</v>
      </c>
      <c r="E1901" s="251">
        <v>-1.2804038549793447E-2</v>
      </c>
      <c r="G1901" s="251">
        <v>1892</v>
      </c>
      <c r="H1901" s="251">
        <f t="shared" ca="1" si="62"/>
        <v>-2.3678438814548784E-3</v>
      </c>
    </row>
    <row r="1902" spans="2:8">
      <c r="B1902" s="252">
        <v>42954</v>
      </c>
      <c r="C1902" s="251">
        <v>430</v>
      </c>
      <c r="D1902" s="251">
        <f t="shared" si="61"/>
        <v>-0.40065509791623111</v>
      </c>
      <c r="E1902" s="251">
        <v>-1.2855831037649271E-2</v>
      </c>
      <c r="G1902" s="251">
        <v>1893</v>
      </c>
      <c r="H1902" s="251">
        <f t="shared" ca="1" si="62"/>
        <v>-4.6085394948834915E-2</v>
      </c>
    </row>
    <row r="1903" spans="2:8">
      <c r="B1903" s="252">
        <v>45799</v>
      </c>
      <c r="C1903" s="251">
        <v>717.45</v>
      </c>
      <c r="D1903" s="251">
        <f t="shared" si="61"/>
        <v>0.80345382333718784</v>
      </c>
      <c r="E1903" s="251">
        <v>-1.2864611997798444E-2</v>
      </c>
      <c r="G1903" s="251">
        <v>1894</v>
      </c>
      <c r="H1903" s="251">
        <f t="shared" ca="1" si="62"/>
        <v>-4.7528866308880764E-2</v>
      </c>
    </row>
    <row r="1904" spans="2:8">
      <c r="B1904" s="252">
        <v>44853</v>
      </c>
      <c r="C1904" s="251">
        <v>397.82</v>
      </c>
      <c r="D1904" s="251">
        <f t="shared" si="61"/>
        <v>1.9393023548670994E-3</v>
      </c>
      <c r="E1904" s="251">
        <v>-1.2878092355028407E-2</v>
      </c>
      <c r="G1904" s="251">
        <v>1895</v>
      </c>
      <c r="H1904" s="251">
        <f t="shared" ca="1" si="62"/>
        <v>-1.1747624582753701E-2</v>
      </c>
    </row>
    <row r="1905" spans="2:8">
      <c r="B1905" s="252">
        <v>43075</v>
      </c>
      <c r="C1905" s="251">
        <v>397.05</v>
      </c>
      <c r="D1905" s="251">
        <f t="shared" si="61"/>
        <v>-4.5438153624233625E-2</v>
      </c>
      <c r="E1905" s="251">
        <v>-1.292728402734615E-2</v>
      </c>
      <c r="G1905" s="251">
        <v>1896</v>
      </c>
      <c r="H1905" s="251">
        <f t="shared" ca="1" si="62"/>
        <v>1.6542083294882222E-2</v>
      </c>
    </row>
    <row r="1906" spans="2:8">
      <c r="B1906" s="252">
        <v>43067</v>
      </c>
      <c r="C1906" s="251">
        <v>415.95</v>
      </c>
      <c r="D1906" s="251">
        <f t="shared" si="61"/>
        <v>0.27260211106011922</v>
      </c>
      <c r="E1906" s="251">
        <v>-1.2933080208827691E-2</v>
      </c>
      <c r="G1906" s="251">
        <v>1897</v>
      </c>
      <c r="H1906" s="251">
        <f t="shared" ca="1" si="62"/>
        <v>-1.4032903276162082E-2</v>
      </c>
    </row>
    <row r="1907" spans="2:8">
      <c r="B1907" s="252">
        <v>43187</v>
      </c>
      <c r="C1907" s="251">
        <v>326.85000000000002</v>
      </c>
      <c r="D1907" s="251">
        <f t="shared" si="61"/>
        <v>-0.18062170970167951</v>
      </c>
      <c r="E1907" s="251">
        <v>-1.2985052091197206E-2</v>
      </c>
      <c r="G1907" s="251">
        <v>1898</v>
      </c>
      <c r="H1907" s="251">
        <f t="shared" ca="1" si="62"/>
        <v>3.0814361324308405E-2</v>
      </c>
    </row>
    <row r="1908" spans="2:8">
      <c r="B1908" s="252">
        <v>43070</v>
      </c>
      <c r="C1908" s="251">
        <v>398.9</v>
      </c>
      <c r="D1908" s="251">
        <f t="shared" si="61"/>
        <v>-4.8334764767630607E-2</v>
      </c>
      <c r="E1908" s="251">
        <v>-1.2990226401088706E-2</v>
      </c>
      <c r="G1908" s="251">
        <v>1899</v>
      </c>
      <c r="H1908" s="251">
        <f t="shared" ca="1" si="62"/>
        <v>3.6733652166177369E-2</v>
      </c>
    </row>
    <row r="1909" spans="2:8">
      <c r="B1909" s="252">
        <v>44987</v>
      </c>
      <c r="C1909" s="251">
        <v>419.16</v>
      </c>
      <c r="D1909" s="251">
        <f t="shared" si="61"/>
        <v>-0.3381858372148101</v>
      </c>
      <c r="E1909" s="251">
        <v>-1.3021262567990705E-2</v>
      </c>
      <c r="G1909" s="251">
        <v>1900</v>
      </c>
      <c r="H1909" s="251">
        <f t="shared" ca="1" si="62"/>
        <v>3.4457731848613317E-2</v>
      </c>
    </row>
    <row r="1910" spans="2:8">
      <c r="B1910" s="252">
        <v>45135</v>
      </c>
      <c r="C1910" s="251">
        <v>633.35</v>
      </c>
      <c r="D1910" s="251">
        <f t="shared" si="61"/>
        <v>1.0978800927459427</v>
      </c>
      <c r="E1910" s="251">
        <v>-1.3043071744686163E-2</v>
      </c>
      <c r="G1910" s="251">
        <v>1901</v>
      </c>
      <c r="H1910" s="251">
        <f t="shared" ca="1" si="62"/>
        <v>2.8095499831917535E-4</v>
      </c>
    </row>
    <row r="1911" spans="2:8">
      <c r="B1911" s="252">
        <v>44315</v>
      </c>
      <c r="C1911" s="251">
        <v>301.89999999999998</v>
      </c>
      <c r="D1911" s="251">
        <f t="shared" si="61"/>
        <v>2.6172671651937419E-2</v>
      </c>
      <c r="E1911" s="251">
        <v>-1.3076168682576007E-2</v>
      </c>
      <c r="G1911" s="251">
        <v>1902</v>
      </c>
      <c r="H1911" s="251">
        <f t="shared" ca="1" si="62"/>
        <v>1.0634432935902948E-2</v>
      </c>
    </row>
    <row r="1912" spans="2:8">
      <c r="B1912" s="252">
        <v>44418</v>
      </c>
      <c r="C1912" s="251">
        <v>294.2</v>
      </c>
      <c r="D1912" s="251">
        <f t="shared" si="61"/>
        <v>-0.19275620798463439</v>
      </c>
      <c r="E1912" s="251">
        <v>-1.3082858101308398E-2</v>
      </c>
      <c r="G1912" s="251">
        <v>1903</v>
      </c>
      <c r="H1912" s="251">
        <f t="shared" ca="1" si="62"/>
        <v>-2.5687073564378323E-2</v>
      </c>
    </row>
    <row r="1913" spans="2:8">
      <c r="B1913" s="252">
        <v>43152</v>
      </c>
      <c r="C1913" s="251">
        <v>364.45</v>
      </c>
      <c r="D1913" s="251">
        <f t="shared" si="61"/>
        <v>-0.62117353567901867</v>
      </c>
      <c r="E1913" s="251">
        <v>-1.3132954237747151E-2</v>
      </c>
      <c r="G1913" s="251">
        <v>1904</v>
      </c>
      <c r="H1913" s="251">
        <f t="shared" ca="1" si="62"/>
        <v>2.6010278765959762E-2</v>
      </c>
    </row>
    <row r="1914" spans="2:8">
      <c r="B1914" s="252">
        <v>45553</v>
      </c>
      <c r="C1914" s="251">
        <v>962.05</v>
      </c>
      <c r="D1914" s="251">
        <f t="shared" si="61"/>
        <v>6.1741237882177478</v>
      </c>
      <c r="E1914" s="251">
        <v>-1.3231447766552223E-2</v>
      </c>
      <c r="G1914" s="251">
        <v>1905</v>
      </c>
      <c r="H1914" s="251">
        <f t="shared" ca="1" si="62"/>
        <v>2.1707769387318662E-2</v>
      </c>
    </row>
    <row r="1915" spans="2:8">
      <c r="B1915" s="252">
        <v>44117</v>
      </c>
      <c r="C1915" s="251">
        <v>134.1</v>
      </c>
      <c r="D1915" s="251">
        <f t="shared" si="61"/>
        <v>-0.81020451489632717</v>
      </c>
      <c r="E1915" s="251">
        <v>-1.3245033112582865E-2</v>
      </c>
      <c r="G1915" s="251">
        <v>1906</v>
      </c>
      <c r="H1915" s="251">
        <f t="shared" ca="1" si="62"/>
        <v>3.4338278139151995E-3</v>
      </c>
    </row>
    <row r="1916" spans="2:8">
      <c r="B1916" s="252">
        <v>45689</v>
      </c>
      <c r="C1916" s="251">
        <v>706.55</v>
      </c>
      <c r="D1916" s="251">
        <f t="shared" si="61"/>
        <v>0.90573162508428851</v>
      </c>
      <c r="E1916" s="251">
        <v>-1.3336126239352141E-2</v>
      </c>
      <c r="G1916" s="251">
        <v>1907</v>
      </c>
      <c r="H1916" s="251">
        <f t="shared" ca="1" si="62"/>
        <v>3.5691984768512009E-3</v>
      </c>
    </row>
    <row r="1917" spans="2:8">
      <c r="B1917" s="252">
        <v>43147</v>
      </c>
      <c r="C1917" s="251">
        <v>370.75</v>
      </c>
      <c r="D1917" s="251">
        <f t="shared" si="61"/>
        <v>-0.13366047435448064</v>
      </c>
      <c r="E1917" s="251">
        <v>-1.3437998935604075E-2</v>
      </c>
      <c r="G1917" s="251">
        <v>1908</v>
      </c>
      <c r="H1917" s="251">
        <f t="shared" ca="1" si="62"/>
        <v>2.9700071773338933E-2</v>
      </c>
    </row>
    <row r="1918" spans="2:8">
      <c r="B1918" s="252">
        <v>44641</v>
      </c>
      <c r="C1918" s="251">
        <v>427.95</v>
      </c>
      <c r="D1918" s="251">
        <f t="shared" si="61"/>
        <v>-0.13221129473790935</v>
      </c>
      <c r="E1918" s="251">
        <v>-1.3485477178423289E-2</v>
      </c>
      <c r="G1918" s="251">
        <v>1909</v>
      </c>
      <c r="H1918" s="251">
        <f t="shared" ca="1" si="62"/>
        <v>-8.0639948583640913E-3</v>
      </c>
    </row>
    <row r="1919" spans="2:8">
      <c r="B1919" s="252">
        <v>44610</v>
      </c>
      <c r="C1919" s="251">
        <v>493.15</v>
      </c>
      <c r="D1919" s="251">
        <f t="shared" si="61"/>
        <v>0.18725473674073712</v>
      </c>
      <c r="E1919" s="251">
        <v>-1.3601360136013624E-2</v>
      </c>
      <c r="G1919" s="251">
        <v>1910</v>
      </c>
      <c r="H1919" s="251">
        <f t="shared" ca="1" si="62"/>
        <v>-1.1042479571332593E-2</v>
      </c>
    </row>
    <row r="1920" spans="2:8">
      <c r="B1920" s="252">
        <v>44999</v>
      </c>
      <c r="C1920" s="251">
        <v>415.37</v>
      </c>
      <c r="D1920" s="251">
        <f t="shared" si="61"/>
        <v>-0.57395763885327455</v>
      </c>
      <c r="E1920" s="251">
        <v>-1.3607219187841411E-2</v>
      </c>
      <c r="G1920" s="251">
        <v>1911</v>
      </c>
      <c r="H1920" s="251">
        <f t="shared" ca="1" si="62"/>
        <v>-3.7077596844316526E-3</v>
      </c>
    </row>
    <row r="1921" spans="2:8">
      <c r="B1921" s="252">
        <v>45552</v>
      </c>
      <c r="C1921" s="251">
        <v>974.95</v>
      </c>
      <c r="D1921" s="251">
        <f t="shared" si="61"/>
        <v>3.2087200518022883</v>
      </c>
      <c r="E1921" s="251">
        <v>-1.3607851072440239E-2</v>
      </c>
      <c r="G1921" s="251">
        <v>1912</v>
      </c>
      <c r="H1921" s="251">
        <f t="shared" ca="1" si="62"/>
        <v>-1.4252777296007741E-3</v>
      </c>
    </row>
    <row r="1922" spans="2:8">
      <c r="B1922" s="252">
        <v>43578</v>
      </c>
      <c r="C1922" s="251">
        <v>231.65</v>
      </c>
      <c r="D1922" s="251">
        <f t="shared" si="61"/>
        <v>-0.43313348831518411</v>
      </c>
      <c r="E1922" s="251">
        <v>-1.3625718543751282E-2</v>
      </c>
      <c r="G1922" s="251">
        <v>1913</v>
      </c>
      <c r="H1922" s="251">
        <f t="shared" ca="1" si="62"/>
        <v>2.133338878548224E-2</v>
      </c>
    </row>
    <row r="1923" spans="2:8">
      <c r="B1923" s="252">
        <v>43054</v>
      </c>
      <c r="C1923" s="251">
        <v>408.65</v>
      </c>
      <c r="D1923" s="251">
        <f t="shared" si="61"/>
        <v>-0.19380930773935176</v>
      </c>
      <c r="E1923" s="251">
        <v>-1.3637460777214661E-2</v>
      </c>
      <c r="G1923" s="251">
        <v>1914</v>
      </c>
      <c r="H1923" s="251">
        <f t="shared" ca="1" si="62"/>
        <v>-3.3657675570663063E-2</v>
      </c>
    </row>
    <row r="1924" spans="2:8">
      <c r="B1924" s="252">
        <v>45064</v>
      </c>
      <c r="C1924" s="251">
        <v>506.89</v>
      </c>
      <c r="D1924" s="251">
        <f t="shared" si="61"/>
        <v>1.6524856096284666</v>
      </c>
      <c r="E1924" s="251">
        <v>-1.3659979373820285E-2</v>
      </c>
      <c r="G1924" s="251">
        <v>1915</v>
      </c>
      <c r="H1924" s="251">
        <f t="shared" ca="1" si="62"/>
        <v>3.3189335853032994E-3</v>
      </c>
    </row>
    <row r="1925" spans="2:8">
      <c r="B1925" s="252">
        <v>43833</v>
      </c>
      <c r="C1925" s="251">
        <v>191.1</v>
      </c>
      <c r="D1925" s="251">
        <f t="shared" si="61"/>
        <v>0.13919523099850967</v>
      </c>
      <c r="E1925" s="251">
        <v>-1.367741935483874E-2</v>
      </c>
      <c r="G1925" s="251">
        <v>1916</v>
      </c>
      <c r="H1925" s="251">
        <f t="shared" ca="1" si="62"/>
        <v>-2.7330232880806486E-2</v>
      </c>
    </row>
    <row r="1926" spans="2:8">
      <c r="B1926" s="252">
        <v>43788</v>
      </c>
      <c r="C1926" s="251">
        <v>167.75</v>
      </c>
      <c r="D1926" s="251">
        <f t="shared" si="61"/>
        <v>-0.56395726651243794</v>
      </c>
      <c r="E1926" s="251">
        <v>-1.381540270429156E-2</v>
      </c>
      <c r="G1926" s="251">
        <v>1917</v>
      </c>
      <c r="H1926" s="251">
        <f t="shared" ca="1" si="62"/>
        <v>-2.5375380490937557E-2</v>
      </c>
    </row>
    <row r="1927" spans="2:8">
      <c r="B1927" s="252">
        <v>44924</v>
      </c>
      <c r="C1927" s="251">
        <v>384.71</v>
      </c>
      <c r="D1927" s="251">
        <f t="shared" si="61"/>
        <v>-0.21270848255397523</v>
      </c>
      <c r="E1927" s="251">
        <v>-1.3816970007690445E-2</v>
      </c>
      <c r="G1927" s="251">
        <v>1918</v>
      </c>
      <c r="H1927" s="251">
        <f t="shared" ca="1" si="62"/>
        <v>5.7575495220093063E-3</v>
      </c>
    </row>
    <row r="1928" spans="2:8">
      <c r="B1928" s="252">
        <v>44524</v>
      </c>
      <c r="C1928" s="251">
        <v>488.65</v>
      </c>
      <c r="D1928" s="251">
        <f t="shared" si="61"/>
        <v>-0.5463912740775122</v>
      </c>
      <c r="E1928" s="251">
        <v>-1.3824419778002065E-2</v>
      </c>
      <c r="G1928" s="251">
        <v>1919</v>
      </c>
      <c r="H1928" s="251">
        <f t="shared" ca="1" si="62"/>
        <v>-2.9841983808372594E-2</v>
      </c>
    </row>
    <row r="1929" spans="2:8">
      <c r="B1929" s="252">
        <v>45531</v>
      </c>
      <c r="C1929" s="267">
        <v>1077.25</v>
      </c>
      <c r="D1929" s="251">
        <f t="shared" si="61"/>
        <v>1.6934616827103388</v>
      </c>
      <c r="E1929" s="251">
        <v>-1.3868546320029375E-2</v>
      </c>
      <c r="G1929" s="251">
        <v>1920</v>
      </c>
      <c r="H1929" s="251">
        <f t="shared" ca="1" si="62"/>
        <v>-2.2952029358955697E-2</v>
      </c>
    </row>
    <row r="1930" spans="2:8">
      <c r="B1930" s="252">
        <v>42342</v>
      </c>
      <c r="C1930" s="251">
        <v>399.95</v>
      </c>
      <c r="D1930" s="251">
        <f t="shared" ref="D1930:D1993" si="63">(C1930-C1931)/C1931</f>
        <v>-4.1691625733796651E-2</v>
      </c>
      <c r="E1930" s="251">
        <v>-1.3929980276134206E-2</v>
      </c>
      <c r="G1930" s="251">
        <v>1921</v>
      </c>
      <c r="H1930" s="251">
        <f t="shared" ca="1" si="62"/>
        <v>-4.2556272278733258E-2</v>
      </c>
    </row>
    <row r="1931" spans="2:8">
      <c r="B1931" s="252">
        <v>42339</v>
      </c>
      <c r="C1931" s="251">
        <v>417.35</v>
      </c>
      <c r="D1931" s="251">
        <f t="shared" si="63"/>
        <v>5.7353543629659861E-3</v>
      </c>
      <c r="E1931" s="251">
        <v>-1.3939751919669173E-2</v>
      </c>
      <c r="G1931" s="251">
        <v>1922</v>
      </c>
      <c r="H1931" s="251">
        <f t="shared" ref="H1931:H1994" ca="1" si="64">_xlfn.NORM.INV(RAND(),N$12,N$13)</f>
        <v>1.6864787891581308E-2</v>
      </c>
    </row>
    <row r="1932" spans="2:8">
      <c r="B1932" s="252">
        <v>44868</v>
      </c>
      <c r="C1932" s="251">
        <v>414.97</v>
      </c>
      <c r="D1932" s="251">
        <f t="shared" si="63"/>
        <v>1.1005821311060491</v>
      </c>
      <c r="E1932" s="251">
        <v>-1.3971723892123073E-2</v>
      </c>
      <c r="G1932" s="251">
        <v>1923</v>
      </c>
      <c r="H1932" s="251">
        <f t="shared" ca="1" si="64"/>
        <v>-2.631817163419815E-2</v>
      </c>
    </row>
    <row r="1933" spans="2:8">
      <c r="B1933" s="252">
        <v>43846</v>
      </c>
      <c r="C1933" s="251">
        <v>197.55</v>
      </c>
      <c r="D1933" s="251">
        <f t="shared" si="63"/>
        <v>-0.80446014966148005</v>
      </c>
      <c r="E1933" s="251">
        <v>-1.397554280009974E-2</v>
      </c>
      <c r="G1933" s="251">
        <v>1924</v>
      </c>
      <c r="H1933" s="251">
        <f t="shared" ca="1" si="64"/>
        <v>-1.4211931737252435E-2</v>
      </c>
    </row>
    <row r="1934" spans="2:8">
      <c r="B1934" s="252">
        <v>45415</v>
      </c>
      <c r="C1934" s="267">
        <v>1010.28</v>
      </c>
      <c r="D1934" s="251">
        <f t="shared" si="63"/>
        <v>4.8443337484433323E-2</v>
      </c>
      <c r="E1934" s="251">
        <v>-1.4014678326046344E-2</v>
      </c>
      <c r="G1934" s="251">
        <v>1925</v>
      </c>
      <c r="H1934" s="251">
        <f t="shared" ca="1" si="64"/>
        <v>3.5644890529417897E-2</v>
      </c>
    </row>
    <row r="1935" spans="2:8">
      <c r="B1935" s="252">
        <v>45560</v>
      </c>
      <c r="C1935" s="251">
        <v>963.6</v>
      </c>
      <c r="D1935" s="251">
        <f t="shared" si="63"/>
        <v>1.5178991377057751</v>
      </c>
      <c r="E1935" s="251">
        <v>-1.4018213445206111E-2</v>
      </c>
      <c r="G1935" s="251">
        <v>1926</v>
      </c>
      <c r="H1935" s="251">
        <f t="shared" ca="1" si="64"/>
        <v>4.3435168894817135E-3</v>
      </c>
    </row>
    <row r="1936" spans="2:8">
      <c r="B1936" s="252">
        <v>42984</v>
      </c>
      <c r="C1936" s="251">
        <v>382.7</v>
      </c>
      <c r="D1936" s="251">
        <f t="shared" si="63"/>
        <v>8.3368719037508809E-2</v>
      </c>
      <c r="E1936" s="251">
        <v>-1.4040963545021226E-2</v>
      </c>
      <c r="G1936" s="251">
        <v>1927</v>
      </c>
      <c r="H1936" s="251">
        <f t="shared" ca="1" si="64"/>
        <v>-1.1060368182789933E-2</v>
      </c>
    </row>
    <row r="1937" spans="2:8">
      <c r="B1937" s="252">
        <v>43200</v>
      </c>
      <c r="C1937" s="251">
        <v>353.25</v>
      </c>
      <c r="D1937" s="251">
        <f t="shared" si="63"/>
        <v>2.1695827725437415</v>
      </c>
      <c r="E1937" s="251">
        <v>-1.4094334356684375E-2</v>
      </c>
      <c r="G1937" s="251">
        <v>1928</v>
      </c>
      <c r="H1937" s="251">
        <f t="shared" ca="1" si="64"/>
        <v>3.8798809124256449E-2</v>
      </c>
    </row>
    <row r="1938" spans="2:8">
      <c r="B1938" s="252">
        <v>44047</v>
      </c>
      <c r="C1938" s="251">
        <v>111.45</v>
      </c>
      <c r="D1938" s="251">
        <f t="shared" si="63"/>
        <v>-0.75100536193029499</v>
      </c>
      <c r="E1938" s="251">
        <v>-1.4153029632905744E-2</v>
      </c>
      <c r="G1938" s="251">
        <v>1929</v>
      </c>
      <c r="H1938" s="251">
        <f t="shared" ca="1" si="64"/>
        <v>-3.8513493637519309E-3</v>
      </c>
    </row>
    <row r="1939" spans="2:8">
      <c r="B1939" s="252">
        <v>44622</v>
      </c>
      <c r="C1939" s="251">
        <v>447.6</v>
      </c>
      <c r="D1939" s="251">
        <f t="shared" si="63"/>
        <v>8.9104092656576969E-2</v>
      </c>
      <c r="E1939" s="251">
        <v>-1.4205483977535488E-2</v>
      </c>
      <c r="G1939" s="251">
        <v>1930</v>
      </c>
      <c r="H1939" s="251">
        <f t="shared" ca="1" si="64"/>
        <v>6.8821777246131678E-3</v>
      </c>
    </row>
    <row r="1940" spans="2:8">
      <c r="B1940" s="252">
        <v>44938</v>
      </c>
      <c r="C1940" s="251">
        <v>410.98</v>
      </c>
      <c r="D1940" s="251">
        <f t="shared" si="63"/>
        <v>1.4311150547175391</v>
      </c>
      <c r="E1940" s="251">
        <v>-1.422369336307598E-2</v>
      </c>
      <c r="G1940" s="251">
        <v>1931</v>
      </c>
      <c r="H1940" s="251">
        <f t="shared" ca="1" si="64"/>
        <v>-2.9728068750044665E-2</v>
      </c>
    </row>
    <row r="1941" spans="2:8">
      <c r="B1941" s="252">
        <v>43777</v>
      </c>
      <c r="C1941" s="251">
        <v>169.05</v>
      </c>
      <c r="D1941" s="251">
        <f t="shared" si="63"/>
        <v>-0.66421690336676931</v>
      </c>
      <c r="E1941" s="251">
        <v>-1.4285714285714219E-2</v>
      </c>
      <c r="G1941" s="251">
        <v>1932</v>
      </c>
      <c r="H1941" s="251">
        <f t="shared" ca="1" si="64"/>
        <v>9.4245274710993889E-3</v>
      </c>
    </row>
    <row r="1942" spans="2:8">
      <c r="B1942" s="252">
        <v>44511</v>
      </c>
      <c r="C1942" s="251">
        <v>503.45</v>
      </c>
      <c r="D1942" s="251">
        <f t="shared" si="63"/>
        <v>0.121719174724834</v>
      </c>
      <c r="E1942" s="251">
        <v>-1.4292706803720042E-2</v>
      </c>
      <c r="G1942" s="251">
        <v>1933</v>
      </c>
      <c r="H1942" s="251">
        <f t="shared" ca="1" si="64"/>
        <v>1.7954534110606341E-2</v>
      </c>
    </row>
    <row r="1943" spans="2:8">
      <c r="B1943" s="252">
        <v>44818</v>
      </c>
      <c r="C1943" s="251">
        <v>448.82</v>
      </c>
      <c r="D1943" s="251">
        <f t="shared" si="63"/>
        <v>5.1223796697505576E-2</v>
      </c>
      <c r="E1943" s="251">
        <v>-1.4427194273040676E-2</v>
      </c>
      <c r="G1943" s="251">
        <v>1934</v>
      </c>
      <c r="H1943" s="251">
        <f t="shared" ca="1" si="64"/>
        <v>-2.7009242881377692E-2</v>
      </c>
    </row>
    <row r="1944" spans="2:8">
      <c r="B1944" s="252">
        <v>43027</v>
      </c>
      <c r="C1944" s="251">
        <v>426.95</v>
      </c>
      <c r="D1944" s="251">
        <f t="shared" si="63"/>
        <v>0.20267605633802813</v>
      </c>
      <c r="E1944" s="251">
        <v>-1.4427516158818099E-2</v>
      </c>
      <c r="G1944" s="251">
        <v>1935</v>
      </c>
      <c r="H1944" s="251">
        <f t="shared" ca="1" si="64"/>
        <v>1.9772434665327715E-2</v>
      </c>
    </row>
    <row r="1945" spans="2:8">
      <c r="B1945" s="252">
        <v>42381</v>
      </c>
      <c r="C1945" s="251">
        <v>355</v>
      </c>
      <c r="D1945" s="251">
        <f t="shared" si="63"/>
        <v>0.97003329633740298</v>
      </c>
      <c r="E1945" s="251">
        <v>-1.4436424208772872E-2</v>
      </c>
      <c r="G1945" s="251">
        <v>1936</v>
      </c>
      <c r="H1945" s="251">
        <f t="shared" ca="1" si="64"/>
        <v>-3.0115028362851367E-3</v>
      </c>
    </row>
    <row r="1946" spans="2:8">
      <c r="B1946" s="252">
        <v>43544</v>
      </c>
      <c r="C1946" s="251">
        <v>180.2</v>
      </c>
      <c r="D1946" s="251">
        <f t="shared" si="63"/>
        <v>-0.67704935660776377</v>
      </c>
      <c r="E1946" s="251">
        <v>-1.4492753623188437E-2</v>
      </c>
      <c r="G1946" s="251">
        <v>1937</v>
      </c>
      <c r="H1946" s="251">
        <f t="shared" ca="1" si="64"/>
        <v>-4.7056066601734912E-2</v>
      </c>
    </row>
    <row r="1947" spans="2:8">
      <c r="B1947" s="252">
        <v>45085</v>
      </c>
      <c r="C1947" s="251">
        <v>557.98</v>
      </c>
      <c r="D1947" s="251">
        <f t="shared" si="63"/>
        <v>-0.22384198080400608</v>
      </c>
      <c r="E1947" s="251">
        <v>-1.4517838219710397E-2</v>
      </c>
      <c r="G1947" s="251">
        <v>1938</v>
      </c>
      <c r="H1947" s="251">
        <f t="shared" ca="1" si="64"/>
        <v>1.7069038895334249E-2</v>
      </c>
    </row>
    <row r="1948" spans="2:8">
      <c r="B1948" s="252">
        <v>45797</v>
      </c>
      <c r="C1948" s="251">
        <v>718.9</v>
      </c>
      <c r="D1948" s="251">
        <f t="shared" si="63"/>
        <v>3.165121668597914</v>
      </c>
      <c r="E1948" s="251">
        <v>-1.453050034270051E-2</v>
      </c>
      <c r="G1948" s="251">
        <v>1939</v>
      </c>
      <c r="H1948" s="251">
        <f t="shared" ca="1" si="64"/>
        <v>-7.0792667014043789E-3</v>
      </c>
    </row>
    <row r="1949" spans="2:8">
      <c r="B1949" s="252">
        <v>43616</v>
      </c>
      <c r="C1949" s="251">
        <v>172.6</v>
      </c>
      <c r="D1949" s="251">
        <f t="shared" si="63"/>
        <v>-0.61601779755283648</v>
      </c>
      <c r="E1949" s="251">
        <v>-1.455894947188131E-2</v>
      </c>
      <c r="G1949" s="251">
        <v>1940</v>
      </c>
      <c r="H1949" s="251">
        <f t="shared" ca="1" si="64"/>
        <v>2.3142795968013288E-2</v>
      </c>
    </row>
    <row r="1950" spans="2:8">
      <c r="B1950" s="252">
        <v>44658</v>
      </c>
      <c r="C1950" s="251">
        <v>449.5</v>
      </c>
      <c r="D1950" s="251">
        <f t="shared" si="63"/>
        <v>0.34641305975737596</v>
      </c>
      <c r="E1950" s="251">
        <v>-1.4578537761701146E-2</v>
      </c>
      <c r="G1950" s="251">
        <v>1941</v>
      </c>
      <c r="H1950" s="251">
        <f t="shared" ca="1" si="64"/>
        <v>1.6756356866526146E-2</v>
      </c>
    </row>
    <row r="1951" spans="2:8">
      <c r="B1951" s="252">
        <v>43180</v>
      </c>
      <c r="C1951" s="251">
        <v>333.85</v>
      </c>
      <c r="D1951" s="251">
        <f t="shared" si="63"/>
        <v>0.13806033748082494</v>
      </c>
      <c r="E1951" s="251">
        <v>-1.4610389610389577E-2</v>
      </c>
      <c r="G1951" s="251">
        <v>1942</v>
      </c>
      <c r="H1951" s="251">
        <f t="shared" ca="1" si="64"/>
        <v>1.1642860467882999E-3</v>
      </c>
    </row>
    <row r="1952" spans="2:8">
      <c r="B1952" s="252">
        <v>44426</v>
      </c>
      <c r="C1952" s="251">
        <v>293.35000000000002</v>
      </c>
      <c r="D1952" s="251">
        <f t="shared" si="63"/>
        <v>-0.25479486853804129</v>
      </c>
      <c r="E1952" s="251">
        <v>-1.4612025529055982E-2</v>
      </c>
      <c r="G1952" s="251">
        <v>1943</v>
      </c>
      <c r="H1952" s="251">
        <f t="shared" ca="1" si="64"/>
        <v>2.1610521331044755E-3</v>
      </c>
    </row>
    <row r="1953" spans="2:8">
      <c r="B1953" s="252">
        <v>43132</v>
      </c>
      <c r="C1953" s="251">
        <v>393.65</v>
      </c>
      <c r="D1953" s="251">
        <f t="shared" si="63"/>
        <v>-0.28615468310816949</v>
      </c>
      <c r="E1953" s="251">
        <v>-1.464330413016276E-2</v>
      </c>
      <c r="G1953" s="251">
        <v>1944</v>
      </c>
      <c r="H1953" s="251">
        <f t="shared" ca="1" si="64"/>
        <v>7.0371280482322482E-2</v>
      </c>
    </row>
    <row r="1954" spans="2:8">
      <c r="B1954" s="252">
        <v>42649</v>
      </c>
      <c r="C1954" s="251">
        <v>551.45000000000005</v>
      </c>
      <c r="D1954" s="251">
        <f t="shared" si="63"/>
        <v>0.69078644795339594</v>
      </c>
      <c r="E1954" s="251">
        <v>-1.4652014652014531E-2</v>
      </c>
      <c r="G1954" s="251">
        <v>1945</v>
      </c>
      <c r="H1954" s="251">
        <f t="shared" ca="1" si="64"/>
        <v>7.0067269959862878E-3</v>
      </c>
    </row>
    <row r="1955" spans="2:8">
      <c r="B1955" s="252">
        <v>44231</v>
      </c>
      <c r="C1955" s="251">
        <v>326.14999999999998</v>
      </c>
      <c r="D1955" s="251">
        <f t="shared" si="63"/>
        <v>-0.25933916203020335</v>
      </c>
      <c r="E1955" s="251">
        <v>-1.4652567975830885E-2</v>
      </c>
      <c r="G1955" s="251">
        <v>1946</v>
      </c>
      <c r="H1955" s="251">
        <f t="shared" ca="1" si="64"/>
        <v>5.6924561587098049E-2</v>
      </c>
    </row>
    <row r="1956" spans="2:8">
      <c r="B1956" s="252">
        <v>42949</v>
      </c>
      <c r="C1956" s="251">
        <v>440.35</v>
      </c>
      <c r="D1956" s="251">
        <f t="shared" si="63"/>
        <v>1.1926647669822588E-2</v>
      </c>
      <c r="E1956" s="251">
        <v>-1.465652271201601E-2</v>
      </c>
      <c r="G1956" s="251">
        <v>1947</v>
      </c>
      <c r="H1956" s="251">
        <f t="shared" ca="1" si="64"/>
        <v>2.8137232445300713E-3</v>
      </c>
    </row>
    <row r="1957" spans="2:8">
      <c r="B1957" s="252">
        <v>44978</v>
      </c>
      <c r="C1957" s="251">
        <v>435.16</v>
      </c>
      <c r="D1957" s="251">
        <f t="shared" si="63"/>
        <v>-0.3156678041799682</v>
      </c>
      <c r="E1957" s="251">
        <v>-1.4672584005071918E-2</v>
      </c>
      <c r="G1957" s="251">
        <v>1948</v>
      </c>
      <c r="H1957" s="251">
        <f t="shared" ca="1" si="64"/>
        <v>1.7604200436523909E-3</v>
      </c>
    </row>
    <row r="1958" spans="2:8">
      <c r="B1958" s="252">
        <v>45224</v>
      </c>
      <c r="C1958" s="251">
        <v>635.89</v>
      </c>
      <c r="D1958" s="251">
        <f t="shared" si="63"/>
        <v>0.41450339228117</v>
      </c>
      <c r="E1958" s="251">
        <v>-1.467398041403252E-2</v>
      </c>
      <c r="G1958" s="251">
        <v>1949</v>
      </c>
      <c r="H1958" s="251">
        <f t="shared" ca="1" si="64"/>
        <v>3.7005358350460808E-2</v>
      </c>
    </row>
    <row r="1959" spans="2:8">
      <c r="B1959" s="252">
        <v>42899</v>
      </c>
      <c r="C1959" s="251">
        <v>449.55</v>
      </c>
      <c r="D1959" s="251">
        <f t="shared" si="63"/>
        <v>3.5567022183317587E-2</v>
      </c>
      <c r="E1959" s="251">
        <v>-1.468493150684929E-2</v>
      </c>
      <c r="G1959" s="251">
        <v>1950</v>
      </c>
      <c r="H1959" s="251">
        <f t="shared" ca="1" si="64"/>
        <v>2.023311762670324E-2</v>
      </c>
    </row>
    <row r="1960" spans="2:8">
      <c r="B1960" s="252">
        <v>44964</v>
      </c>
      <c r="C1960" s="251">
        <v>434.11</v>
      </c>
      <c r="D1960" s="251">
        <f t="shared" si="63"/>
        <v>1.6143330322192111</v>
      </c>
      <c r="E1960" s="251">
        <v>-1.4819353667392822E-2</v>
      </c>
      <c r="G1960" s="251">
        <v>1951</v>
      </c>
      <c r="H1960" s="251">
        <f t="shared" ca="1" si="64"/>
        <v>1.0411843323837305E-3</v>
      </c>
    </row>
    <row r="1961" spans="2:8">
      <c r="B1961" s="252">
        <v>43468</v>
      </c>
      <c r="C1961" s="251">
        <v>166.05</v>
      </c>
      <c r="D1961" s="251">
        <f t="shared" si="63"/>
        <v>-0.61314446800083866</v>
      </c>
      <c r="E1961" s="251">
        <v>-1.4832393948383269E-2</v>
      </c>
      <c r="G1961" s="251">
        <v>1952</v>
      </c>
      <c r="H1961" s="251">
        <f t="shared" ca="1" si="64"/>
        <v>-1.740025855788482E-2</v>
      </c>
    </row>
    <row r="1962" spans="2:8">
      <c r="B1962" s="252">
        <v>44754</v>
      </c>
      <c r="C1962" s="251">
        <v>429.23</v>
      </c>
      <c r="D1962" s="251">
        <f t="shared" si="63"/>
        <v>1.4520422736361038</v>
      </c>
      <c r="E1962" s="251">
        <v>-1.4872277432236951E-2</v>
      </c>
      <c r="G1962" s="251">
        <v>1953</v>
      </c>
      <c r="H1962" s="251">
        <f t="shared" ca="1" si="64"/>
        <v>-1.0564762806190548E-2</v>
      </c>
    </row>
    <row r="1963" spans="2:8">
      <c r="B1963" s="252">
        <v>43770</v>
      </c>
      <c r="C1963" s="251">
        <v>175.05</v>
      </c>
      <c r="D1963" s="251">
        <f t="shared" si="63"/>
        <v>-0.5325767690253671</v>
      </c>
      <c r="E1963" s="251">
        <v>-1.4912774338773086E-2</v>
      </c>
      <c r="G1963" s="251">
        <v>1954</v>
      </c>
      <c r="H1963" s="251">
        <f t="shared" ca="1" si="64"/>
        <v>-7.3367005238210168E-3</v>
      </c>
    </row>
    <row r="1964" spans="2:8">
      <c r="B1964" s="252">
        <v>42958</v>
      </c>
      <c r="C1964" s="251">
        <v>374.5</v>
      </c>
      <c r="D1964" s="251">
        <f t="shared" si="63"/>
        <v>1.1182126696832577</v>
      </c>
      <c r="E1964" s="251">
        <v>-1.4992109416096761E-2</v>
      </c>
      <c r="G1964" s="251">
        <v>1955</v>
      </c>
      <c r="H1964" s="251">
        <f t="shared" ca="1" si="64"/>
        <v>9.7319927376039988E-3</v>
      </c>
    </row>
    <row r="1965" spans="2:8">
      <c r="B1965" s="252">
        <v>43418</v>
      </c>
      <c r="C1965" s="251">
        <v>176.8</v>
      </c>
      <c r="D1965" s="251">
        <f t="shared" si="63"/>
        <v>-0.8148303309593633</v>
      </c>
      <c r="E1965" s="251">
        <v>-1.5041782729804951E-2</v>
      </c>
      <c r="G1965" s="251">
        <v>1956</v>
      </c>
      <c r="H1965" s="251">
        <f t="shared" ca="1" si="64"/>
        <v>1.4166582045447905E-2</v>
      </c>
    </row>
    <row r="1966" spans="2:8">
      <c r="B1966" s="252">
        <v>45370</v>
      </c>
      <c r="C1966" s="251">
        <v>954.8</v>
      </c>
      <c r="D1966" s="251">
        <f t="shared" si="63"/>
        <v>0.82911877394636002</v>
      </c>
      <c r="E1966" s="251">
        <v>-1.5121820394859077E-2</v>
      </c>
      <c r="G1966" s="251">
        <v>1957</v>
      </c>
      <c r="H1966" s="251">
        <f t="shared" ca="1" si="64"/>
        <v>-1.1728079826480574E-3</v>
      </c>
    </row>
    <row r="1967" spans="2:8">
      <c r="B1967" s="252">
        <v>42670</v>
      </c>
      <c r="C1967" s="251">
        <v>522</v>
      </c>
      <c r="D1967" s="251">
        <f t="shared" si="63"/>
        <v>-0.32584269662921345</v>
      </c>
      <c r="E1967" s="251">
        <v>-1.5187246486180464E-2</v>
      </c>
      <c r="G1967" s="251">
        <v>1958</v>
      </c>
      <c r="H1967" s="251">
        <f t="shared" ca="1" si="64"/>
        <v>-2.1213816367882318E-2</v>
      </c>
    </row>
    <row r="1968" spans="2:8">
      <c r="B1968" s="252">
        <v>45610</v>
      </c>
      <c r="C1968" s="251">
        <v>774.3</v>
      </c>
      <c r="D1968" s="251">
        <f t="shared" si="63"/>
        <v>0.8161987193019492</v>
      </c>
      <c r="E1968" s="251">
        <v>-1.5198728139904668E-2</v>
      </c>
      <c r="G1968" s="251">
        <v>1959</v>
      </c>
      <c r="H1968" s="251">
        <f t="shared" ca="1" si="64"/>
        <v>1.4487167336846201E-2</v>
      </c>
    </row>
    <row r="1969" spans="2:8">
      <c r="B1969" s="252">
        <v>44825</v>
      </c>
      <c r="C1969" s="251">
        <v>426.33</v>
      </c>
      <c r="D1969" s="251">
        <f t="shared" si="63"/>
        <v>0.1159010600706713</v>
      </c>
      <c r="E1969" s="251">
        <v>-1.5199464091843664E-2</v>
      </c>
      <c r="G1969" s="251">
        <v>1960</v>
      </c>
      <c r="H1969" s="251">
        <f t="shared" ca="1" si="64"/>
        <v>-2.6886051751739835E-2</v>
      </c>
    </row>
    <row r="1970" spans="2:8">
      <c r="B1970" s="252">
        <v>42311</v>
      </c>
      <c r="C1970" s="251">
        <v>382.05</v>
      </c>
      <c r="D1970" s="251">
        <f t="shared" si="63"/>
        <v>-0.45107758620689653</v>
      </c>
      <c r="E1970" s="251">
        <v>-1.5208145379559163E-2</v>
      </c>
      <c r="G1970" s="251">
        <v>1961</v>
      </c>
      <c r="H1970" s="251">
        <f t="shared" ca="1" si="64"/>
        <v>3.2545692531181593E-2</v>
      </c>
    </row>
    <row r="1971" spans="2:8">
      <c r="B1971" s="252">
        <v>45698</v>
      </c>
      <c r="C1971" s="251">
        <v>696</v>
      </c>
      <c r="D1971" s="251">
        <f t="shared" si="63"/>
        <v>0.62833680368715339</v>
      </c>
      <c r="E1971" s="251">
        <v>-1.5210470463388751E-2</v>
      </c>
      <c r="G1971" s="251">
        <v>1962</v>
      </c>
      <c r="H1971" s="251">
        <f t="shared" ca="1" si="64"/>
        <v>2.824338067223664E-2</v>
      </c>
    </row>
    <row r="1972" spans="2:8">
      <c r="B1972" s="252">
        <v>44900</v>
      </c>
      <c r="C1972" s="251">
        <v>427.43</v>
      </c>
      <c r="D1972" s="251">
        <f t="shared" si="63"/>
        <v>0.62706509326227644</v>
      </c>
      <c r="E1972" s="251">
        <v>-1.5274386029581153E-2</v>
      </c>
      <c r="G1972" s="251">
        <v>1963</v>
      </c>
      <c r="H1972" s="251">
        <f t="shared" ca="1" si="64"/>
        <v>2.4470886358650412E-2</v>
      </c>
    </row>
    <row r="1973" spans="2:8">
      <c r="B1973" s="252">
        <v>44225</v>
      </c>
      <c r="C1973" s="251">
        <v>262.7</v>
      </c>
      <c r="D1973" s="251">
        <f t="shared" si="63"/>
        <v>-0.52022646333668154</v>
      </c>
      <c r="E1973" s="251">
        <v>-1.536731634182917E-2</v>
      </c>
      <c r="G1973" s="251">
        <v>1964</v>
      </c>
      <c r="H1973" s="251">
        <f t="shared" ca="1" si="64"/>
        <v>-3.9053001359186094E-2</v>
      </c>
    </row>
    <row r="1974" spans="2:8">
      <c r="B1974" s="252">
        <v>42660</v>
      </c>
      <c r="C1974" s="251">
        <v>547.54999999999995</v>
      </c>
      <c r="D1974" s="251">
        <f t="shared" si="63"/>
        <v>-0.26409515489550434</v>
      </c>
      <c r="E1974" s="251">
        <v>-1.5374932566085358E-2</v>
      </c>
      <c r="G1974" s="251">
        <v>1965</v>
      </c>
      <c r="H1974" s="251">
        <f t="shared" ca="1" si="64"/>
        <v>-6.9327870206027639E-2</v>
      </c>
    </row>
    <row r="1975" spans="2:8">
      <c r="B1975" s="252">
        <v>45645</v>
      </c>
      <c r="C1975" s="251">
        <v>744.05</v>
      </c>
      <c r="D1975" s="251">
        <f t="shared" si="63"/>
        <v>0.80726256983240219</v>
      </c>
      <c r="E1975" s="251">
        <v>-1.5416170438004619E-2</v>
      </c>
      <c r="G1975" s="251">
        <v>1966</v>
      </c>
      <c r="H1975" s="251">
        <f t="shared" ca="1" si="64"/>
        <v>-9.0609254812131137E-3</v>
      </c>
    </row>
    <row r="1976" spans="2:8">
      <c r="B1976" s="252">
        <v>44634</v>
      </c>
      <c r="C1976" s="251">
        <v>411.7</v>
      </c>
      <c r="D1976" s="251">
        <f t="shared" si="63"/>
        <v>-0.61467546445785948</v>
      </c>
      <c r="E1976" s="251">
        <v>-1.5425086691378665E-2</v>
      </c>
      <c r="G1976" s="251">
        <v>1967</v>
      </c>
      <c r="H1976" s="251">
        <f t="shared" ca="1" si="64"/>
        <v>1.892449356080585E-2</v>
      </c>
    </row>
    <row r="1977" spans="2:8">
      <c r="B1977" s="252">
        <v>45526</v>
      </c>
      <c r="C1977" s="267">
        <v>1068.45</v>
      </c>
      <c r="D1977" s="251">
        <f t="shared" si="63"/>
        <v>1.6387997036305264</v>
      </c>
      <c r="E1977" s="251">
        <v>-1.543494286767416E-2</v>
      </c>
      <c r="G1977" s="251">
        <v>1968</v>
      </c>
      <c r="H1977" s="251">
        <f t="shared" ca="1" si="64"/>
        <v>-6.4087907055010111E-3</v>
      </c>
    </row>
    <row r="1978" spans="2:8">
      <c r="B1978" s="252">
        <v>43005</v>
      </c>
      <c r="C1978" s="251">
        <v>404.9</v>
      </c>
      <c r="D1978" s="251">
        <f t="shared" si="63"/>
        <v>3.8900966183574877</v>
      </c>
      <c r="E1978" s="251">
        <v>-1.544072948328273E-2</v>
      </c>
      <c r="G1978" s="251">
        <v>1969</v>
      </c>
      <c r="H1978" s="251">
        <f t="shared" ca="1" si="64"/>
        <v>-5.0606693232931155E-2</v>
      </c>
    </row>
    <row r="1979" spans="2:8">
      <c r="B1979" s="252">
        <v>43973</v>
      </c>
      <c r="C1979" s="251">
        <v>82.8</v>
      </c>
      <c r="D1979" s="251">
        <f t="shared" si="63"/>
        <v>-0.4089935760171306</v>
      </c>
      <c r="E1979" s="251">
        <v>-1.5457788347205674E-2</v>
      </c>
      <c r="G1979" s="251">
        <v>1970</v>
      </c>
      <c r="H1979" s="251">
        <f t="shared" ca="1" si="64"/>
        <v>2.1441470541022677E-5</v>
      </c>
    </row>
    <row r="1980" spans="2:8">
      <c r="B1980" s="252">
        <v>44083</v>
      </c>
      <c r="C1980" s="251">
        <v>140.1</v>
      </c>
      <c r="D1980" s="251">
        <f t="shared" si="63"/>
        <v>-0.77349888446988069</v>
      </c>
      <c r="E1980" s="251">
        <v>-1.5460295151089367E-2</v>
      </c>
      <c r="G1980" s="251">
        <v>1971</v>
      </c>
      <c r="H1980" s="251">
        <f t="shared" ca="1" si="64"/>
        <v>2.8227587714180692E-2</v>
      </c>
    </row>
    <row r="1981" spans="2:8">
      <c r="B1981" s="252">
        <v>45202</v>
      </c>
      <c r="C1981" s="251">
        <v>618.54</v>
      </c>
      <c r="D1981" s="251">
        <f t="shared" si="63"/>
        <v>2.6763150074294204</v>
      </c>
      <c r="E1981" s="251">
        <v>-1.5471301690383006E-2</v>
      </c>
      <c r="G1981" s="251">
        <v>1972</v>
      </c>
      <c r="H1981" s="251">
        <f t="shared" ca="1" si="64"/>
        <v>2.9597182120110879E-2</v>
      </c>
    </row>
    <row r="1982" spans="2:8">
      <c r="B1982" s="252">
        <v>43461</v>
      </c>
      <c r="C1982" s="251">
        <v>168.25</v>
      </c>
      <c r="D1982" s="251">
        <f t="shared" si="63"/>
        <v>-0.67842125382262997</v>
      </c>
      <c r="E1982" s="251">
        <v>-1.5506143943826833E-2</v>
      </c>
      <c r="G1982" s="251">
        <v>1973</v>
      </c>
      <c r="H1982" s="251">
        <f t="shared" ca="1" si="64"/>
        <v>-4.5726159920595442E-2</v>
      </c>
    </row>
    <row r="1983" spans="2:8">
      <c r="B1983" s="252">
        <v>42755</v>
      </c>
      <c r="C1983" s="251">
        <v>523.20000000000005</v>
      </c>
      <c r="D1983" s="251">
        <f t="shared" si="63"/>
        <v>1.852003270645953</v>
      </c>
      <c r="E1983" s="251">
        <v>-1.5523567598080721E-2</v>
      </c>
      <c r="G1983" s="251">
        <v>1974</v>
      </c>
      <c r="H1983" s="251">
        <f t="shared" ca="1" si="64"/>
        <v>-1.3456485341688224E-2</v>
      </c>
    </row>
    <row r="1984" spans="2:8">
      <c r="B1984" s="252">
        <v>44194</v>
      </c>
      <c r="C1984" s="251">
        <v>183.45</v>
      </c>
      <c r="D1984" s="251">
        <f t="shared" si="63"/>
        <v>-0.57885674931129483</v>
      </c>
      <c r="E1984" s="251">
        <v>-1.5562114301046448E-2</v>
      </c>
      <c r="G1984" s="251">
        <v>1975</v>
      </c>
      <c r="H1984" s="251">
        <f t="shared" ca="1" si="64"/>
        <v>4.9206750587655619E-2</v>
      </c>
    </row>
    <row r="1985" spans="2:8">
      <c r="B1985" s="252">
        <v>42915</v>
      </c>
      <c r="C1985" s="251">
        <v>435.6</v>
      </c>
      <c r="D1985" s="251">
        <f t="shared" si="63"/>
        <v>-0.16004627844195912</v>
      </c>
      <c r="E1985" s="251">
        <v>-1.5593220338982999E-2</v>
      </c>
      <c r="G1985" s="251">
        <v>1976</v>
      </c>
      <c r="H1985" s="251">
        <f t="shared" ca="1" si="64"/>
        <v>-7.192347462126312E-3</v>
      </c>
    </row>
    <row r="1986" spans="2:8">
      <c r="B1986" s="252">
        <v>45070</v>
      </c>
      <c r="C1986" s="251">
        <v>518.6</v>
      </c>
      <c r="D1986" s="251">
        <f t="shared" si="63"/>
        <v>-0.20664545343287224</v>
      </c>
      <c r="E1986" s="251">
        <v>-1.5696471615388962E-2</v>
      </c>
      <c r="G1986" s="251">
        <v>1977</v>
      </c>
      <c r="H1986" s="251">
        <f t="shared" ca="1" si="64"/>
        <v>-2.141902314194212E-2</v>
      </c>
    </row>
    <row r="1987" spans="2:8">
      <c r="B1987" s="252">
        <v>45216</v>
      </c>
      <c r="C1987" s="251">
        <v>653.67999999999995</v>
      </c>
      <c r="D1987" s="251">
        <f t="shared" si="63"/>
        <v>0.88652236652236638</v>
      </c>
      <c r="E1987" s="251">
        <v>-1.5764511029135026E-2</v>
      </c>
      <c r="G1987" s="251">
        <v>1978</v>
      </c>
      <c r="H1987" s="251">
        <f t="shared" ca="1" si="64"/>
        <v>1.198251671180006E-2</v>
      </c>
    </row>
    <row r="1988" spans="2:8">
      <c r="B1988" s="252">
        <v>43165</v>
      </c>
      <c r="C1988" s="251">
        <v>346.5</v>
      </c>
      <c r="D1988" s="251">
        <f t="shared" si="63"/>
        <v>0.32834962622196651</v>
      </c>
      <c r="E1988" s="251">
        <v>-1.5764806135492148E-2</v>
      </c>
      <c r="G1988" s="251">
        <v>1979</v>
      </c>
      <c r="H1988" s="251">
        <f t="shared" ca="1" si="64"/>
        <v>-9.2482309772062066E-2</v>
      </c>
    </row>
    <row r="1989" spans="2:8">
      <c r="B1989" s="252">
        <v>43314</v>
      </c>
      <c r="C1989" s="251">
        <v>260.85000000000002</v>
      </c>
      <c r="D1989" s="251">
        <f t="shared" si="63"/>
        <v>-0.37303208748948441</v>
      </c>
      <c r="E1989" s="251">
        <v>-1.5846066779852813E-2</v>
      </c>
      <c r="G1989" s="251">
        <v>1980</v>
      </c>
      <c r="H1989" s="251">
        <f t="shared" ca="1" si="64"/>
        <v>-2.3807052075191414E-2</v>
      </c>
    </row>
    <row r="1990" spans="2:8">
      <c r="B1990" s="252">
        <v>43032</v>
      </c>
      <c r="C1990" s="251">
        <v>416.05</v>
      </c>
      <c r="D1990" s="251">
        <f t="shared" si="63"/>
        <v>-0.24175323491889925</v>
      </c>
      <c r="E1990" s="251">
        <v>-1.584861028976934E-2</v>
      </c>
      <c r="G1990" s="251">
        <v>1981</v>
      </c>
      <c r="H1990" s="251">
        <f t="shared" ca="1" si="64"/>
        <v>-2.3940284266282596E-2</v>
      </c>
    </row>
    <row r="1991" spans="2:8">
      <c r="B1991" s="252">
        <v>42629</v>
      </c>
      <c r="C1991" s="251">
        <v>548.70000000000005</v>
      </c>
      <c r="D1991" s="251">
        <f t="shared" si="63"/>
        <v>0.4657406170695873</v>
      </c>
      <c r="E1991" s="251">
        <v>-1.5873015873015713E-2</v>
      </c>
      <c r="G1991" s="251">
        <v>1982</v>
      </c>
      <c r="H1991" s="251">
        <f t="shared" ca="1" si="64"/>
        <v>2.0756077049132717E-2</v>
      </c>
    </row>
    <row r="1992" spans="2:8">
      <c r="B1992" s="252">
        <v>42968</v>
      </c>
      <c r="C1992" s="251">
        <v>374.35</v>
      </c>
      <c r="D1992" s="251">
        <f t="shared" si="63"/>
        <v>-0.10367532623009687</v>
      </c>
      <c r="E1992" s="251">
        <v>-1.5904311251314286E-2</v>
      </c>
      <c r="G1992" s="251">
        <v>1983</v>
      </c>
      <c r="H1992" s="251">
        <f t="shared" ca="1" si="64"/>
        <v>2.8670455855355327E-3</v>
      </c>
    </row>
    <row r="1993" spans="2:8">
      <c r="B1993" s="252">
        <v>42335</v>
      </c>
      <c r="C1993" s="251">
        <v>417.65</v>
      </c>
      <c r="D1993" s="251">
        <f t="shared" si="63"/>
        <v>0.45370692655760514</v>
      </c>
      <c r="E1993" s="251">
        <v>-1.5904806786050895E-2</v>
      </c>
      <c r="G1993" s="251">
        <v>1984</v>
      </c>
      <c r="H1993" s="251">
        <f t="shared" ca="1" si="64"/>
        <v>-1.4927370414890355E-2</v>
      </c>
    </row>
    <row r="1994" spans="2:8">
      <c r="B1994" s="252">
        <v>44439</v>
      </c>
      <c r="C1994" s="251">
        <v>287.3</v>
      </c>
      <c r="D1994" s="251">
        <f t="shared" ref="D1994:D2057" si="65">(C1994-C1995)/C1995</f>
        <v>-0.19815796818308679</v>
      </c>
      <c r="E1994" s="251">
        <v>-1.5927384826168789E-2</v>
      </c>
      <c r="G1994" s="251">
        <v>1985</v>
      </c>
      <c r="H1994" s="251">
        <f t="shared" ca="1" si="64"/>
        <v>-1.8216787571928579E-2</v>
      </c>
    </row>
    <row r="1995" spans="2:8">
      <c r="B1995" s="252">
        <v>43199</v>
      </c>
      <c r="C1995" s="251">
        <v>358.3</v>
      </c>
      <c r="D1995" s="251">
        <f t="shared" si="65"/>
        <v>-0.54435048006612829</v>
      </c>
      <c r="E1995" s="251">
        <v>-1.592968964570176E-2</v>
      </c>
      <c r="G1995" s="251">
        <v>1986</v>
      </c>
      <c r="H1995" s="251">
        <f t="shared" ref="H1995:H2058" ca="1" si="66">_xlfn.NORM.INV(RAND(),N$12,N$13)</f>
        <v>-1.6694169570668296E-2</v>
      </c>
    </row>
    <row r="1996" spans="2:8">
      <c r="B1996" s="252">
        <v>45638</v>
      </c>
      <c r="C1996" s="251">
        <v>786.35</v>
      </c>
      <c r="D1996" s="251">
        <f t="shared" si="65"/>
        <v>1.0427328224444734</v>
      </c>
      <c r="E1996" s="251">
        <v>-1.5955449881116256E-2</v>
      </c>
      <c r="G1996" s="251">
        <v>1987</v>
      </c>
      <c r="H1996" s="251">
        <f t="shared" ca="1" si="66"/>
        <v>-7.6331164055187875E-2</v>
      </c>
    </row>
    <row r="1997" spans="2:8">
      <c r="B1997" s="252">
        <v>42307</v>
      </c>
      <c r="C1997" s="251">
        <v>384.95</v>
      </c>
      <c r="D1997" s="251">
        <f t="shared" si="65"/>
        <v>-0.14350873289576149</v>
      </c>
      <c r="E1997" s="251">
        <v>-1.5976482617586912E-2</v>
      </c>
      <c r="G1997" s="251">
        <v>1988</v>
      </c>
      <c r="H1997" s="251">
        <f t="shared" ca="1" si="66"/>
        <v>-4.0555269491639359E-2</v>
      </c>
    </row>
    <row r="1998" spans="2:8">
      <c r="B1998" s="252">
        <v>42795</v>
      </c>
      <c r="C1998" s="251">
        <v>449.45</v>
      </c>
      <c r="D1998" s="251">
        <f t="shared" si="65"/>
        <v>0.1744186046511628</v>
      </c>
      <c r="E1998" s="251">
        <v>-1.5982484948002213E-2</v>
      </c>
      <c r="G1998" s="251">
        <v>1989</v>
      </c>
      <c r="H1998" s="251">
        <f t="shared" ca="1" si="66"/>
        <v>2.4350716601064668E-2</v>
      </c>
    </row>
    <row r="1999" spans="2:8">
      <c r="B1999" s="252">
        <v>44732</v>
      </c>
      <c r="C1999" s="251">
        <v>382.7</v>
      </c>
      <c r="D1999" s="251">
        <f t="shared" si="65"/>
        <v>-0.21834150326797391</v>
      </c>
      <c r="E1999" s="251">
        <v>-1.6068903458028024E-2</v>
      </c>
      <c r="G1999" s="251">
        <v>1990</v>
      </c>
      <c r="H1999" s="251">
        <f t="shared" ca="1" si="66"/>
        <v>-3.3161156037583343E-2</v>
      </c>
    </row>
    <row r="2000" spans="2:8">
      <c r="B2000" s="252">
        <v>44565</v>
      </c>
      <c r="C2000" s="251">
        <v>489.6</v>
      </c>
      <c r="D2000" s="251">
        <f t="shared" si="65"/>
        <v>3.0114707087259323</v>
      </c>
      <c r="E2000" s="251">
        <v>-1.607717041800643E-2</v>
      </c>
      <c r="G2000" s="251">
        <v>1991</v>
      </c>
      <c r="H2000" s="251">
        <f t="shared" ca="1" si="66"/>
        <v>2.735247736688725E-2</v>
      </c>
    </row>
    <row r="2001" spans="2:8">
      <c r="B2001" s="252">
        <v>43686</v>
      </c>
      <c r="C2001" s="251">
        <v>122.05</v>
      </c>
      <c r="D2001" s="251">
        <f t="shared" si="65"/>
        <v>-0.7149230373951837</v>
      </c>
      <c r="E2001" s="251">
        <v>-1.6122531237404272E-2</v>
      </c>
      <c r="G2001" s="251">
        <v>1992</v>
      </c>
      <c r="H2001" s="251">
        <f t="shared" ca="1" si="66"/>
        <v>-2.0911797824961876E-2</v>
      </c>
    </row>
    <row r="2002" spans="2:8">
      <c r="B2002" s="252">
        <v>44979</v>
      </c>
      <c r="C2002" s="251">
        <v>428.13</v>
      </c>
      <c r="D2002" s="251">
        <f t="shared" si="65"/>
        <v>-6.3592266809014532E-3</v>
      </c>
      <c r="E2002" s="251">
        <v>-1.6154977479547819E-2</v>
      </c>
      <c r="G2002" s="251">
        <v>1993</v>
      </c>
      <c r="H2002" s="251">
        <f t="shared" ca="1" si="66"/>
        <v>-3.0808784013534865E-3</v>
      </c>
    </row>
    <row r="2003" spans="2:8">
      <c r="B2003" s="252">
        <v>44994</v>
      </c>
      <c r="C2003" s="251">
        <v>430.87</v>
      </c>
      <c r="D2003" s="251">
        <f t="shared" si="65"/>
        <v>-0.46347142839353983</v>
      </c>
      <c r="E2003" s="251">
        <v>-1.6166229021577768E-2</v>
      </c>
      <c r="G2003" s="251">
        <v>1994</v>
      </c>
      <c r="H2003" s="251">
        <f t="shared" ca="1" si="66"/>
        <v>1.7032896376680116E-2</v>
      </c>
    </row>
    <row r="2004" spans="2:8">
      <c r="B2004" s="252">
        <v>45308</v>
      </c>
      <c r="C2004" s="251">
        <v>803.07</v>
      </c>
      <c r="D2004" s="251">
        <f t="shared" si="65"/>
        <v>3.9147490820073441</v>
      </c>
      <c r="E2004" s="251">
        <v>-1.6243430965418384E-2</v>
      </c>
      <c r="G2004" s="251">
        <v>1995</v>
      </c>
      <c r="H2004" s="251">
        <f t="shared" ca="1" si="66"/>
        <v>-1.5171647306584057E-2</v>
      </c>
    </row>
    <row r="2005" spans="2:8">
      <c r="B2005" s="252">
        <v>43795</v>
      </c>
      <c r="C2005" s="251">
        <v>163.4</v>
      </c>
      <c r="D2005" s="251">
        <f t="shared" si="65"/>
        <v>-0.55688135593220334</v>
      </c>
      <c r="E2005" s="251">
        <v>-1.6255267910896983E-2</v>
      </c>
      <c r="G2005" s="251">
        <v>1996</v>
      </c>
      <c r="H2005" s="251">
        <f t="shared" ca="1" si="66"/>
        <v>1.0040911211677085E-2</v>
      </c>
    </row>
    <row r="2006" spans="2:8">
      <c r="B2006" s="252">
        <v>43140</v>
      </c>
      <c r="C2006" s="251">
        <v>368.75</v>
      </c>
      <c r="D2006" s="251">
        <f t="shared" si="65"/>
        <v>1.1414053426248549</v>
      </c>
      <c r="E2006" s="251">
        <v>-1.6273175937041542E-2</v>
      </c>
      <c r="G2006" s="251">
        <v>1997</v>
      </c>
      <c r="H2006" s="251">
        <f t="shared" ca="1" si="66"/>
        <v>-2.8230242752686801E-2</v>
      </c>
    </row>
    <row r="2007" spans="2:8">
      <c r="B2007" s="252">
        <v>43773</v>
      </c>
      <c r="C2007" s="251">
        <v>172.2</v>
      </c>
      <c r="D2007" s="251">
        <f t="shared" si="65"/>
        <v>-0.59400198047814401</v>
      </c>
      <c r="E2007" s="251">
        <v>-1.6281062553556255E-2</v>
      </c>
      <c r="G2007" s="251">
        <v>1998</v>
      </c>
      <c r="H2007" s="251">
        <f t="shared" ca="1" si="66"/>
        <v>-4.0905708387700031E-2</v>
      </c>
    </row>
    <row r="2008" spans="2:8">
      <c r="B2008" s="252">
        <v>44823</v>
      </c>
      <c r="C2008" s="251">
        <v>424.14</v>
      </c>
      <c r="D2008" s="251">
        <f t="shared" si="65"/>
        <v>-8.6987407168227365E-2</v>
      </c>
      <c r="E2008" s="251">
        <v>-1.6304473873414268E-2</v>
      </c>
      <c r="G2008" s="251">
        <v>1999</v>
      </c>
      <c r="H2008" s="251">
        <f t="shared" ca="1" si="66"/>
        <v>-2.2589831739593089E-2</v>
      </c>
    </row>
    <row r="2009" spans="2:8">
      <c r="B2009" s="252">
        <v>42837</v>
      </c>
      <c r="C2009" s="251">
        <v>464.55</v>
      </c>
      <c r="D2009" s="251">
        <f t="shared" si="65"/>
        <v>0.29581589958158999</v>
      </c>
      <c r="E2009" s="251">
        <v>-1.63049232398094E-2</v>
      </c>
      <c r="G2009" s="251">
        <v>2000</v>
      </c>
      <c r="H2009" s="251">
        <f t="shared" ca="1" si="66"/>
        <v>8.5831837447491316E-3</v>
      </c>
    </row>
    <row r="2010" spans="2:8">
      <c r="B2010" s="252">
        <v>43153</v>
      </c>
      <c r="C2010" s="251">
        <v>358.5</v>
      </c>
      <c r="D2010" s="251">
        <f t="shared" si="65"/>
        <v>-0.14400324729590985</v>
      </c>
      <c r="E2010" s="251">
        <v>-1.6325970640691422E-2</v>
      </c>
      <c r="G2010" s="251">
        <v>2001</v>
      </c>
      <c r="H2010" s="251">
        <f t="shared" ca="1" si="66"/>
        <v>-1.6219442955580855E-2</v>
      </c>
    </row>
    <row r="2011" spans="2:8">
      <c r="B2011" s="252">
        <v>44902</v>
      </c>
      <c r="C2011" s="251">
        <v>418.81</v>
      </c>
      <c r="D2011" s="251">
        <f t="shared" si="65"/>
        <v>-0.46858266717421648</v>
      </c>
      <c r="E2011" s="251">
        <v>-1.6393057610559238E-2</v>
      </c>
      <c r="G2011" s="251">
        <v>2002</v>
      </c>
      <c r="H2011" s="251">
        <f t="shared" ca="1" si="66"/>
        <v>-1.7994650166562792E-2</v>
      </c>
    </row>
    <row r="2012" spans="2:8">
      <c r="B2012" s="252">
        <v>45630</v>
      </c>
      <c r="C2012" s="251">
        <v>788.1</v>
      </c>
      <c r="D2012" s="251">
        <f t="shared" si="65"/>
        <v>0.83920653442240378</v>
      </c>
      <c r="E2012" s="251">
        <v>-1.6411856474258944E-2</v>
      </c>
      <c r="G2012" s="251">
        <v>2003</v>
      </c>
      <c r="H2012" s="251">
        <f t="shared" ca="1" si="66"/>
        <v>-2.0145423800161866E-2</v>
      </c>
    </row>
    <row r="2013" spans="2:8">
      <c r="B2013" s="252">
        <v>44721</v>
      </c>
      <c r="C2013" s="251">
        <v>428.5</v>
      </c>
      <c r="D2013" s="251">
        <f t="shared" si="65"/>
        <v>-0.18154904020628396</v>
      </c>
      <c r="E2013" s="251">
        <v>-1.641225754619529E-2</v>
      </c>
      <c r="G2013" s="251">
        <v>2004</v>
      </c>
      <c r="H2013" s="251">
        <f t="shared" ca="1" si="66"/>
        <v>-2.4561304439757542E-2</v>
      </c>
    </row>
    <row r="2014" spans="2:8">
      <c r="B2014" s="252">
        <v>42766</v>
      </c>
      <c r="C2014" s="251">
        <v>523.54999999999995</v>
      </c>
      <c r="D2014" s="251">
        <f t="shared" si="65"/>
        <v>0.212201898587636</v>
      </c>
      <c r="E2014" s="251">
        <v>-1.6438098816456886E-2</v>
      </c>
      <c r="G2014" s="251">
        <v>2005</v>
      </c>
      <c r="H2014" s="251">
        <f t="shared" ca="1" si="66"/>
        <v>1.8164920997678018E-2</v>
      </c>
    </row>
    <row r="2015" spans="2:8">
      <c r="B2015" s="252">
        <v>44715</v>
      </c>
      <c r="C2015" s="251">
        <v>431.9</v>
      </c>
      <c r="D2015" s="251">
        <f t="shared" si="65"/>
        <v>0.19839067702552721</v>
      </c>
      <c r="E2015" s="251">
        <v>-1.6509165433223272E-2</v>
      </c>
      <c r="G2015" s="251">
        <v>2006</v>
      </c>
      <c r="H2015" s="251">
        <f t="shared" ca="1" si="66"/>
        <v>1.4818231361960242E-2</v>
      </c>
    </row>
    <row r="2016" spans="2:8">
      <c r="B2016" s="252">
        <v>42444</v>
      </c>
      <c r="C2016" s="251">
        <v>360.4</v>
      </c>
      <c r="D2016" s="251">
        <f t="shared" si="65"/>
        <v>0.11080289721066416</v>
      </c>
      <c r="E2016" s="251">
        <v>-1.6509755764770123E-2</v>
      </c>
      <c r="G2016" s="251">
        <v>2007</v>
      </c>
      <c r="H2016" s="251">
        <f t="shared" ca="1" si="66"/>
        <v>-3.6146612782400528E-2</v>
      </c>
    </row>
    <row r="2017" spans="2:8">
      <c r="B2017" s="252">
        <v>42249</v>
      </c>
      <c r="C2017" s="251">
        <v>324.45</v>
      </c>
      <c r="D2017" s="251">
        <f t="shared" si="65"/>
        <v>-0.24730309708850487</v>
      </c>
      <c r="E2017" s="251">
        <v>-1.6520157623522245E-2</v>
      </c>
      <c r="G2017" s="251">
        <v>2008</v>
      </c>
      <c r="H2017" s="251">
        <f t="shared" ca="1" si="66"/>
        <v>1.9597864075251579E-2</v>
      </c>
    </row>
    <row r="2018" spans="2:8">
      <c r="B2018" s="252">
        <v>44664</v>
      </c>
      <c r="C2018" s="251">
        <v>431.05</v>
      </c>
      <c r="D2018" s="251">
        <f t="shared" si="65"/>
        <v>5.8726727906862571E-2</v>
      </c>
      <c r="E2018" s="251">
        <v>-1.654118183892311E-2</v>
      </c>
      <c r="G2018" s="251">
        <v>2009</v>
      </c>
      <c r="H2018" s="251">
        <f t="shared" ca="1" si="66"/>
        <v>4.199315729649866E-3</v>
      </c>
    </row>
    <row r="2019" spans="2:8">
      <c r="B2019" s="252">
        <v>44944</v>
      </c>
      <c r="C2019" s="251">
        <v>407.14</v>
      </c>
      <c r="D2019" s="251">
        <f t="shared" si="65"/>
        <v>-9.7750692520775659E-2</v>
      </c>
      <c r="E2019" s="251">
        <v>-1.6617554707502043E-2</v>
      </c>
      <c r="G2019" s="251">
        <v>2010</v>
      </c>
      <c r="H2019" s="251">
        <f t="shared" ca="1" si="66"/>
        <v>-2.8853960239848361E-2</v>
      </c>
    </row>
    <row r="2020" spans="2:8">
      <c r="B2020" s="252">
        <v>42857</v>
      </c>
      <c r="C2020" s="251">
        <v>451.25</v>
      </c>
      <c r="D2020" s="251">
        <f t="shared" si="65"/>
        <v>-0.13652889399158061</v>
      </c>
      <c r="E2020" s="251">
        <v>-1.6670298539986878E-2</v>
      </c>
      <c r="G2020" s="251">
        <v>2011</v>
      </c>
      <c r="H2020" s="251">
        <f t="shared" ca="1" si="66"/>
        <v>1.863075128494494E-2</v>
      </c>
    </row>
    <row r="2021" spans="2:8">
      <c r="B2021" s="252">
        <v>42769</v>
      </c>
      <c r="C2021" s="251">
        <v>522.6</v>
      </c>
      <c r="D2021" s="251">
        <f t="shared" si="65"/>
        <v>0.14142186305558588</v>
      </c>
      <c r="E2021" s="251">
        <v>-1.674506114769516E-2</v>
      </c>
      <c r="G2021" s="251">
        <v>2012</v>
      </c>
      <c r="H2021" s="251">
        <f t="shared" ca="1" si="66"/>
        <v>-2.3903714636081741E-3</v>
      </c>
    </row>
    <row r="2022" spans="2:8">
      <c r="B2022" s="252">
        <v>42730</v>
      </c>
      <c r="C2022" s="251">
        <v>457.85</v>
      </c>
      <c r="D2022" s="251">
        <f t="shared" si="65"/>
        <v>1.5198128783709415</v>
      </c>
      <c r="E2022" s="251">
        <v>-1.6750778481692163E-2</v>
      </c>
      <c r="G2022" s="251">
        <v>2013</v>
      </c>
      <c r="H2022" s="251">
        <f t="shared" ca="1" si="66"/>
        <v>-1.556780387253227E-2</v>
      </c>
    </row>
    <row r="2023" spans="2:8">
      <c r="B2023" s="252">
        <v>43537</v>
      </c>
      <c r="C2023" s="251">
        <v>181.7</v>
      </c>
      <c r="D2023" s="251">
        <f t="shared" si="65"/>
        <v>-0.51103336921420883</v>
      </c>
      <c r="E2023" s="251">
        <v>-1.6774891774891897E-2</v>
      </c>
      <c r="G2023" s="251">
        <v>2014</v>
      </c>
      <c r="H2023" s="251">
        <f t="shared" ca="1" si="66"/>
        <v>1.1401914244644594E-2</v>
      </c>
    </row>
    <row r="2024" spans="2:8">
      <c r="B2024" s="252">
        <v>42352</v>
      </c>
      <c r="C2024" s="251">
        <v>371.6</v>
      </c>
      <c r="D2024" s="251">
        <f t="shared" si="65"/>
        <v>-0.61364108962362229</v>
      </c>
      <c r="E2024" s="251">
        <v>-1.6801164175155352E-2</v>
      </c>
      <c r="G2024" s="251">
        <v>2015</v>
      </c>
      <c r="H2024" s="251">
        <f t="shared" ca="1" si="66"/>
        <v>-3.1674181072355014E-2</v>
      </c>
    </row>
    <row r="2025" spans="2:8">
      <c r="B2025" s="252">
        <v>45464</v>
      </c>
      <c r="C2025" s="251">
        <v>961.8</v>
      </c>
      <c r="D2025" s="251">
        <f t="shared" si="65"/>
        <v>-0.11975472475175045</v>
      </c>
      <c r="E2025" s="251">
        <v>-1.6815742397137793E-2</v>
      </c>
      <c r="G2025" s="251">
        <v>2016</v>
      </c>
      <c r="H2025" s="251">
        <f t="shared" ca="1" si="66"/>
        <v>-1.1771562073980668E-2</v>
      </c>
    </row>
    <row r="2026" spans="2:8">
      <c r="B2026" s="252">
        <v>45537</v>
      </c>
      <c r="C2026" s="267">
        <v>1092.6500000000001</v>
      </c>
      <c r="D2026" s="251">
        <f t="shared" si="65"/>
        <v>1.4211167737646802</v>
      </c>
      <c r="E2026" s="251">
        <v>-1.6826382327799361E-2</v>
      </c>
      <c r="G2026" s="251">
        <v>2017</v>
      </c>
      <c r="H2026" s="251">
        <f t="shared" ca="1" si="66"/>
        <v>-2.2355973501852276E-2</v>
      </c>
    </row>
    <row r="2027" spans="2:8">
      <c r="B2027" s="252">
        <v>42930</v>
      </c>
      <c r="C2027" s="251">
        <v>451.3</v>
      </c>
      <c r="D2027" s="251">
        <f t="shared" si="65"/>
        <v>-9.5319234238749148E-2</v>
      </c>
      <c r="E2027" s="251">
        <v>-1.6882692517154994E-2</v>
      </c>
      <c r="G2027" s="251">
        <v>2018</v>
      </c>
      <c r="H2027" s="251">
        <f t="shared" ca="1" si="66"/>
        <v>1.1650765580411872E-2</v>
      </c>
    </row>
    <row r="2028" spans="2:8">
      <c r="B2028" s="252">
        <v>44603</v>
      </c>
      <c r="C2028" s="251">
        <v>498.85</v>
      </c>
      <c r="D2028" s="251">
        <f t="shared" si="65"/>
        <v>0.96358984451879548</v>
      </c>
      <c r="E2028" s="251">
        <v>-1.694748251059211E-2</v>
      </c>
      <c r="G2028" s="251">
        <v>2019</v>
      </c>
      <c r="H2028" s="251">
        <f t="shared" ca="1" si="66"/>
        <v>-4.3887038054077218E-2</v>
      </c>
    </row>
    <row r="2029" spans="2:8">
      <c r="B2029" s="252">
        <v>43318</v>
      </c>
      <c r="C2029" s="251">
        <v>254.05</v>
      </c>
      <c r="D2029" s="251">
        <f t="shared" si="65"/>
        <v>-0.44299495724621796</v>
      </c>
      <c r="E2029" s="251">
        <v>-1.702456954923574E-2</v>
      </c>
      <c r="G2029" s="251">
        <v>2020</v>
      </c>
      <c r="H2029" s="251">
        <f t="shared" ca="1" si="66"/>
        <v>-1.3957874178298548E-2</v>
      </c>
    </row>
    <row r="2030" spans="2:8">
      <c r="B2030" s="252">
        <v>42941</v>
      </c>
      <c r="C2030" s="251">
        <v>456.1</v>
      </c>
      <c r="D2030" s="251">
        <f t="shared" si="65"/>
        <v>-0.18251393543992964</v>
      </c>
      <c r="E2030" s="251">
        <v>-1.7025862068965468E-2</v>
      </c>
      <c r="G2030" s="251">
        <v>2021</v>
      </c>
      <c r="H2030" s="251">
        <f t="shared" ca="1" si="66"/>
        <v>1.4561850910064789E-2</v>
      </c>
    </row>
    <row r="2031" spans="2:8">
      <c r="B2031" s="252">
        <v>45100</v>
      </c>
      <c r="C2031" s="251">
        <v>557.92999999999995</v>
      </c>
      <c r="D2031" s="251">
        <f t="shared" si="65"/>
        <v>-0.28744572158365267</v>
      </c>
      <c r="E2031" s="251">
        <v>-1.7036645525017744E-2</v>
      </c>
      <c r="G2031" s="251">
        <v>2022</v>
      </c>
      <c r="H2031" s="251">
        <f t="shared" ca="1" si="66"/>
        <v>6.3105924424566411E-3</v>
      </c>
    </row>
    <row r="2032" spans="2:8">
      <c r="B2032" s="252">
        <v>45622</v>
      </c>
      <c r="C2032" s="251">
        <v>783</v>
      </c>
      <c r="D2032" s="251">
        <f t="shared" si="65"/>
        <v>0.84474025209094128</v>
      </c>
      <c r="E2032" s="251">
        <v>-1.707255837308564E-2</v>
      </c>
      <c r="G2032" s="251">
        <v>2023</v>
      </c>
      <c r="H2032" s="251">
        <f t="shared" ca="1" si="66"/>
        <v>9.6957568888737175E-3</v>
      </c>
    </row>
    <row r="2033" spans="2:8">
      <c r="B2033" s="252">
        <v>43101</v>
      </c>
      <c r="C2033" s="251">
        <v>424.45</v>
      </c>
      <c r="D2033" s="251">
        <f t="shared" si="65"/>
        <v>7.0680826375400407E-2</v>
      </c>
      <c r="E2033" s="251">
        <v>-1.7135579483617075E-2</v>
      </c>
      <c r="G2033" s="251">
        <v>2024</v>
      </c>
      <c r="H2033" s="251">
        <f t="shared" ca="1" si="66"/>
        <v>1.0348008672217307E-2</v>
      </c>
    </row>
    <row r="2034" spans="2:8">
      <c r="B2034" s="252">
        <v>44837</v>
      </c>
      <c r="C2034" s="251">
        <v>396.43</v>
      </c>
      <c r="D2034" s="251">
        <f t="shared" si="65"/>
        <v>1.3115451895043733</v>
      </c>
      <c r="E2034" s="251">
        <v>-1.7180682268940914E-2</v>
      </c>
      <c r="G2034" s="251">
        <v>2025</v>
      </c>
      <c r="H2034" s="251">
        <f t="shared" ca="1" si="66"/>
        <v>-3.2305676290125984E-2</v>
      </c>
    </row>
    <row r="2035" spans="2:8">
      <c r="B2035" s="252">
        <v>43776</v>
      </c>
      <c r="C2035" s="251">
        <v>171.5</v>
      </c>
      <c r="D2035" s="251">
        <f t="shared" si="65"/>
        <v>-0.58308010210283212</v>
      </c>
      <c r="E2035" s="251">
        <v>-1.7191977077363897E-2</v>
      </c>
      <c r="G2035" s="251">
        <v>2026</v>
      </c>
      <c r="H2035" s="251">
        <f t="shared" ca="1" si="66"/>
        <v>2.6641170022610291E-2</v>
      </c>
    </row>
    <row r="2036" spans="2:8">
      <c r="B2036" s="252">
        <v>42488</v>
      </c>
      <c r="C2036" s="251">
        <v>411.35</v>
      </c>
      <c r="D2036" s="251">
        <f t="shared" si="65"/>
        <v>-0.42584967548328567</v>
      </c>
      <c r="E2036" s="251">
        <v>-1.7202245848763561E-2</v>
      </c>
      <c r="G2036" s="251">
        <v>2027</v>
      </c>
      <c r="H2036" s="251">
        <f t="shared" ca="1" si="66"/>
        <v>-2.5306318986674445E-2</v>
      </c>
    </row>
    <row r="2037" spans="2:8">
      <c r="B2037" s="252">
        <v>45804</v>
      </c>
      <c r="C2037" s="251">
        <v>716.45</v>
      </c>
      <c r="D2037" s="251">
        <f t="shared" si="65"/>
        <v>6.1800666913671795E-2</v>
      </c>
      <c r="E2037" s="251">
        <v>-1.7215363511659747E-2</v>
      </c>
      <c r="G2037" s="251">
        <v>2028</v>
      </c>
      <c r="H2037" s="251">
        <f t="shared" ca="1" si="66"/>
        <v>7.4838976786852232E-3</v>
      </c>
    </row>
    <row r="2038" spans="2:8">
      <c r="B2038" s="252">
        <v>45825</v>
      </c>
      <c r="C2038" s="251">
        <v>674.75</v>
      </c>
      <c r="D2038" s="251">
        <f t="shared" si="65"/>
        <v>1.174508540122462</v>
      </c>
      <c r="E2038" s="251">
        <v>-1.7330517731012855E-2</v>
      </c>
      <c r="G2038" s="251">
        <v>2029</v>
      </c>
      <c r="H2038" s="251">
        <f t="shared" ca="1" si="66"/>
        <v>3.0744562688097506E-2</v>
      </c>
    </row>
    <row r="2039" spans="2:8">
      <c r="B2039" s="252">
        <v>42270</v>
      </c>
      <c r="C2039" s="251">
        <v>310.3</v>
      </c>
      <c r="D2039" s="251">
        <f t="shared" si="65"/>
        <v>0.18457720939110528</v>
      </c>
      <c r="E2039" s="251">
        <v>-1.7416086130462319E-2</v>
      </c>
      <c r="G2039" s="251">
        <v>2030</v>
      </c>
      <c r="H2039" s="251">
        <f t="shared" ca="1" si="66"/>
        <v>1.7753092834513932E-2</v>
      </c>
    </row>
    <row r="2040" spans="2:8">
      <c r="B2040" s="252">
        <v>43347</v>
      </c>
      <c r="C2040" s="251">
        <v>261.95</v>
      </c>
      <c r="D2040" s="251">
        <f t="shared" si="65"/>
        <v>-0.67477807436836545</v>
      </c>
      <c r="E2040" s="251">
        <v>-1.7441860465116407E-2</v>
      </c>
      <c r="G2040" s="251">
        <v>2031</v>
      </c>
      <c r="H2040" s="251">
        <f t="shared" ca="1" si="66"/>
        <v>-1.3195879577983894E-2</v>
      </c>
    </row>
    <row r="2041" spans="2:8">
      <c r="B2041" s="252">
        <v>45604</v>
      </c>
      <c r="C2041" s="251">
        <v>805.45</v>
      </c>
      <c r="D2041" s="251">
        <f t="shared" si="65"/>
        <v>-9.6624046657694002E-2</v>
      </c>
      <c r="E2041" s="251">
        <v>-1.7444342787435139E-2</v>
      </c>
      <c r="G2041" s="251">
        <v>2032</v>
      </c>
      <c r="H2041" s="251">
        <f t="shared" ca="1" si="66"/>
        <v>1.7388220421462399E-2</v>
      </c>
    </row>
    <row r="2042" spans="2:8">
      <c r="B2042" s="252">
        <v>45582</v>
      </c>
      <c r="C2042" s="251">
        <v>891.6</v>
      </c>
      <c r="D2042" s="251">
        <f t="shared" si="65"/>
        <v>0.17200131449227737</v>
      </c>
      <c r="E2042" s="251">
        <v>-1.7466527081381918E-2</v>
      </c>
      <c r="G2042" s="251">
        <v>2033</v>
      </c>
      <c r="H2042" s="251">
        <f t="shared" ca="1" si="66"/>
        <v>1.4789554298705302E-2</v>
      </c>
    </row>
    <row r="2043" spans="2:8">
      <c r="B2043" s="252">
        <v>45678</v>
      </c>
      <c r="C2043" s="251">
        <v>760.75</v>
      </c>
      <c r="D2043" s="251">
        <f t="shared" si="65"/>
        <v>8.3861813695249854</v>
      </c>
      <c r="E2043" s="251">
        <v>-1.7563117453347998E-2</v>
      </c>
      <c r="G2043" s="251">
        <v>2034</v>
      </c>
      <c r="H2043" s="251">
        <f t="shared" ca="1" si="66"/>
        <v>-5.3712334340104547E-3</v>
      </c>
    </row>
    <row r="2044" spans="2:8">
      <c r="B2044" s="252">
        <v>43959</v>
      </c>
      <c r="C2044" s="251">
        <v>81.05</v>
      </c>
      <c r="D2044" s="251">
        <f t="shared" si="65"/>
        <v>-0.2909011373578303</v>
      </c>
      <c r="E2044" s="251">
        <v>-1.7575757575757609E-2</v>
      </c>
      <c r="G2044" s="251">
        <v>2035</v>
      </c>
      <c r="H2044" s="251">
        <f t="shared" ca="1" si="66"/>
        <v>4.4148119442576114E-2</v>
      </c>
    </row>
    <row r="2045" spans="2:8">
      <c r="B2045" s="252">
        <v>43706</v>
      </c>
      <c r="C2045" s="251">
        <v>114.3</v>
      </c>
      <c r="D2045" s="251">
        <f t="shared" si="65"/>
        <v>-0.27749683944374204</v>
      </c>
      <c r="E2045" s="251">
        <v>-1.7619252256123742E-2</v>
      </c>
      <c r="G2045" s="251">
        <v>2036</v>
      </c>
      <c r="H2045" s="251">
        <f t="shared" ca="1" si="66"/>
        <v>7.2176610056487863E-3</v>
      </c>
    </row>
    <row r="2046" spans="2:8">
      <c r="B2046" s="252">
        <v>43802</v>
      </c>
      <c r="C2046" s="251">
        <v>158.19999999999999</v>
      </c>
      <c r="D2046" s="251">
        <f t="shared" si="65"/>
        <v>-0.74672600941372358</v>
      </c>
      <c r="E2046" s="251">
        <v>-1.7696367587705823E-2</v>
      </c>
      <c r="G2046" s="251">
        <v>2037</v>
      </c>
      <c r="H2046" s="251">
        <f t="shared" ca="1" si="66"/>
        <v>1.5959043792282571E-3</v>
      </c>
    </row>
    <row r="2047" spans="2:8">
      <c r="B2047" s="252">
        <v>45225</v>
      </c>
      <c r="C2047" s="251">
        <v>624.62</v>
      </c>
      <c r="D2047" s="251">
        <f t="shared" si="65"/>
        <v>3.5115204044781514</v>
      </c>
      <c r="E2047" s="251">
        <v>-1.7723191117960627E-2</v>
      </c>
      <c r="G2047" s="251">
        <v>2038</v>
      </c>
      <c r="H2047" s="251">
        <f t="shared" ca="1" si="66"/>
        <v>-1.0079391099214416E-2</v>
      </c>
    </row>
    <row r="2048" spans="2:8">
      <c r="B2048" s="252">
        <v>44113</v>
      </c>
      <c r="C2048" s="251">
        <v>138.44999999999999</v>
      </c>
      <c r="D2048" s="251">
        <f t="shared" si="65"/>
        <v>-0.70312634016639508</v>
      </c>
      <c r="E2048" s="251">
        <v>-1.7736786094359705E-2</v>
      </c>
      <c r="G2048" s="251">
        <v>2039</v>
      </c>
      <c r="H2048" s="251">
        <f t="shared" ca="1" si="66"/>
        <v>-1.934692698927553E-2</v>
      </c>
    </row>
    <row r="2049" spans="2:8">
      <c r="B2049" s="252">
        <v>44776</v>
      </c>
      <c r="C2049" s="251">
        <v>466.36</v>
      </c>
      <c r="D2049" s="251">
        <f t="shared" si="65"/>
        <v>-8.1245074862096159E-2</v>
      </c>
      <c r="E2049" s="251">
        <v>-1.7755218096421589E-2</v>
      </c>
      <c r="G2049" s="251">
        <v>2040</v>
      </c>
      <c r="H2049" s="251">
        <f t="shared" ca="1" si="66"/>
        <v>-8.4783776211234726E-3</v>
      </c>
    </row>
    <row r="2050" spans="2:8">
      <c r="B2050" s="252">
        <v>42598</v>
      </c>
      <c r="C2050" s="251">
        <v>507.6</v>
      </c>
      <c r="D2050" s="251">
        <f t="shared" si="65"/>
        <v>-4.6402404659026737E-2</v>
      </c>
      <c r="E2050" s="251">
        <v>-1.7801857585139188E-2</v>
      </c>
      <c r="G2050" s="251">
        <v>2041</v>
      </c>
      <c r="H2050" s="251">
        <f t="shared" ca="1" si="66"/>
        <v>2.1954929410680168E-2</v>
      </c>
    </row>
    <row r="2051" spans="2:8">
      <c r="B2051" s="252">
        <v>42765</v>
      </c>
      <c r="C2051" s="251">
        <v>532.29999999999995</v>
      </c>
      <c r="D2051" s="251">
        <f t="shared" si="65"/>
        <v>-0.38412588221682287</v>
      </c>
      <c r="E2051" s="251">
        <v>-1.7806070670726249E-2</v>
      </c>
      <c r="G2051" s="251">
        <v>2042</v>
      </c>
      <c r="H2051" s="251">
        <f t="shared" ca="1" si="66"/>
        <v>-5.6766471293820141E-2</v>
      </c>
    </row>
    <row r="2052" spans="2:8">
      <c r="B2052" s="252">
        <v>45590</v>
      </c>
      <c r="C2052" s="251">
        <v>864.3</v>
      </c>
      <c r="D2052" s="251">
        <f t="shared" si="65"/>
        <v>3.9121909633418581</v>
      </c>
      <c r="E2052" s="251">
        <v>-1.7840909090909143E-2</v>
      </c>
      <c r="G2052" s="251">
        <v>2043</v>
      </c>
      <c r="H2052" s="251">
        <f t="shared" ca="1" si="66"/>
        <v>-1.2233957095457513E-4</v>
      </c>
    </row>
    <row r="2053" spans="2:8">
      <c r="B2053" s="252">
        <v>43819</v>
      </c>
      <c r="C2053" s="251">
        <v>175.95</v>
      </c>
      <c r="D2053" s="251">
        <f t="shared" si="65"/>
        <v>-0.56442629038247305</v>
      </c>
      <c r="E2053" s="251">
        <v>-1.786212670946144E-2</v>
      </c>
      <c r="G2053" s="251">
        <v>2044</v>
      </c>
      <c r="H2053" s="251">
        <f t="shared" ca="1" si="66"/>
        <v>4.9880497233739121E-2</v>
      </c>
    </row>
    <row r="2054" spans="2:8">
      <c r="B2054" s="252">
        <v>42321</v>
      </c>
      <c r="C2054" s="251">
        <v>403.95</v>
      </c>
      <c r="D2054" s="251">
        <f t="shared" si="65"/>
        <v>-0.4796135265700483</v>
      </c>
      <c r="E2054" s="251">
        <v>-1.7870167760758626E-2</v>
      </c>
      <c r="G2054" s="251">
        <v>2045</v>
      </c>
      <c r="H2054" s="251">
        <f t="shared" ca="1" si="66"/>
        <v>-4.6956329802704793E-3</v>
      </c>
    </row>
    <row r="2055" spans="2:8">
      <c r="B2055" s="252">
        <v>45663</v>
      </c>
      <c r="C2055" s="251">
        <v>776.25</v>
      </c>
      <c r="D2055" s="251">
        <f t="shared" si="65"/>
        <v>0.89680871860033229</v>
      </c>
      <c r="E2055" s="251">
        <v>-1.7902327935222645E-2</v>
      </c>
      <c r="G2055" s="251">
        <v>2046</v>
      </c>
      <c r="H2055" s="251">
        <f t="shared" ca="1" si="66"/>
        <v>2.6985129156274029E-2</v>
      </c>
    </row>
    <row r="2056" spans="2:8">
      <c r="B2056" s="252">
        <v>44915</v>
      </c>
      <c r="C2056" s="251">
        <v>409.24</v>
      </c>
      <c r="D2056" s="251">
        <f t="shared" si="65"/>
        <v>-0.34534169439467621</v>
      </c>
      <c r="E2056" s="251">
        <v>-1.7926135681889013E-2</v>
      </c>
      <c r="G2056" s="251">
        <v>2047</v>
      </c>
      <c r="H2056" s="251">
        <f t="shared" ca="1" si="66"/>
        <v>-1.7501204128534673E-3</v>
      </c>
    </row>
    <row r="2057" spans="2:8">
      <c r="B2057" s="252">
        <v>45190</v>
      </c>
      <c r="C2057" s="251">
        <v>625.12</v>
      </c>
      <c r="D2057" s="251">
        <f t="shared" si="65"/>
        <v>4.3201702127659578</v>
      </c>
      <c r="E2057" s="251">
        <v>-1.7940742137179062E-2</v>
      </c>
      <c r="G2057" s="251">
        <v>2048</v>
      </c>
      <c r="H2057" s="251">
        <f t="shared" ca="1" si="66"/>
        <v>9.7743759926745798E-3</v>
      </c>
    </row>
    <row r="2058" spans="2:8">
      <c r="B2058" s="252">
        <v>43745</v>
      </c>
      <c r="C2058" s="251">
        <v>117.5</v>
      </c>
      <c r="D2058" s="251">
        <f t="shared" ref="D2058:D2121" si="67">(C2058-C2059)/C2059</f>
        <v>-0.69050441195838275</v>
      </c>
      <c r="E2058" s="251">
        <v>-1.7969076473046432E-2</v>
      </c>
      <c r="G2058" s="251">
        <v>2049</v>
      </c>
      <c r="H2058" s="251">
        <f t="shared" ca="1" si="66"/>
        <v>-9.6774113269429314E-3</v>
      </c>
    </row>
    <row r="2059" spans="2:8">
      <c r="B2059" s="252">
        <v>42461</v>
      </c>
      <c r="C2059" s="251">
        <v>379.65</v>
      </c>
      <c r="D2059" s="251">
        <f t="shared" si="67"/>
        <v>-0.59799447262253946</v>
      </c>
      <c r="E2059" s="251">
        <v>-1.7977237454733692E-2</v>
      </c>
      <c r="G2059" s="251">
        <v>2050</v>
      </c>
      <c r="H2059" s="251">
        <f t="shared" ref="H2059:H2122" ca="1" si="68">_xlfn.NORM.INV(RAND(),N$12,N$13)</f>
        <v>-7.5338396996139636E-3</v>
      </c>
    </row>
    <row r="2060" spans="2:8">
      <c r="B2060" s="252">
        <v>45427</v>
      </c>
      <c r="C2060" s="251">
        <v>944.39</v>
      </c>
      <c r="D2060" s="251">
        <f t="shared" si="67"/>
        <v>3.4473275253119851</v>
      </c>
      <c r="E2060" s="251">
        <v>-1.7978953498045052E-2</v>
      </c>
      <c r="G2060" s="251">
        <v>2051</v>
      </c>
      <c r="H2060" s="251">
        <f t="shared" ca="1" si="68"/>
        <v>-2.3885156931929347E-2</v>
      </c>
    </row>
    <row r="2061" spans="2:8">
      <c r="B2061" s="252">
        <v>43381</v>
      </c>
      <c r="C2061" s="251">
        <v>212.35</v>
      </c>
      <c r="D2061" s="251">
        <f t="shared" si="67"/>
        <v>-0.77350782883228808</v>
      </c>
      <c r="E2061" s="251">
        <v>-1.8034682080924881E-2</v>
      </c>
      <c r="G2061" s="251">
        <v>2052</v>
      </c>
      <c r="H2061" s="251">
        <f t="shared" ca="1" si="68"/>
        <v>-5.2344415306002307E-4</v>
      </c>
    </row>
    <row r="2062" spans="2:8">
      <c r="B2062" s="252">
        <v>45371</v>
      </c>
      <c r="C2062" s="251">
        <v>937.56</v>
      </c>
      <c r="D2062" s="251">
        <f t="shared" si="67"/>
        <v>0.32479864349300536</v>
      </c>
      <c r="E2062" s="251">
        <v>-1.8056137410976131E-2</v>
      </c>
      <c r="G2062" s="251">
        <v>2053</v>
      </c>
      <c r="H2062" s="251">
        <f t="shared" ca="1" si="68"/>
        <v>-2.9190470148108573E-4</v>
      </c>
    </row>
    <row r="2063" spans="2:8">
      <c r="B2063" s="252">
        <v>45790</v>
      </c>
      <c r="C2063" s="251">
        <v>707.7</v>
      </c>
      <c r="D2063" s="251">
        <f t="shared" si="67"/>
        <v>8.707818930041153</v>
      </c>
      <c r="E2063" s="251">
        <v>-1.8174250832408308E-2</v>
      </c>
      <c r="G2063" s="251">
        <v>2054</v>
      </c>
      <c r="H2063" s="251">
        <f t="shared" ca="1" si="68"/>
        <v>2.8565143590697176E-2</v>
      </c>
    </row>
    <row r="2064" spans="2:8">
      <c r="B2064" s="252">
        <v>43936</v>
      </c>
      <c r="C2064" s="251">
        <v>72.900000000000006</v>
      </c>
      <c r="D2064" s="251">
        <f t="shared" si="67"/>
        <v>-0.85968626696179384</v>
      </c>
      <c r="E2064" s="251">
        <v>-1.8181818181818105E-2</v>
      </c>
      <c r="G2064" s="251">
        <v>2055</v>
      </c>
      <c r="H2064" s="251">
        <f t="shared" ca="1" si="68"/>
        <v>2.0664294212477336E-3</v>
      </c>
    </row>
    <row r="2065" spans="2:8">
      <c r="B2065" s="252">
        <v>45062</v>
      </c>
      <c r="C2065" s="251">
        <v>519.54999999999995</v>
      </c>
      <c r="D2065" s="251">
        <f t="shared" si="67"/>
        <v>0.28094181459566059</v>
      </c>
      <c r="E2065" s="251">
        <v>-1.8272174143078631E-2</v>
      </c>
      <c r="G2065" s="251">
        <v>2056</v>
      </c>
      <c r="H2065" s="251">
        <f t="shared" ca="1" si="68"/>
        <v>1.7495324208998457E-2</v>
      </c>
    </row>
    <row r="2066" spans="2:8">
      <c r="B2066" s="252">
        <v>42341</v>
      </c>
      <c r="C2066" s="251">
        <v>405.6</v>
      </c>
      <c r="D2066" s="251">
        <f t="shared" si="67"/>
        <v>0.36038906590642311</v>
      </c>
      <c r="E2066" s="251">
        <v>-1.8274234539513386E-2</v>
      </c>
      <c r="G2066" s="251">
        <v>2057</v>
      </c>
      <c r="H2066" s="251">
        <f t="shared" ca="1" si="68"/>
        <v>4.2771836810153903E-2</v>
      </c>
    </row>
    <row r="2067" spans="2:8">
      <c r="B2067" s="252">
        <v>44412</v>
      </c>
      <c r="C2067" s="251">
        <v>298.14999999999998</v>
      </c>
      <c r="D2067" s="251">
        <f t="shared" si="67"/>
        <v>1.5858629661751948</v>
      </c>
      <c r="E2067" s="251">
        <v>-1.8274613105037904E-2</v>
      </c>
      <c r="G2067" s="251">
        <v>2058</v>
      </c>
      <c r="H2067" s="251">
        <f t="shared" ca="1" si="68"/>
        <v>2.7031265234905743E-2</v>
      </c>
    </row>
    <row r="2068" spans="2:8">
      <c r="B2068" s="252">
        <v>43739</v>
      </c>
      <c r="C2068" s="251">
        <v>115.3</v>
      </c>
      <c r="D2068" s="251">
        <f t="shared" si="67"/>
        <v>-0.74983727489694074</v>
      </c>
      <c r="E2068" s="251">
        <v>-1.8305661983822951E-2</v>
      </c>
      <c r="G2068" s="251">
        <v>2059</v>
      </c>
      <c r="H2068" s="251">
        <f t="shared" ca="1" si="68"/>
        <v>1.2998567045641162E-2</v>
      </c>
    </row>
    <row r="2069" spans="2:8">
      <c r="B2069" s="252">
        <v>42556</v>
      </c>
      <c r="C2069" s="251">
        <v>460.9</v>
      </c>
      <c r="D2069" s="251">
        <f t="shared" si="67"/>
        <v>0.75647865853658547</v>
      </c>
      <c r="E2069" s="251">
        <v>-1.8317358892438813E-2</v>
      </c>
      <c r="G2069" s="251">
        <v>2060</v>
      </c>
      <c r="H2069" s="251">
        <f t="shared" ca="1" si="68"/>
        <v>1.7035438675139204E-3</v>
      </c>
    </row>
    <row r="2070" spans="2:8">
      <c r="B2070" s="252">
        <v>43355</v>
      </c>
      <c r="C2070" s="251">
        <v>262.39999999999998</v>
      </c>
      <c r="D2070" s="251">
        <f t="shared" si="67"/>
        <v>-0.47266881028938912</v>
      </c>
      <c r="E2070" s="251">
        <v>-1.8331462775907349E-2</v>
      </c>
      <c r="G2070" s="251">
        <v>2061</v>
      </c>
      <c r="H2070" s="251">
        <f t="shared" ca="1" si="68"/>
        <v>4.6189988924736957E-3</v>
      </c>
    </row>
    <row r="2071" spans="2:8">
      <c r="B2071" s="252">
        <v>44483</v>
      </c>
      <c r="C2071" s="251">
        <v>497.6</v>
      </c>
      <c r="D2071" s="251">
        <f t="shared" si="67"/>
        <v>2.6615158204562182</v>
      </c>
      <c r="E2071" s="251">
        <v>-1.8346813967251834E-2</v>
      </c>
      <c r="G2071" s="251">
        <v>2062</v>
      </c>
      <c r="H2071" s="251">
        <f t="shared" ca="1" si="68"/>
        <v>1.1462437604013458E-3</v>
      </c>
    </row>
    <row r="2072" spans="2:8">
      <c r="B2072" s="252">
        <v>44116</v>
      </c>
      <c r="C2072" s="251">
        <v>135.9</v>
      </c>
      <c r="D2072" s="251">
        <f t="shared" si="67"/>
        <v>-0.28996865203761757</v>
      </c>
      <c r="E2072" s="251">
        <v>-1.8418201516792944E-2</v>
      </c>
      <c r="G2072" s="251">
        <v>2063</v>
      </c>
      <c r="H2072" s="251">
        <f t="shared" ca="1" si="68"/>
        <v>4.2032979336236856E-2</v>
      </c>
    </row>
    <row r="2073" spans="2:8">
      <c r="B2073" s="252">
        <v>43851</v>
      </c>
      <c r="C2073" s="251">
        <v>191.4</v>
      </c>
      <c r="D2073" s="251">
        <f t="shared" si="67"/>
        <v>-0.80362181295849799</v>
      </c>
      <c r="E2073" s="251">
        <v>-1.8461538461538432E-2</v>
      </c>
      <c r="G2073" s="251">
        <v>2064</v>
      </c>
      <c r="H2073" s="251">
        <f t="shared" ca="1" si="68"/>
        <v>-5.5121795690680339E-3</v>
      </c>
    </row>
    <row r="2074" spans="2:8">
      <c r="B2074" s="252">
        <v>45565</v>
      </c>
      <c r="C2074" s="251">
        <v>974.65</v>
      </c>
      <c r="D2074" s="251">
        <f t="shared" si="67"/>
        <v>-7.1186925239433874E-2</v>
      </c>
      <c r="E2074" s="251">
        <v>-1.8479355488418954E-2</v>
      </c>
      <c r="G2074" s="251">
        <v>2065</v>
      </c>
      <c r="H2074" s="251">
        <f t="shared" ca="1" si="68"/>
        <v>-1.7644434783651894E-2</v>
      </c>
    </row>
    <row r="2075" spans="2:8">
      <c r="B2075" s="252">
        <v>45541</v>
      </c>
      <c r="C2075" s="267">
        <v>1049.3499999999999</v>
      </c>
      <c r="D2075" s="251">
        <f t="shared" si="67"/>
        <v>9.1681201550387588</v>
      </c>
      <c r="E2075" s="251">
        <v>-1.8519384557826479E-2</v>
      </c>
      <c r="G2075" s="251">
        <v>2066</v>
      </c>
      <c r="H2075" s="251">
        <f t="shared" ca="1" si="68"/>
        <v>-2.8862657822048287E-2</v>
      </c>
    </row>
    <row r="2076" spans="2:8">
      <c r="B2076" s="252">
        <v>44027</v>
      </c>
      <c r="C2076" s="251">
        <v>103.2</v>
      </c>
      <c r="D2076" s="251">
        <f t="shared" si="67"/>
        <v>-0.7591036414565826</v>
      </c>
      <c r="E2076" s="251">
        <v>-1.8544935805991467E-2</v>
      </c>
      <c r="G2076" s="251">
        <v>2067</v>
      </c>
      <c r="H2076" s="251">
        <f t="shared" ca="1" si="68"/>
        <v>7.4458805888725889E-3</v>
      </c>
    </row>
    <row r="2077" spans="2:8">
      <c r="B2077" s="252">
        <v>43039</v>
      </c>
      <c r="C2077" s="251">
        <v>428.4</v>
      </c>
      <c r="D2077" s="251">
        <f t="shared" si="67"/>
        <v>-0.45083963594410975</v>
      </c>
      <c r="E2077" s="251">
        <v>-1.8669110067575385E-2</v>
      </c>
      <c r="G2077" s="251">
        <v>2068</v>
      </c>
      <c r="H2077" s="251">
        <f t="shared" ca="1" si="68"/>
        <v>-2.0647903394494776E-2</v>
      </c>
    </row>
    <row r="2078" spans="2:8">
      <c r="B2078" s="252">
        <v>45666</v>
      </c>
      <c r="C2078" s="251">
        <v>780.1</v>
      </c>
      <c r="D2078" s="251">
        <f t="shared" si="67"/>
        <v>0.77380113235862569</v>
      </c>
      <c r="E2078" s="251">
        <v>-1.8680420152210858E-2</v>
      </c>
      <c r="G2078" s="251">
        <v>2069</v>
      </c>
      <c r="H2078" s="251">
        <f t="shared" ca="1" si="68"/>
        <v>-3.0306257362867944E-2</v>
      </c>
    </row>
    <row r="2079" spans="2:8">
      <c r="B2079" s="252">
        <v>44768</v>
      </c>
      <c r="C2079" s="251">
        <v>439.79</v>
      </c>
      <c r="D2079" s="251">
        <f t="shared" si="67"/>
        <v>-0.36021239453011344</v>
      </c>
      <c r="E2079" s="251">
        <v>-1.8698261820291398E-2</v>
      </c>
      <c r="G2079" s="251">
        <v>2070</v>
      </c>
      <c r="H2079" s="251">
        <f t="shared" ca="1" si="68"/>
        <v>2.7762109485848903E-2</v>
      </c>
    </row>
    <row r="2080" spans="2:8">
      <c r="B2080" s="252">
        <v>45863</v>
      </c>
      <c r="C2080" s="251">
        <v>687.4</v>
      </c>
      <c r="D2080" s="251">
        <f t="shared" si="67"/>
        <v>0.72056467761313581</v>
      </c>
      <c r="E2080" s="251">
        <v>-1.8700927908636721E-2</v>
      </c>
      <c r="G2080" s="251">
        <v>2071</v>
      </c>
      <c r="H2080" s="251">
        <f t="shared" ca="1" si="68"/>
        <v>2.380133101435292E-2</v>
      </c>
    </row>
    <row r="2081" spans="2:8">
      <c r="B2081" s="252">
        <v>44945</v>
      </c>
      <c r="C2081" s="251">
        <v>399.52</v>
      </c>
      <c r="D2081" s="251">
        <f t="shared" si="67"/>
        <v>-0.30306149149585698</v>
      </c>
      <c r="E2081" s="251">
        <v>-1.8715920813479406E-2</v>
      </c>
      <c r="G2081" s="251">
        <v>2072</v>
      </c>
      <c r="H2081" s="251">
        <f t="shared" ca="1" si="68"/>
        <v>-1.8189122209981635E-2</v>
      </c>
    </row>
    <row r="2082" spans="2:8">
      <c r="B2082" s="252">
        <v>42622</v>
      </c>
      <c r="C2082" s="251">
        <v>573.25</v>
      </c>
      <c r="D2082" s="251">
        <f t="shared" si="67"/>
        <v>2.3750367971739772</v>
      </c>
      <c r="E2082" s="251">
        <v>-1.8743580965422876E-2</v>
      </c>
      <c r="G2082" s="251">
        <v>2073</v>
      </c>
      <c r="H2082" s="251">
        <f t="shared" ca="1" si="68"/>
        <v>-3.5814631590725253E-2</v>
      </c>
    </row>
    <row r="2083" spans="2:8">
      <c r="B2083" s="252">
        <v>43551</v>
      </c>
      <c r="C2083" s="251">
        <v>169.85</v>
      </c>
      <c r="D2083" s="251">
        <f t="shared" si="67"/>
        <v>-0.46113578680203043</v>
      </c>
      <c r="E2083" s="251">
        <v>-1.8775274407856733E-2</v>
      </c>
      <c r="G2083" s="251">
        <v>2074</v>
      </c>
      <c r="H2083" s="251">
        <f t="shared" ca="1" si="68"/>
        <v>1.5598641698109471E-2</v>
      </c>
    </row>
    <row r="2084" spans="2:8">
      <c r="B2084" s="252">
        <v>44264</v>
      </c>
      <c r="C2084" s="251">
        <v>315.2</v>
      </c>
      <c r="D2084" s="251">
        <f t="shared" si="67"/>
        <v>1.3032517354767994</v>
      </c>
      <c r="E2084" s="251">
        <v>-1.883268482490276E-2</v>
      </c>
      <c r="G2084" s="251">
        <v>2075</v>
      </c>
      <c r="H2084" s="251">
        <f t="shared" ca="1" si="68"/>
        <v>3.5421438139454061E-3</v>
      </c>
    </row>
    <row r="2085" spans="2:8">
      <c r="B2085" s="252">
        <v>43756</v>
      </c>
      <c r="C2085" s="251">
        <v>136.85</v>
      </c>
      <c r="D2085" s="251">
        <f t="shared" si="67"/>
        <v>-0.68925976385104448</v>
      </c>
      <c r="E2085" s="251">
        <v>-1.899641577060936E-2</v>
      </c>
      <c r="G2085" s="251">
        <v>2076</v>
      </c>
      <c r="H2085" s="251">
        <f t="shared" ca="1" si="68"/>
        <v>1.5447725009781038E-2</v>
      </c>
    </row>
    <row r="2086" spans="2:8">
      <c r="B2086" s="252">
        <v>42549</v>
      </c>
      <c r="C2086" s="251">
        <v>440.4</v>
      </c>
      <c r="D2086" s="251">
        <f t="shared" si="67"/>
        <v>0.14866979655712051</v>
      </c>
      <c r="E2086" s="251">
        <v>-1.9044437019712687E-2</v>
      </c>
      <c r="G2086" s="251">
        <v>2077</v>
      </c>
      <c r="H2086" s="251">
        <f t="shared" ca="1" si="68"/>
        <v>2.5172867999512023E-2</v>
      </c>
    </row>
    <row r="2087" spans="2:8">
      <c r="B2087" s="252">
        <v>42982</v>
      </c>
      <c r="C2087" s="251">
        <v>383.4</v>
      </c>
      <c r="D2087" s="251">
        <f t="shared" si="67"/>
        <v>0.18388142658638243</v>
      </c>
      <c r="E2087" s="251">
        <v>-1.9061020851989369E-2</v>
      </c>
      <c r="G2087" s="251">
        <v>2078</v>
      </c>
      <c r="H2087" s="251">
        <f t="shared" ca="1" si="68"/>
        <v>2.4151711957228952E-2</v>
      </c>
    </row>
    <row r="2088" spans="2:8">
      <c r="B2088" s="252">
        <v>44245</v>
      </c>
      <c r="C2088" s="251">
        <v>323.85000000000002</v>
      </c>
      <c r="D2088" s="251">
        <f t="shared" si="67"/>
        <v>6.863553868998519E-2</v>
      </c>
      <c r="E2088" s="251">
        <v>-1.908223534756915E-2</v>
      </c>
      <c r="G2088" s="251">
        <v>2079</v>
      </c>
      <c r="H2088" s="251">
        <f t="shared" ca="1" si="68"/>
        <v>2.2999966172659505E-2</v>
      </c>
    </row>
    <row r="2089" spans="2:8">
      <c r="B2089" s="252">
        <v>44277</v>
      </c>
      <c r="C2089" s="251">
        <v>303.05</v>
      </c>
      <c r="D2089" s="251">
        <f t="shared" si="67"/>
        <v>0.35744680851063837</v>
      </c>
      <c r="E2089" s="251">
        <v>-1.9096941252629802E-2</v>
      </c>
      <c r="G2089" s="251">
        <v>2080</v>
      </c>
      <c r="H2089" s="251">
        <f t="shared" ca="1" si="68"/>
        <v>3.6591106688673353E-2</v>
      </c>
    </row>
    <row r="2090" spans="2:8">
      <c r="B2090" s="252">
        <v>43377</v>
      </c>
      <c r="C2090" s="251">
        <v>223.25</v>
      </c>
      <c r="D2090" s="251">
        <f t="shared" si="67"/>
        <v>0.35962241169305736</v>
      </c>
      <c r="E2090" s="251">
        <v>-1.9112478031634423E-2</v>
      </c>
      <c r="G2090" s="251">
        <v>2081</v>
      </c>
      <c r="H2090" s="251">
        <f t="shared" ca="1" si="68"/>
        <v>8.0811901955627242E-3</v>
      </c>
    </row>
    <row r="2091" spans="2:8">
      <c r="B2091" s="252">
        <v>43630</v>
      </c>
      <c r="C2091" s="251">
        <v>164.2</v>
      </c>
      <c r="D2091" s="251">
        <f t="shared" si="67"/>
        <v>-0.60481347773766547</v>
      </c>
      <c r="E2091" s="251">
        <v>-1.9115890083632122E-2</v>
      </c>
      <c r="G2091" s="251">
        <v>2082</v>
      </c>
      <c r="H2091" s="251">
        <f t="shared" ca="1" si="68"/>
        <v>3.648376011782186E-2</v>
      </c>
    </row>
    <row r="2092" spans="2:8">
      <c r="B2092" s="252">
        <v>43019</v>
      </c>
      <c r="C2092" s="251">
        <v>415.5</v>
      </c>
      <c r="D2092" s="251">
        <f t="shared" si="67"/>
        <v>-0.36613272311212813</v>
      </c>
      <c r="E2092" s="251">
        <v>-1.9121813031161526E-2</v>
      </c>
      <c r="G2092" s="251">
        <v>2083</v>
      </c>
      <c r="H2092" s="251">
        <f t="shared" ca="1" si="68"/>
        <v>-3.0073226655751253E-2</v>
      </c>
    </row>
    <row r="2093" spans="2:8">
      <c r="B2093" s="252">
        <v>45729</v>
      </c>
      <c r="C2093" s="251">
        <v>655.5</v>
      </c>
      <c r="D2093" s="251">
        <f t="shared" si="67"/>
        <v>7.8342318059299183</v>
      </c>
      <c r="E2093" s="251">
        <v>-1.9153074966332419E-2</v>
      </c>
      <c r="G2093" s="251">
        <v>2084</v>
      </c>
      <c r="H2093" s="251">
        <f t="shared" ca="1" si="68"/>
        <v>-2.0335103642405344E-2</v>
      </c>
    </row>
    <row r="2094" spans="2:8">
      <c r="B2094" s="252">
        <v>43945</v>
      </c>
      <c r="C2094" s="251">
        <v>74.2</v>
      </c>
      <c r="D2094" s="251">
        <f t="shared" si="67"/>
        <v>-0.25389643036701859</v>
      </c>
      <c r="E2094" s="251">
        <v>-1.91672174487773E-2</v>
      </c>
      <c r="G2094" s="251">
        <v>2085</v>
      </c>
      <c r="H2094" s="251">
        <f t="shared" ca="1" si="68"/>
        <v>1.7944039916172265E-2</v>
      </c>
    </row>
    <row r="2095" spans="2:8">
      <c r="B2095" s="252">
        <v>44011</v>
      </c>
      <c r="C2095" s="251">
        <v>99.45</v>
      </c>
      <c r="D2095" s="251">
        <f t="shared" si="67"/>
        <v>-0.75221746063384498</v>
      </c>
      <c r="E2095" s="251">
        <v>-1.9230769230769256E-2</v>
      </c>
      <c r="G2095" s="251">
        <v>2086</v>
      </c>
      <c r="H2095" s="251">
        <f t="shared" ca="1" si="68"/>
        <v>4.8267983630104386E-2</v>
      </c>
    </row>
    <row r="2096" spans="2:8">
      <c r="B2096" s="252">
        <v>44916</v>
      </c>
      <c r="C2096" s="251">
        <v>401.36</v>
      </c>
      <c r="D2096" s="251">
        <f t="shared" si="67"/>
        <v>-0.59691884346158097</v>
      </c>
      <c r="E2096" s="251">
        <v>-1.9255204769817211E-2</v>
      </c>
      <c r="G2096" s="251">
        <v>2087</v>
      </c>
      <c r="H2096" s="251">
        <f t="shared" ca="1" si="68"/>
        <v>1.8153669480006917E-2</v>
      </c>
    </row>
    <row r="2097" spans="2:8">
      <c r="B2097" s="252">
        <v>45397</v>
      </c>
      <c r="C2097" s="251">
        <v>995.73</v>
      </c>
      <c r="D2097" s="251">
        <f t="shared" si="67"/>
        <v>1.1496761658031087</v>
      </c>
      <c r="E2097" s="251">
        <v>-1.9342702660114033E-2</v>
      </c>
      <c r="G2097" s="251">
        <v>2088</v>
      </c>
      <c r="H2097" s="251">
        <f t="shared" ca="1" si="68"/>
        <v>-3.1896094650882738E-3</v>
      </c>
    </row>
    <row r="2098" spans="2:8">
      <c r="B2098" s="252">
        <v>42719</v>
      </c>
      <c r="C2098" s="251">
        <v>463.2</v>
      </c>
      <c r="D2098" s="251">
        <f t="shared" si="67"/>
        <v>1.8218093207432222</v>
      </c>
      <c r="E2098" s="251">
        <v>-1.9371228961575174E-2</v>
      </c>
      <c r="G2098" s="251">
        <v>2089</v>
      </c>
      <c r="H2098" s="251">
        <f t="shared" ca="1" si="68"/>
        <v>1.9865286937138103E-2</v>
      </c>
    </row>
    <row r="2099" spans="2:8">
      <c r="B2099" s="252">
        <v>43790</v>
      </c>
      <c r="C2099" s="251">
        <v>164.15</v>
      </c>
      <c r="D2099" s="251">
        <f t="shared" si="67"/>
        <v>-0.56654343807763397</v>
      </c>
      <c r="E2099" s="251">
        <v>-1.941457586618877E-2</v>
      </c>
      <c r="G2099" s="251">
        <v>2090</v>
      </c>
      <c r="H2099" s="251">
        <f t="shared" ca="1" si="68"/>
        <v>5.5286053835621865E-2</v>
      </c>
    </row>
    <row r="2100" spans="2:8">
      <c r="B2100" s="252">
        <v>42296</v>
      </c>
      <c r="C2100" s="251">
        <v>378.7</v>
      </c>
      <c r="D2100" s="251">
        <f t="shared" si="67"/>
        <v>-4.4048971349236375E-2</v>
      </c>
      <c r="E2100" s="251">
        <v>-1.9419989642672192E-2</v>
      </c>
      <c r="G2100" s="251">
        <v>2091</v>
      </c>
      <c r="H2100" s="251">
        <f t="shared" ca="1" si="68"/>
        <v>4.9759615017111363E-3</v>
      </c>
    </row>
    <row r="2101" spans="2:8">
      <c r="B2101" s="252">
        <v>42314</v>
      </c>
      <c r="C2101" s="251">
        <v>396.15</v>
      </c>
      <c r="D2101" s="251">
        <f t="shared" si="67"/>
        <v>-6.0922128718738991E-2</v>
      </c>
      <c r="E2101" s="251">
        <v>-1.9430693069306986E-2</v>
      </c>
      <c r="G2101" s="251">
        <v>2092</v>
      </c>
      <c r="H2101" s="251">
        <f t="shared" ca="1" si="68"/>
        <v>-2.8707300433758543E-3</v>
      </c>
    </row>
    <row r="2102" spans="2:8">
      <c r="B2102" s="252">
        <v>44882</v>
      </c>
      <c r="C2102" s="251">
        <v>421.85</v>
      </c>
      <c r="D2102" s="251">
        <f t="shared" si="67"/>
        <v>1.53820697954272</v>
      </c>
      <c r="E2102" s="251">
        <v>-1.9455162475012795E-2</v>
      </c>
      <c r="G2102" s="251">
        <v>2093</v>
      </c>
      <c r="H2102" s="251">
        <f t="shared" ca="1" si="68"/>
        <v>-2.1673795633554524E-2</v>
      </c>
    </row>
    <row r="2103" spans="2:8">
      <c r="B2103" s="252">
        <v>43626</v>
      </c>
      <c r="C2103" s="251">
        <v>166.2</v>
      </c>
      <c r="D2103" s="251">
        <f t="shared" si="67"/>
        <v>6.0204695966281955E-4</v>
      </c>
      <c r="E2103" s="251">
        <v>-1.9469026548672632E-2</v>
      </c>
      <c r="G2103" s="251">
        <v>2094</v>
      </c>
      <c r="H2103" s="251">
        <f t="shared" ca="1" si="68"/>
        <v>1.1765296307671872E-2</v>
      </c>
    </row>
    <row r="2104" spans="2:8">
      <c r="B2104" s="252">
        <v>43804</v>
      </c>
      <c r="C2104" s="251">
        <v>166.1</v>
      </c>
      <c r="D2104" s="251">
        <f t="shared" si="67"/>
        <v>-0.42506057459328483</v>
      </c>
      <c r="E2104" s="251">
        <v>-1.9480519480519546E-2</v>
      </c>
      <c r="G2104" s="251">
        <v>2095</v>
      </c>
      <c r="H2104" s="251">
        <f t="shared" ca="1" si="68"/>
        <v>1.6739181645370513E-2</v>
      </c>
    </row>
    <row r="2105" spans="2:8">
      <c r="B2105" s="252">
        <v>43250</v>
      </c>
      <c r="C2105" s="251">
        <v>288.89999999999998</v>
      </c>
      <c r="D2105" s="251">
        <f t="shared" si="67"/>
        <v>-0.53891823738768219</v>
      </c>
      <c r="E2105" s="251">
        <v>-1.9514678432038014E-2</v>
      </c>
      <c r="G2105" s="251">
        <v>2096</v>
      </c>
      <c r="H2105" s="251">
        <f t="shared" ca="1" si="68"/>
        <v>6.3308847043404948E-2</v>
      </c>
    </row>
    <row r="2106" spans="2:8">
      <c r="B2106" s="252">
        <v>45229</v>
      </c>
      <c r="C2106" s="251">
        <v>626.57000000000005</v>
      </c>
      <c r="D2106" s="251">
        <f t="shared" si="67"/>
        <v>-4.3769553605494012E-2</v>
      </c>
      <c r="E2106" s="251">
        <v>-1.9575014082743928E-2</v>
      </c>
      <c r="G2106" s="251">
        <v>2097</v>
      </c>
      <c r="H2106" s="251">
        <f t="shared" ca="1" si="68"/>
        <v>-3.3862207308009665E-2</v>
      </c>
    </row>
    <row r="2107" spans="2:8">
      <c r="B2107" s="252">
        <v>45772</v>
      </c>
      <c r="C2107" s="251">
        <v>655.25</v>
      </c>
      <c r="D2107" s="251">
        <f t="shared" si="67"/>
        <v>0.6001611760970964</v>
      </c>
      <c r="E2107" s="251">
        <v>-1.9600508715493414E-2</v>
      </c>
      <c r="G2107" s="251">
        <v>2098</v>
      </c>
      <c r="H2107" s="251">
        <f t="shared" ca="1" si="68"/>
        <v>-1.6318047946234097E-2</v>
      </c>
    </row>
    <row r="2108" spans="2:8">
      <c r="B2108" s="252">
        <v>45005</v>
      </c>
      <c r="C2108" s="251">
        <v>409.49</v>
      </c>
      <c r="D2108" s="251">
        <f t="shared" si="67"/>
        <v>-0.36860689229820365</v>
      </c>
      <c r="E2108" s="251">
        <v>-1.967872447391724E-2</v>
      </c>
      <c r="G2108" s="251">
        <v>2099</v>
      </c>
      <c r="H2108" s="251">
        <f t="shared" ca="1" si="68"/>
        <v>9.5486148442541115E-3</v>
      </c>
    </row>
    <row r="2109" spans="2:8">
      <c r="B2109" s="252">
        <v>45715</v>
      </c>
      <c r="C2109" s="251">
        <v>648.54999999999995</v>
      </c>
      <c r="D2109" s="251">
        <f t="shared" si="67"/>
        <v>1.1785354383607658</v>
      </c>
      <c r="E2109" s="251">
        <v>-1.9724909310761891E-2</v>
      </c>
      <c r="G2109" s="251">
        <v>2100</v>
      </c>
      <c r="H2109" s="251">
        <f t="shared" ca="1" si="68"/>
        <v>8.3094738956449431E-3</v>
      </c>
    </row>
    <row r="2110" spans="2:8">
      <c r="B2110" s="252">
        <v>44425</v>
      </c>
      <c r="C2110" s="251">
        <v>297.7</v>
      </c>
      <c r="D2110" s="251">
        <f t="shared" si="67"/>
        <v>1.927236971484759</v>
      </c>
      <c r="E2110" s="251">
        <v>-1.975633849193283E-2</v>
      </c>
      <c r="G2110" s="251">
        <v>2101</v>
      </c>
      <c r="H2110" s="251">
        <f t="shared" ca="1" si="68"/>
        <v>3.9699197700097787E-3</v>
      </c>
    </row>
    <row r="2111" spans="2:8">
      <c r="B2111" s="252">
        <v>44039</v>
      </c>
      <c r="C2111" s="251">
        <v>101.7</v>
      </c>
      <c r="D2111" s="251">
        <f t="shared" si="67"/>
        <v>-0.83951396559886371</v>
      </c>
      <c r="E2111" s="251">
        <v>-1.9759036144578287E-2</v>
      </c>
      <c r="G2111" s="251">
        <v>2102</v>
      </c>
      <c r="H2111" s="251">
        <f t="shared" ca="1" si="68"/>
        <v>-4.3909535461756591E-2</v>
      </c>
    </row>
    <row r="2112" spans="2:8">
      <c r="B2112" s="252">
        <v>45877</v>
      </c>
      <c r="C2112" s="251">
        <v>633.70000000000005</v>
      </c>
      <c r="D2112" s="251">
        <f t="shared" si="67"/>
        <v>0.19228598306679218</v>
      </c>
      <c r="E2112" s="251">
        <v>-1.9798917246713E-2</v>
      </c>
      <c r="G2112" s="251">
        <v>2103</v>
      </c>
      <c r="H2112" s="251">
        <f t="shared" ca="1" si="68"/>
        <v>1.0437413531179669E-2</v>
      </c>
    </row>
    <row r="2113" spans="2:8">
      <c r="B2113" s="252">
        <v>42768</v>
      </c>
      <c r="C2113" s="251">
        <v>531.5</v>
      </c>
      <c r="D2113" s="251">
        <f t="shared" si="67"/>
        <v>-0.22044587855676145</v>
      </c>
      <c r="E2113" s="251">
        <v>-1.9824804057169201E-2</v>
      </c>
      <c r="G2113" s="251">
        <v>2104</v>
      </c>
      <c r="H2113" s="251">
        <f t="shared" ca="1" si="68"/>
        <v>-1.2367256552520134E-2</v>
      </c>
    </row>
    <row r="2114" spans="2:8">
      <c r="B2114" s="252">
        <v>45849</v>
      </c>
      <c r="C2114" s="251">
        <v>681.8</v>
      </c>
      <c r="D2114" s="251">
        <f t="shared" si="67"/>
        <v>5.5779064158224791</v>
      </c>
      <c r="E2114" s="251">
        <v>-1.9838987924094404E-2</v>
      </c>
      <c r="G2114" s="251">
        <v>2105</v>
      </c>
      <c r="H2114" s="251">
        <f t="shared" ca="1" si="68"/>
        <v>-3.3107252728893186E-2</v>
      </c>
    </row>
    <row r="2115" spans="2:8">
      <c r="B2115" s="252">
        <v>44042</v>
      </c>
      <c r="C2115" s="251">
        <v>103.65</v>
      </c>
      <c r="D2115" s="251">
        <f t="shared" si="67"/>
        <v>-0.36235004613964933</v>
      </c>
      <c r="E2115" s="251">
        <v>-1.985815602836874E-2</v>
      </c>
      <c r="G2115" s="251">
        <v>2106</v>
      </c>
      <c r="H2115" s="251">
        <f t="shared" ca="1" si="68"/>
        <v>-6.295811236808399E-2</v>
      </c>
    </row>
    <row r="2116" spans="2:8">
      <c r="B2116" s="252">
        <v>43644</v>
      </c>
      <c r="C2116" s="251">
        <v>162.55000000000001</v>
      </c>
      <c r="D2116" s="251">
        <f t="shared" si="67"/>
        <v>6.5015479876161693E-3</v>
      </c>
      <c r="E2116" s="251">
        <v>-1.9897497738920609E-2</v>
      </c>
      <c r="G2116" s="251">
        <v>2107</v>
      </c>
      <c r="H2116" s="251">
        <f t="shared" ca="1" si="68"/>
        <v>1.5358467680931678E-3</v>
      </c>
    </row>
    <row r="2117" spans="2:8">
      <c r="B2117" s="252">
        <v>43798</v>
      </c>
      <c r="C2117" s="251">
        <v>161.5</v>
      </c>
      <c r="D2117" s="251">
        <f t="shared" si="67"/>
        <v>-0.67921342735127621</v>
      </c>
      <c r="E2117" s="251">
        <v>-2.0024271844660262E-2</v>
      </c>
      <c r="G2117" s="251">
        <v>2108</v>
      </c>
      <c r="H2117" s="251">
        <f t="shared" ca="1" si="68"/>
        <v>3.090303708114606E-2</v>
      </c>
    </row>
    <row r="2118" spans="2:8">
      <c r="B2118" s="252">
        <v>42592</v>
      </c>
      <c r="C2118" s="251">
        <v>503.45</v>
      </c>
      <c r="D2118" s="251">
        <f t="shared" si="67"/>
        <v>-0.22331070657204574</v>
      </c>
      <c r="E2118" s="251">
        <v>-2.0144024912417218E-2</v>
      </c>
      <c r="G2118" s="251">
        <v>2109</v>
      </c>
      <c r="H2118" s="251">
        <f t="shared" ca="1" si="68"/>
        <v>1.2339096824999609E-2</v>
      </c>
    </row>
    <row r="2119" spans="2:8">
      <c r="B2119" s="252">
        <v>45783</v>
      </c>
      <c r="C2119" s="251">
        <v>648.20000000000005</v>
      </c>
      <c r="D2119" s="251">
        <f t="shared" si="67"/>
        <v>0.50237570981573776</v>
      </c>
      <c r="E2119" s="251">
        <v>-2.0179880583478058E-2</v>
      </c>
      <c r="G2119" s="251">
        <v>2110</v>
      </c>
      <c r="H2119" s="251">
        <f t="shared" ca="1" si="68"/>
        <v>3.0517029179758706E-2</v>
      </c>
    </row>
    <row r="2120" spans="2:8">
      <c r="B2120" s="252">
        <v>42950</v>
      </c>
      <c r="C2120" s="251">
        <v>431.45</v>
      </c>
      <c r="D2120" s="251">
        <f t="shared" si="67"/>
        <v>9.7167124402400509E-2</v>
      </c>
      <c r="E2120" s="251">
        <v>-2.0211195639832029E-2</v>
      </c>
      <c r="G2120" s="251">
        <v>2111</v>
      </c>
      <c r="H2120" s="251">
        <f t="shared" ca="1" si="68"/>
        <v>-2.4048915135141093E-2</v>
      </c>
    </row>
    <row r="2121" spans="2:8">
      <c r="B2121" s="252">
        <v>44917</v>
      </c>
      <c r="C2121" s="251">
        <v>393.24</v>
      </c>
      <c r="D2121" s="251">
        <f t="shared" si="67"/>
        <v>0.18232110643415508</v>
      </c>
      <c r="E2121" s="251">
        <v>-2.0231213872832381E-2</v>
      </c>
      <c r="G2121" s="251">
        <v>2112</v>
      </c>
      <c r="H2121" s="251">
        <f t="shared" ca="1" si="68"/>
        <v>-1.0474490211697898E-2</v>
      </c>
    </row>
    <row r="2122" spans="2:8">
      <c r="B2122" s="252">
        <v>42394</v>
      </c>
      <c r="C2122" s="251">
        <v>332.6</v>
      </c>
      <c r="D2122" s="251">
        <f t="shared" ref="D2122:D2185" si="69">(C2122-C2123)/C2123</f>
        <v>-0.21731968466878449</v>
      </c>
      <c r="E2122" s="251">
        <v>-2.0324005891016135E-2</v>
      </c>
      <c r="G2122" s="251">
        <v>2113</v>
      </c>
      <c r="H2122" s="251">
        <f t="shared" ca="1" si="68"/>
        <v>2.6631533493051428E-2</v>
      </c>
    </row>
    <row r="2123" spans="2:8">
      <c r="B2123" s="252">
        <v>44670</v>
      </c>
      <c r="C2123" s="251">
        <v>424.95</v>
      </c>
      <c r="D2123" s="251">
        <f t="shared" si="69"/>
        <v>2.6181353767560664</v>
      </c>
      <c r="E2123" s="251">
        <v>-2.0401106500691615E-2</v>
      </c>
      <c r="G2123" s="251">
        <v>2114</v>
      </c>
      <c r="H2123" s="251">
        <f t="shared" ref="H2123:H2186" ca="1" si="70">_xlfn.NORM.INV(RAND(),N$12,N$13)</f>
        <v>2.3857100281755979E-2</v>
      </c>
    </row>
    <row r="2124" spans="2:8">
      <c r="B2124" s="252">
        <v>43738</v>
      </c>
      <c r="C2124" s="251">
        <v>117.45</v>
      </c>
      <c r="D2124" s="251">
        <f t="shared" si="69"/>
        <v>-0.82558657558657556</v>
      </c>
      <c r="E2124" s="251">
        <v>-2.0433694745621372E-2</v>
      </c>
      <c r="G2124" s="251">
        <v>2115</v>
      </c>
      <c r="H2124" s="251">
        <f t="shared" ca="1" si="70"/>
        <v>-4.4072411442080343E-2</v>
      </c>
    </row>
    <row r="2125" spans="2:8">
      <c r="B2125" s="252">
        <v>45860</v>
      </c>
      <c r="C2125" s="251">
        <v>673.4</v>
      </c>
      <c r="D2125" s="251">
        <f t="shared" si="69"/>
        <v>2.9681791396582207</v>
      </c>
      <c r="E2125" s="251">
        <v>-2.0437850025456495E-2</v>
      </c>
      <c r="G2125" s="251">
        <v>2116</v>
      </c>
      <c r="H2125" s="251">
        <f t="shared" ca="1" si="70"/>
        <v>7.3292927338969877E-3</v>
      </c>
    </row>
    <row r="2126" spans="2:8">
      <c r="B2126" s="252">
        <v>43622</v>
      </c>
      <c r="C2126" s="251">
        <v>169.7</v>
      </c>
      <c r="D2126" s="251">
        <f t="shared" si="69"/>
        <v>-0.61330750826022562</v>
      </c>
      <c r="E2126" s="251">
        <v>-2.0490620490620556E-2</v>
      </c>
      <c r="G2126" s="251">
        <v>2117</v>
      </c>
      <c r="H2126" s="251">
        <f t="shared" ca="1" si="70"/>
        <v>-3.189699311524747E-2</v>
      </c>
    </row>
    <row r="2127" spans="2:8">
      <c r="B2127" s="252">
        <v>44673</v>
      </c>
      <c r="C2127" s="251">
        <v>438.85</v>
      </c>
      <c r="D2127" s="251">
        <f t="shared" si="69"/>
        <v>5.239808153477224E-2</v>
      </c>
      <c r="E2127" s="251">
        <v>-2.0533422609083783E-2</v>
      </c>
      <c r="G2127" s="251">
        <v>2118</v>
      </c>
      <c r="H2127" s="251">
        <f t="shared" ca="1" si="70"/>
        <v>5.5911829079436431E-3</v>
      </c>
    </row>
    <row r="2128" spans="2:8">
      <c r="B2128" s="252">
        <v>44706</v>
      </c>
      <c r="C2128" s="251">
        <v>417</v>
      </c>
      <c r="D2128" s="251">
        <f t="shared" si="69"/>
        <v>0.59434142611355378</v>
      </c>
      <c r="E2128" s="251">
        <v>-2.0551967116852612E-2</v>
      </c>
      <c r="G2128" s="251">
        <v>2119</v>
      </c>
      <c r="H2128" s="251">
        <f t="shared" ca="1" si="70"/>
        <v>-3.5234925508843364E-2</v>
      </c>
    </row>
    <row r="2129" spans="2:8">
      <c r="B2129" s="252">
        <v>43286</v>
      </c>
      <c r="C2129" s="251">
        <v>261.55</v>
      </c>
      <c r="D2129" s="251">
        <f t="shared" si="69"/>
        <v>-0.73346581065932948</v>
      </c>
      <c r="E2129" s="251">
        <v>-2.0595394120951131E-2</v>
      </c>
      <c r="G2129" s="251">
        <v>2120</v>
      </c>
      <c r="H2129" s="251">
        <f t="shared" ca="1" si="70"/>
        <v>-1.5986752096592276E-2</v>
      </c>
    </row>
    <row r="2130" spans="2:8">
      <c r="B2130" s="252">
        <v>45475</v>
      </c>
      <c r="C2130" s="251">
        <v>981.3</v>
      </c>
      <c r="D2130" s="251">
        <f t="shared" si="69"/>
        <v>0.72885835095137408</v>
      </c>
      <c r="E2130" s="251">
        <v>-2.0707549523476872E-2</v>
      </c>
      <c r="G2130" s="251">
        <v>2121</v>
      </c>
      <c r="H2130" s="251">
        <f t="shared" ca="1" si="70"/>
        <v>3.1385279503313886E-2</v>
      </c>
    </row>
    <row r="2131" spans="2:8">
      <c r="B2131" s="252">
        <v>45099</v>
      </c>
      <c r="C2131" s="251">
        <v>567.6</v>
      </c>
      <c r="D2131" s="251">
        <f t="shared" si="69"/>
        <v>2.3977850942831487</v>
      </c>
      <c r="E2131" s="251">
        <v>-2.0720829523300135E-2</v>
      </c>
      <c r="G2131" s="251">
        <v>2122</v>
      </c>
      <c r="H2131" s="251">
        <f t="shared" ca="1" si="70"/>
        <v>-6.6775820396024104E-3</v>
      </c>
    </row>
    <row r="2132" spans="2:8">
      <c r="B2132" s="252">
        <v>43783</v>
      </c>
      <c r="C2132" s="251">
        <v>167.05</v>
      </c>
      <c r="D2132" s="251">
        <f t="shared" si="69"/>
        <v>-0.81864272453887155</v>
      </c>
      <c r="E2132" s="251">
        <v>-2.0808909730363322E-2</v>
      </c>
      <c r="G2132" s="251">
        <v>2123</v>
      </c>
      <c r="H2132" s="251">
        <f t="shared" ca="1" si="70"/>
        <v>-3.2543207608459225E-2</v>
      </c>
    </row>
    <row r="2133" spans="2:8">
      <c r="B2133" s="252">
        <v>45442</v>
      </c>
      <c r="C2133" s="251">
        <v>921.11</v>
      </c>
      <c r="D2133" s="251">
        <f t="shared" si="69"/>
        <v>1.220612343297975</v>
      </c>
      <c r="E2133" s="251">
        <v>-2.0824917614542394E-2</v>
      </c>
      <c r="G2133" s="251">
        <v>2124</v>
      </c>
      <c r="H2133" s="251">
        <f t="shared" ca="1" si="70"/>
        <v>-1.9346512878851998E-2</v>
      </c>
    </row>
    <row r="2134" spans="2:8">
      <c r="B2134" s="252">
        <v>42998</v>
      </c>
      <c r="C2134" s="251">
        <v>414.8</v>
      </c>
      <c r="D2134" s="251">
        <f t="shared" si="69"/>
        <v>-8.7147887323943588E-2</v>
      </c>
      <c r="E2134" s="251">
        <v>-2.0889885518706401E-2</v>
      </c>
      <c r="G2134" s="251">
        <v>2125</v>
      </c>
      <c r="H2134" s="251">
        <f t="shared" ca="1" si="70"/>
        <v>1.3996697205137484E-2</v>
      </c>
    </row>
    <row r="2135" spans="2:8">
      <c r="B2135" s="252">
        <v>42716</v>
      </c>
      <c r="C2135" s="251">
        <v>454.4</v>
      </c>
      <c r="D2135" s="251">
        <f t="shared" si="69"/>
        <v>0.67644346061612237</v>
      </c>
      <c r="E2135" s="251">
        <v>-2.0900667959491585E-2</v>
      </c>
      <c r="G2135" s="251">
        <v>2126</v>
      </c>
      <c r="H2135" s="251">
        <f t="shared" ca="1" si="70"/>
        <v>4.7052351643286819E-2</v>
      </c>
    </row>
    <row r="2136" spans="2:8">
      <c r="B2136" s="252">
        <v>43278</v>
      </c>
      <c r="C2136" s="251">
        <v>271.05</v>
      </c>
      <c r="D2136" s="251">
        <f t="shared" si="69"/>
        <v>-0.31196852392435581</v>
      </c>
      <c r="E2136" s="251">
        <v>-2.094997290951783E-2</v>
      </c>
      <c r="G2136" s="251">
        <v>2127</v>
      </c>
      <c r="H2136" s="251">
        <f t="shared" ca="1" si="70"/>
        <v>1.3170899986757795E-2</v>
      </c>
    </row>
    <row r="2137" spans="2:8">
      <c r="B2137" s="252">
        <v>42347</v>
      </c>
      <c r="C2137" s="251">
        <v>393.95</v>
      </c>
      <c r="D2137" s="251">
        <f t="shared" si="69"/>
        <v>-6.6026552868658189E-2</v>
      </c>
      <c r="E2137" s="251">
        <v>-2.0999005964214685E-2</v>
      </c>
      <c r="G2137" s="251">
        <v>2128</v>
      </c>
      <c r="H2137" s="251">
        <f t="shared" ca="1" si="70"/>
        <v>1.483590883340853E-2</v>
      </c>
    </row>
    <row r="2138" spans="2:8">
      <c r="B2138" s="252">
        <v>44827</v>
      </c>
      <c r="C2138" s="251">
        <v>421.8</v>
      </c>
      <c r="D2138" s="251">
        <f t="shared" si="69"/>
        <v>9.7265940011966354E-2</v>
      </c>
      <c r="E2138" s="251">
        <v>-2.1050432845173703E-2</v>
      </c>
      <c r="G2138" s="251">
        <v>2129</v>
      </c>
      <c r="H2138" s="251">
        <f t="shared" ca="1" si="70"/>
        <v>3.5840639403649635E-2</v>
      </c>
    </row>
    <row r="2139" spans="2:8">
      <c r="B2139" s="252">
        <v>44930</v>
      </c>
      <c r="C2139" s="251">
        <v>384.41</v>
      </c>
      <c r="D2139" s="251">
        <f t="shared" si="69"/>
        <v>-0.63509421424842183</v>
      </c>
      <c r="E2139" s="251">
        <v>-2.1085334487763816E-2</v>
      </c>
      <c r="G2139" s="251">
        <v>2130</v>
      </c>
      <c r="H2139" s="251">
        <f t="shared" ca="1" si="70"/>
        <v>-1.1685499199496982E-2</v>
      </c>
    </row>
    <row r="2140" spans="2:8">
      <c r="B2140" s="252">
        <v>45517</v>
      </c>
      <c r="C2140" s="267">
        <v>1053.45</v>
      </c>
      <c r="D2140" s="251">
        <f t="shared" si="69"/>
        <v>1.3771860543833918</v>
      </c>
      <c r="E2140" s="251">
        <v>-2.1093713701621563E-2</v>
      </c>
      <c r="G2140" s="251">
        <v>2131</v>
      </c>
      <c r="H2140" s="251">
        <f t="shared" ca="1" si="70"/>
        <v>1.9992442663942192E-2</v>
      </c>
    </row>
    <row r="2141" spans="2:8">
      <c r="B2141" s="252">
        <v>42909</v>
      </c>
      <c r="C2141" s="251">
        <v>443.15</v>
      </c>
      <c r="D2141" s="251">
        <f t="shared" si="69"/>
        <v>-0.10996183972685279</v>
      </c>
      <c r="E2141" s="251">
        <v>-2.1095648332228874E-2</v>
      </c>
      <c r="G2141" s="251">
        <v>2132</v>
      </c>
      <c r="H2141" s="251">
        <f t="shared" ca="1" si="70"/>
        <v>1.7856094599986772E-2</v>
      </c>
    </row>
    <row r="2142" spans="2:8">
      <c r="B2142" s="252">
        <v>44496</v>
      </c>
      <c r="C2142" s="251">
        <v>497.9</v>
      </c>
      <c r="D2142" s="251">
        <f t="shared" si="69"/>
        <v>0.19932554498374083</v>
      </c>
      <c r="E2142" s="251">
        <v>-2.1134375307185687E-2</v>
      </c>
      <c r="G2142" s="251">
        <v>2133</v>
      </c>
      <c r="H2142" s="251">
        <f t="shared" ca="1" si="70"/>
        <v>3.4518252550929968E-2</v>
      </c>
    </row>
    <row r="2143" spans="2:8">
      <c r="B2143" s="252">
        <v>44699</v>
      </c>
      <c r="C2143" s="251">
        <v>415.15</v>
      </c>
      <c r="D2143" s="251">
        <f t="shared" si="69"/>
        <v>1.4066666666666665</v>
      </c>
      <c r="E2143" s="251">
        <v>-2.1218908405045388E-2</v>
      </c>
      <c r="G2143" s="251">
        <v>2134</v>
      </c>
      <c r="H2143" s="251">
        <f t="shared" ca="1" si="70"/>
        <v>-3.4221905652710244E-2</v>
      </c>
    </row>
    <row r="2144" spans="2:8">
      <c r="B2144" s="252">
        <v>43458</v>
      </c>
      <c r="C2144" s="251">
        <v>172.5</v>
      </c>
      <c r="D2144" s="251">
        <f t="shared" si="69"/>
        <v>-0.4393890152746181</v>
      </c>
      <c r="E2144" s="251">
        <v>-2.1276595744680851E-2</v>
      </c>
      <c r="G2144" s="251">
        <v>2135</v>
      </c>
      <c r="H2144" s="251">
        <f t="shared" ca="1" si="70"/>
        <v>-3.7321113836352154E-3</v>
      </c>
    </row>
    <row r="2145" spans="2:8">
      <c r="B2145" s="252">
        <v>44336</v>
      </c>
      <c r="C2145" s="251">
        <v>307.7</v>
      </c>
      <c r="D2145" s="251">
        <f t="shared" si="69"/>
        <v>1.3328278999241847</v>
      </c>
      <c r="E2145" s="251">
        <v>-2.146605183653999E-2</v>
      </c>
      <c r="G2145" s="251">
        <v>2136</v>
      </c>
      <c r="H2145" s="251">
        <f t="shared" ca="1" si="70"/>
        <v>-7.3926162800234535E-2</v>
      </c>
    </row>
    <row r="2146" spans="2:8">
      <c r="B2146" s="252">
        <v>44133</v>
      </c>
      <c r="C2146" s="251">
        <v>131.9</v>
      </c>
      <c r="D2146" s="251">
        <f t="shared" si="69"/>
        <v>-0.68854781582054314</v>
      </c>
      <c r="E2146" s="251">
        <v>-2.1513353115727045E-2</v>
      </c>
      <c r="G2146" s="251">
        <v>2137</v>
      </c>
      <c r="H2146" s="251">
        <f t="shared" ca="1" si="70"/>
        <v>2.4071990781276538E-2</v>
      </c>
    </row>
    <row r="2147" spans="2:8">
      <c r="B2147" s="252">
        <v>44685</v>
      </c>
      <c r="C2147" s="251">
        <v>423.5</v>
      </c>
      <c r="D2147" s="251">
        <f t="shared" si="69"/>
        <v>-7.3912092718128167E-2</v>
      </c>
      <c r="E2147" s="251">
        <v>-2.1601016518424446E-2</v>
      </c>
      <c r="G2147" s="251">
        <v>2138</v>
      </c>
      <c r="H2147" s="251">
        <f t="shared" ca="1" si="70"/>
        <v>4.0181053552778942E-2</v>
      </c>
    </row>
    <row r="2148" spans="2:8">
      <c r="B2148" s="252">
        <v>42907</v>
      </c>
      <c r="C2148" s="251">
        <v>457.3</v>
      </c>
      <c r="D2148" s="251">
        <f t="shared" si="69"/>
        <v>-0.52775827171712997</v>
      </c>
      <c r="E2148" s="251">
        <v>-2.1608900299529239E-2</v>
      </c>
      <c r="G2148" s="251">
        <v>2139</v>
      </c>
      <c r="H2148" s="251">
        <f t="shared" ca="1" si="70"/>
        <v>3.9098398322211566E-3</v>
      </c>
    </row>
    <row r="2149" spans="2:8">
      <c r="B2149" s="252">
        <v>45400</v>
      </c>
      <c r="C2149" s="251">
        <v>968.36</v>
      </c>
      <c r="D2149" s="251">
        <f t="shared" si="69"/>
        <v>4.4911256024950381</v>
      </c>
      <c r="E2149" s="251">
        <v>-2.1611518060116176E-2</v>
      </c>
      <c r="G2149" s="251">
        <v>2140</v>
      </c>
      <c r="H2149" s="251">
        <f t="shared" ca="1" si="70"/>
        <v>6.1821266249472541E-3</v>
      </c>
    </row>
    <row r="2150" spans="2:8">
      <c r="B2150" s="252">
        <v>43614</v>
      </c>
      <c r="C2150" s="251">
        <v>176.35</v>
      </c>
      <c r="D2150" s="251">
        <f t="shared" si="69"/>
        <v>0.69975903614457824</v>
      </c>
      <c r="E2150" s="251">
        <v>-2.1636615811373123E-2</v>
      </c>
      <c r="G2150" s="251">
        <v>2141</v>
      </c>
      <c r="H2150" s="251">
        <f t="shared" ca="1" si="70"/>
        <v>-3.9671702041468374E-2</v>
      </c>
    </row>
    <row r="2151" spans="2:8">
      <c r="B2151" s="252">
        <v>44036</v>
      </c>
      <c r="C2151" s="251">
        <v>103.75</v>
      </c>
      <c r="D2151" s="251">
        <f t="shared" si="69"/>
        <v>-0.65662750289591265</v>
      </c>
      <c r="E2151" s="251">
        <v>-2.1687883074021662E-2</v>
      </c>
      <c r="G2151" s="251">
        <v>2142</v>
      </c>
      <c r="H2151" s="251">
        <f t="shared" ca="1" si="70"/>
        <v>2.2943375996706938E-3</v>
      </c>
    </row>
    <row r="2152" spans="2:8">
      <c r="B2152" s="252">
        <v>44397</v>
      </c>
      <c r="C2152" s="251">
        <v>302.14999999999998</v>
      </c>
      <c r="D2152" s="251">
        <f t="shared" si="69"/>
        <v>9.099115363784073E-2</v>
      </c>
      <c r="E2152" s="251">
        <v>-2.169337866278143E-2</v>
      </c>
      <c r="G2152" s="251">
        <v>2143</v>
      </c>
      <c r="H2152" s="251">
        <f t="shared" ca="1" si="70"/>
        <v>1.6095947004867019E-2</v>
      </c>
    </row>
    <row r="2153" spans="2:8">
      <c r="B2153" s="252">
        <v>44431</v>
      </c>
      <c r="C2153" s="251">
        <v>276.95</v>
      </c>
      <c r="D2153" s="251">
        <f t="shared" si="69"/>
        <v>-0.16291370711802941</v>
      </c>
      <c r="E2153" s="251">
        <v>-2.1723772518544803E-2</v>
      </c>
      <c r="G2153" s="251">
        <v>2144</v>
      </c>
      <c r="H2153" s="251">
        <f t="shared" ca="1" si="70"/>
        <v>7.7362114152122706E-3</v>
      </c>
    </row>
    <row r="2154" spans="2:8">
      <c r="B2154" s="252">
        <v>43182</v>
      </c>
      <c r="C2154" s="251">
        <v>330.85</v>
      </c>
      <c r="D2154" s="251">
        <f t="shared" si="69"/>
        <v>2.2404202719406675E-2</v>
      </c>
      <c r="E2154" s="251">
        <v>-2.173270254287394E-2</v>
      </c>
      <c r="G2154" s="251">
        <v>2145</v>
      </c>
      <c r="H2154" s="251">
        <f t="shared" ca="1" si="70"/>
        <v>3.0765308571711128E-2</v>
      </c>
    </row>
    <row r="2155" spans="2:8">
      <c r="B2155" s="252">
        <v>43234</v>
      </c>
      <c r="C2155" s="251">
        <v>323.60000000000002</v>
      </c>
      <c r="D2155" s="251">
        <f t="shared" si="69"/>
        <v>-0.29182623919466016</v>
      </c>
      <c r="E2155" s="251">
        <v>-2.1765417170495734E-2</v>
      </c>
      <c r="G2155" s="251">
        <v>2146</v>
      </c>
      <c r="H2155" s="251">
        <f t="shared" ca="1" si="70"/>
        <v>-2.4150445372834929E-2</v>
      </c>
    </row>
    <row r="2156" spans="2:8">
      <c r="B2156" s="252">
        <v>42531</v>
      </c>
      <c r="C2156" s="251">
        <v>456.95</v>
      </c>
      <c r="D2156" s="251">
        <f t="shared" si="69"/>
        <v>1.8911736792154379</v>
      </c>
      <c r="E2156" s="251">
        <v>-2.183452852402866E-2</v>
      </c>
      <c r="G2156" s="251">
        <v>2147</v>
      </c>
      <c r="H2156" s="251">
        <f t="shared" ca="1" si="70"/>
        <v>-3.6771045331389078E-2</v>
      </c>
    </row>
    <row r="2157" spans="2:8">
      <c r="B2157" s="252">
        <v>43880</v>
      </c>
      <c r="C2157" s="251">
        <v>158.05000000000001</v>
      </c>
      <c r="D2157" s="251">
        <f t="shared" si="69"/>
        <v>-9.7630602340850664E-2</v>
      </c>
      <c r="E2157" s="251">
        <v>-2.1967821782178112E-2</v>
      </c>
      <c r="G2157" s="251">
        <v>2148</v>
      </c>
      <c r="H2157" s="251">
        <f t="shared" ca="1" si="70"/>
        <v>-7.9129918471068043E-3</v>
      </c>
    </row>
    <row r="2158" spans="2:8">
      <c r="B2158" s="252">
        <v>43608</v>
      </c>
      <c r="C2158" s="251">
        <v>175.15</v>
      </c>
      <c r="D2158" s="251">
        <f t="shared" si="69"/>
        <v>-0.78071987480438187</v>
      </c>
      <c r="E2158" s="251">
        <v>-2.205471803461747E-2</v>
      </c>
      <c r="G2158" s="251">
        <v>2149</v>
      </c>
      <c r="H2158" s="251">
        <f t="shared" ca="1" si="70"/>
        <v>5.1288602728685205E-2</v>
      </c>
    </row>
    <row r="2159" spans="2:8">
      <c r="B2159" s="252">
        <v>45635</v>
      </c>
      <c r="C2159" s="251">
        <v>798.75</v>
      </c>
      <c r="D2159" s="251">
        <f t="shared" si="69"/>
        <v>0.29061707250076751</v>
      </c>
      <c r="E2159" s="251">
        <v>-2.2098432908912776E-2</v>
      </c>
      <c r="G2159" s="251">
        <v>2150</v>
      </c>
      <c r="H2159" s="251">
        <f t="shared" ca="1" si="70"/>
        <v>-7.1187374781835839E-3</v>
      </c>
    </row>
    <row r="2160" spans="2:8">
      <c r="B2160" s="252">
        <v>45181</v>
      </c>
      <c r="C2160" s="251">
        <v>618.89</v>
      </c>
      <c r="D2160" s="251">
        <f t="shared" si="69"/>
        <v>1.1907610619469027</v>
      </c>
      <c r="E2160" s="251">
        <v>-2.2136198451572116E-2</v>
      </c>
      <c r="G2160" s="251">
        <v>2151</v>
      </c>
      <c r="H2160" s="251">
        <f t="shared" ca="1" si="70"/>
        <v>1.4166248200917445E-2</v>
      </c>
    </row>
    <row r="2161" spans="2:8">
      <c r="B2161" s="252">
        <v>43251</v>
      </c>
      <c r="C2161" s="251">
        <v>282.5</v>
      </c>
      <c r="D2161" s="251">
        <f t="shared" si="69"/>
        <v>-6.8885959129861493E-2</v>
      </c>
      <c r="E2161" s="251">
        <v>-2.215299411561086E-2</v>
      </c>
      <c r="G2161" s="251">
        <v>2152</v>
      </c>
      <c r="H2161" s="251">
        <f t="shared" ca="1" si="70"/>
        <v>-1.3787986238250768E-2</v>
      </c>
    </row>
    <row r="2162" spans="2:8">
      <c r="B2162" s="252">
        <v>42271</v>
      </c>
      <c r="C2162" s="251">
        <v>303.39999999999998</v>
      </c>
      <c r="D2162" s="251">
        <f t="shared" si="69"/>
        <v>-0.36778495519899979</v>
      </c>
      <c r="E2162" s="251">
        <v>-2.2236545278762596E-2</v>
      </c>
      <c r="G2162" s="251">
        <v>2153</v>
      </c>
      <c r="H2162" s="251">
        <f t="shared" ca="1" si="70"/>
        <v>1.0287574747682717E-3</v>
      </c>
    </row>
    <row r="2163" spans="2:8">
      <c r="B2163" s="252">
        <v>44494</v>
      </c>
      <c r="C2163" s="251">
        <v>479.9</v>
      </c>
      <c r="D2163" s="251">
        <f t="shared" si="69"/>
        <v>1.3929194714535027</v>
      </c>
      <c r="E2163" s="251">
        <v>-2.2407822367080873E-2</v>
      </c>
      <c r="G2163" s="251">
        <v>2154</v>
      </c>
      <c r="H2163" s="251">
        <f t="shared" ca="1" si="70"/>
        <v>-5.3386633334639298E-2</v>
      </c>
    </row>
    <row r="2164" spans="2:8">
      <c r="B2164" s="252">
        <v>43563</v>
      </c>
      <c r="C2164" s="251">
        <v>200.55</v>
      </c>
      <c r="D2164" s="251">
        <f t="shared" si="69"/>
        <v>-0.7266407687589449</v>
      </c>
      <c r="E2164" s="251">
        <v>-2.2422617596880304E-2</v>
      </c>
      <c r="G2164" s="251">
        <v>2155</v>
      </c>
      <c r="H2164" s="251">
        <f t="shared" ca="1" si="70"/>
        <v>-8.9704588730739158E-3</v>
      </c>
    </row>
    <row r="2165" spans="2:8">
      <c r="B2165" s="252">
        <v>45656</v>
      </c>
      <c r="C2165" s="251">
        <v>733.65</v>
      </c>
      <c r="D2165" s="251">
        <f t="shared" si="69"/>
        <v>5.1316339323025488</v>
      </c>
      <c r="E2165" s="251">
        <v>-2.2451698867421748E-2</v>
      </c>
      <c r="G2165" s="251">
        <v>2156</v>
      </c>
      <c r="H2165" s="251">
        <f t="shared" ca="1" si="70"/>
        <v>-8.7392832482037931E-3</v>
      </c>
    </row>
    <row r="2166" spans="2:8">
      <c r="B2166" s="252">
        <v>43742</v>
      </c>
      <c r="C2166" s="251">
        <v>119.65</v>
      </c>
      <c r="D2166" s="251">
        <f t="shared" si="69"/>
        <v>-0.29926793557833087</v>
      </c>
      <c r="E2166" s="251">
        <v>-2.2467320261437908E-2</v>
      </c>
      <c r="G2166" s="251">
        <v>2157</v>
      </c>
      <c r="H2166" s="251">
        <f t="shared" ca="1" si="70"/>
        <v>2.9665980001583655E-2</v>
      </c>
    </row>
    <row r="2167" spans="2:8">
      <c r="B2167" s="252">
        <v>43395</v>
      </c>
      <c r="C2167" s="251">
        <v>170.75</v>
      </c>
      <c r="D2167" s="251">
        <f t="shared" si="69"/>
        <v>-0.60882016036655207</v>
      </c>
      <c r="E2167" s="251">
        <v>-2.2610188895248934E-2</v>
      </c>
      <c r="G2167" s="251">
        <v>2158</v>
      </c>
      <c r="H2167" s="251">
        <f t="shared" ca="1" si="70"/>
        <v>4.6813666126544803E-3</v>
      </c>
    </row>
    <row r="2168" spans="2:8">
      <c r="B2168" s="252">
        <v>42859</v>
      </c>
      <c r="C2168" s="251">
        <v>436.5</v>
      </c>
      <c r="D2168" s="251">
        <f t="shared" si="69"/>
        <v>-0.53708613485481582</v>
      </c>
      <c r="E2168" s="251">
        <v>-2.2615315718764045E-2</v>
      </c>
      <c r="G2168" s="251">
        <v>2159</v>
      </c>
      <c r="H2168" s="251">
        <f t="shared" ca="1" si="70"/>
        <v>-2.9940411875630631E-2</v>
      </c>
    </row>
    <row r="2169" spans="2:8">
      <c r="B2169" s="252">
        <v>45366</v>
      </c>
      <c r="C2169" s="251">
        <v>942.94</v>
      </c>
      <c r="D2169" s="251">
        <f t="shared" si="69"/>
        <v>1.0991540516473732</v>
      </c>
      <c r="E2169" s="251">
        <v>-2.2627154658623225E-2</v>
      </c>
      <c r="G2169" s="251">
        <v>2160</v>
      </c>
      <c r="H2169" s="251">
        <f t="shared" ca="1" si="70"/>
        <v>-3.2570407367573315E-2</v>
      </c>
    </row>
    <row r="2170" spans="2:8">
      <c r="B2170" s="252">
        <v>42522</v>
      </c>
      <c r="C2170" s="251">
        <v>449.2</v>
      </c>
      <c r="D2170" s="251">
        <f t="shared" si="69"/>
        <v>0.227657830008199</v>
      </c>
      <c r="E2170" s="251">
        <v>-2.2734689437615554E-2</v>
      </c>
      <c r="G2170" s="251">
        <v>2161</v>
      </c>
      <c r="H2170" s="251">
        <f t="shared" ca="1" si="70"/>
        <v>-2.7107836435994358E-2</v>
      </c>
    </row>
    <row r="2171" spans="2:8">
      <c r="B2171" s="252">
        <v>42375</v>
      </c>
      <c r="C2171" s="251">
        <v>365.9</v>
      </c>
      <c r="D2171" s="251">
        <f t="shared" si="69"/>
        <v>-0.12182594921518755</v>
      </c>
      <c r="E2171" s="251">
        <v>-2.2833489117372176E-2</v>
      </c>
      <c r="G2171" s="251">
        <v>2162</v>
      </c>
      <c r="H2171" s="251">
        <f t="shared" ca="1" si="70"/>
        <v>-3.4497883692989062E-2</v>
      </c>
    </row>
    <row r="2172" spans="2:8">
      <c r="B2172" s="252">
        <v>44984</v>
      </c>
      <c r="C2172" s="251">
        <v>416.66</v>
      </c>
      <c r="D2172" s="251">
        <f t="shared" si="69"/>
        <v>-0.49440601868705253</v>
      </c>
      <c r="E2172" s="251">
        <v>-2.2911146026311426E-2</v>
      </c>
      <c r="G2172" s="251">
        <v>2163</v>
      </c>
      <c r="H2172" s="251">
        <f t="shared" ca="1" si="70"/>
        <v>1.4191915989202081E-2</v>
      </c>
    </row>
    <row r="2173" spans="2:8">
      <c r="B2173" s="252">
        <v>45600</v>
      </c>
      <c r="C2173" s="251">
        <v>824.1</v>
      </c>
      <c r="D2173" s="251">
        <f t="shared" si="69"/>
        <v>3.52305159165752</v>
      </c>
      <c r="E2173" s="251">
        <v>-2.2941490307664972E-2</v>
      </c>
      <c r="G2173" s="251">
        <v>2164</v>
      </c>
      <c r="H2173" s="251">
        <f t="shared" ca="1" si="70"/>
        <v>4.5039497765551287E-2</v>
      </c>
    </row>
    <row r="2174" spans="2:8">
      <c r="B2174" s="252">
        <v>43857</v>
      </c>
      <c r="C2174" s="251">
        <v>182.2</v>
      </c>
      <c r="D2174" s="251">
        <f t="shared" si="69"/>
        <v>0.17814419657290645</v>
      </c>
      <c r="E2174" s="251">
        <v>-2.3056300268096575E-2</v>
      </c>
      <c r="G2174" s="251">
        <v>2165</v>
      </c>
      <c r="H2174" s="251">
        <f t="shared" ca="1" si="70"/>
        <v>1.7674735676168302E-2</v>
      </c>
    </row>
    <row r="2175" spans="2:8">
      <c r="B2175" s="252">
        <v>43635</v>
      </c>
      <c r="C2175" s="251">
        <v>154.65</v>
      </c>
      <c r="D2175" s="251">
        <f t="shared" si="69"/>
        <v>-0.53171839515518549</v>
      </c>
      <c r="E2175" s="251">
        <v>-2.30574857864814E-2</v>
      </c>
      <c r="G2175" s="251">
        <v>2166</v>
      </c>
      <c r="H2175" s="251">
        <f t="shared" ca="1" si="70"/>
        <v>-1.3094646538675302E-2</v>
      </c>
    </row>
    <row r="2176" spans="2:8">
      <c r="B2176" s="252">
        <v>42265</v>
      </c>
      <c r="C2176" s="251">
        <v>330.25</v>
      </c>
      <c r="D2176" s="251">
        <f t="shared" si="69"/>
        <v>2.2569033530571989</v>
      </c>
      <c r="E2176" s="251">
        <v>-2.3073509835823135E-2</v>
      </c>
      <c r="G2176" s="251">
        <v>2167</v>
      </c>
      <c r="H2176" s="251">
        <f t="shared" ca="1" si="70"/>
        <v>1.2617606810300547E-2</v>
      </c>
    </row>
    <row r="2177" spans="2:8">
      <c r="B2177" s="252">
        <v>44008</v>
      </c>
      <c r="C2177" s="251">
        <v>101.4</v>
      </c>
      <c r="D2177" s="251">
        <f t="shared" si="69"/>
        <v>-0.65691084418880052</v>
      </c>
      <c r="E2177" s="251">
        <v>-2.3121387283236913E-2</v>
      </c>
      <c r="G2177" s="251">
        <v>2168</v>
      </c>
      <c r="H2177" s="251">
        <f t="shared" ca="1" si="70"/>
        <v>2.2653216647759065E-2</v>
      </c>
    </row>
    <row r="2178" spans="2:8">
      <c r="B2178" s="252">
        <v>44400</v>
      </c>
      <c r="C2178" s="251">
        <v>295.55</v>
      </c>
      <c r="D2178" s="251">
        <f t="shared" si="69"/>
        <v>-0.35221917808219178</v>
      </c>
      <c r="E2178" s="251">
        <v>-2.313667162452487E-2</v>
      </c>
      <c r="G2178" s="251">
        <v>2169</v>
      </c>
      <c r="H2178" s="251">
        <f t="shared" ca="1" si="70"/>
        <v>-3.7683869497567815E-2</v>
      </c>
    </row>
    <row r="2179" spans="2:8">
      <c r="B2179" s="252">
        <v>42898</v>
      </c>
      <c r="C2179" s="251">
        <v>456.25</v>
      </c>
      <c r="D2179" s="251">
        <f t="shared" si="69"/>
        <v>1.6634559252772911</v>
      </c>
      <c r="E2179" s="251">
        <v>-2.3228430742881657E-2</v>
      </c>
      <c r="G2179" s="251">
        <v>2170</v>
      </c>
      <c r="H2179" s="251">
        <f t="shared" ca="1" si="70"/>
        <v>3.1479608716172627E-2</v>
      </c>
    </row>
    <row r="2180" spans="2:8">
      <c r="B2180" s="252">
        <v>43549</v>
      </c>
      <c r="C2180" s="251">
        <v>171.3</v>
      </c>
      <c r="D2180" s="251">
        <f t="shared" si="69"/>
        <v>-0.54903251283401344</v>
      </c>
      <c r="E2180" s="251">
        <v>-2.3375142531356866E-2</v>
      </c>
      <c r="G2180" s="251">
        <v>2171</v>
      </c>
      <c r="H2180" s="251">
        <f t="shared" ca="1" si="70"/>
        <v>-3.787140704082663E-2</v>
      </c>
    </row>
    <row r="2181" spans="2:8">
      <c r="B2181" s="252">
        <v>42501</v>
      </c>
      <c r="C2181" s="251">
        <v>379.85</v>
      </c>
      <c r="D2181" s="251">
        <f t="shared" si="69"/>
        <v>-0.13097689315946007</v>
      </c>
      <c r="E2181" s="251">
        <v>-2.3396323434888715E-2</v>
      </c>
      <c r="G2181" s="251">
        <v>2172</v>
      </c>
      <c r="H2181" s="251">
        <f t="shared" ca="1" si="70"/>
        <v>3.568858009639924E-2</v>
      </c>
    </row>
    <row r="2182" spans="2:8">
      <c r="B2182" s="252">
        <v>44623</v>
      </c>
      <c r="C2182" s="251">
        <v>437.1</v>
      </c>
      <c r="D2182" s="251">
        <f t="shared" si="69"/>
        <v>0.4354679802955666</v>
      </c>
      <c r="E2182" s="251">
        <v>-2.3458445040214475E-2</v>
      </c>
      <c r="G2182" s="251">
        <v>2173</v>
      </c>
      <c r="H2182" s="251">
        <f t="shared" ca="1" si="70"/>
        <v>3.6112420752538012E-3</v>
      </c>
    </row>
    <row r="2183" spans="2:8">
      <c r="B2183" s="252">
        <v>44249</v>
      </c>
      <c r="C2183" s="251">
        <v>304.5</v>
      </c>
      <c r="D2183" s="251">
        <f t="shared" si="69"/>
        <v>0.20905300774270402</v>
      </c>
      <c r="E2183" s="251">
        <v>-2.3569023569023639E-2</v>
      </c>
      <c r="G2183" s="251">
        <v>2174</v>
      </c>
      <c r="H2183" s="251">
        <f t="shared" ca="1" si="70"/>
        <v>1.2614751777831059E-2</v>
      </c>
    </row>
    <row r="2184" spans="2:8">
      <c r="B2184" s="252">
        <v>43299</v>
      </c>
      <c r="C2184" s="251">
        <v>251.85</v>
      </c>
      <c r="D2184" s="251">
        <f t="shared" si="69"/>
        <v>-0.66092224840121172</v>
      </c>
      <c r="E2184" s="251">
        <v>-2.3647993797247507E-2</v>
      </c>
      <c r="G2184" s="251">
        <v>2175</v>
      </c>
      <c r="H2184" s="251">
        <f t="shared" ca="1" si="70"/>
        <v>1.1595148647845411E-2</v>
      </c>
    </row>
    <row r="2185" spans="2:8">
      <c r="B2185" s="252">
        <v>45679</v>
      </c>
      <c r="C2185" s="251">
        <v>742.75</v>
      </c>
      <c r="D2185" s="251">
        <f t="shared" si="69"/>
        <v>0.837807744649264</v>
      </c>
      <c r="E2185" s="251">
        <v>-2.3660860992441669E-2</v>
      </c>
      <c r="G2185" s="251">
        <v>2176</v>
      </c>
      <c r="H2185" s="251">
        <f t="shared" ca="1" si="70"/>
        <v>-2.4534438884690389E-2</v>
      </c>
    </row>
    <row r="2186" spans="2:8">
      <c r="B2186" s="252">
        <v>43069</v>
      </c>
      <c r="C2186" s="251">
        <v>404.15</v>
      </c>
      <c r="D2186" s="251">
        <f t="shared" ref="D2186:D2249" si="71">(C2186-C2187)/C2187</f>
        <v>-0.50698383653552914</v>
      </c>
      <c r="E2186" s="251">
        <v>-2.3674356806377611E-2</v>
      </c>
      <c r="G2186" s="251">
        <v>2177</v>
      </c>
      <c r="H2186" s="251">
        <f t="shared" ca="1" si="70"/>
        <v>-1.3068054710433603E-2</v>
      </c>
    </row>
    <row r="2187" spans="2:8">
      <c r="B2187" s="252">
        <v>45603</v>
      </c>
      <c r="C2187" s="251">
        <v>819.75</v>
      </c>
      <c r="D2187" s="251">
        <f t="shared" si="71"/>
        <v>2.1498559077809798</v>
      </c>
      <c r="E2187" s="251">
        <v>-2.3758485173276223E-2</v>
      </c>
      <c r="G2187" s="251">
        <v>2178</v>
      </c>
      <c r="H2187" s="251">
        <f t="shared" ref="H2187:H2250" ca="1" si="72">_xlfn.NORM.INV(RAND(),N$12,N$13)</f>
        <v>3.3016276703769075E-2</v>
      </c>
    </row>
    <row r="2188" spans="2:8">
      <c r="B2188" s="252">
        <v>43360</v>
      </c>
      <c r="C2188" s="251">
        <v>260.25</v>
      </c>
      <c r="D2188" s="251">
        <f t="shared" si="71"/>
        <v>-8.5076463350325149E-2</v>
      </c>
      <c r="E2188" s="251">
        <v>-2.3818454613653495E-2</v>
      </c>
      <c r="G2188" s="251">
        <v>2179</v>
      </c>
      <c r="H2188" s="251">
        <f t="shared" ca="1" si="72"/>
        <v>3.7892732548569008E-2</v>
      </c>
    </row>
    <row r="2189" spans="2:8">
      <c r="B2189" s="252">
        <v>44405</v>
      </c>
      <c r="C2189" s="251">
        <v>284.45</v>
      </c>
      <c r="D2189" s="251">
        <f t="shared" si="71"/>
        <v>-0.15693538826318906</v>
      </c>
      <c r="E2189" s="251">
        <v>-2.3850377487988982E-2</v>
      </c>
      <c r="G2189" s="251">
        <v>2180</v>
      </c>
      <c r="H2189" s="251">
        <f t="shared" ca="1" si="72"/>
        <v>-1.9721542297434058E-2</v>
      </c>
    </row>
    <row r="2190" spans="2:8">
      <c r="B2190" s="252">
        <v>44365</v>
      </c>
      <c r="C2190" s="251">
        <v>337.4</v>
      </c>
      <c r="D2190" s="251">
        <f t="shared" si="71"/>
        <v>-0.25329202168861359</v>
      </c>
      <c r="E2190" s="251">
        <v>-2.3868074641978883E-2</v>
      </c>
      <c r="G2190" s="251">
        <v>2181</v>
      </c>
      <c r="H2190" s="251">
        <f t="shared" ca="1" si="72"/>
        <v>2.0987150440507536E-2</v>
      </c>
    </row>
    <row r="2191" spans="2:8">
      <c r="B2191" s="252">
        <v>43046</v>
      </c>
      <c r="C2191" s="251">
        <v>451.85</v>
      </c>
      <c r="D2191" s="251">
        <f t="shared" si="71"/>
        <v>-0.29984814677079458</v>
      </c>
      <c r="E2191" s="251">
        <v>-2.3871246489522477E-2</v>
      </c>
      <c r="G2191" s="251">
        <v>2182</v>
      </c>
      <c r="H2191" s="251">
        <f t="shared" ca="1" si="72"/>
        <v>2.3664883570670196E-2</v>
      </c>
    </row>
    <row r="2192" spans="2:8">
      <c r="B2192" s="252">
        <v>45222</v>
      </c>
      <c r="C2192" s="251">
        <v>645.36</v>
      </c>
      <c r="D2192" s="251">
        <f t="shared" si="71"/>
        <v>-4.135472370766493E-2</v>
      </c>
      <c r="E2192" s="251">
        <v>-2.3897392461733856E-2</v>
      </c>
      <c r="G2192" s="251">
        <v>2183</v>
      </c>
      <c r="H2192" s="251">
        <f t="shared" ca="1" si="72"/>
        <v>-4.2724740779221469E-2</v>
      </c>
    </row>
    <row r="2193" spans="2:8">
      <c r="B2193" s="252">
        <v>45709</v>
      </c>
      <c r="C2193" s="251">
        <v>673.2</v>
      </c>
      <c r="D2193" s="251">
        <f t="shared" si="71"/>
        <v>4.0351533283470458</v>
      </c>
      <c r="E2193" s="251">
        <v>-2.4064946361264005E-2</v>
      </c>
      <c r="G2193" s="251">
        <v>2184</v>
      </c>
      <c r="H2193" s="251">
        <f t="shared" ca="1" si="72"/>
        <v>1.4724948337194513E-2</v>
      </c>
    </row>
    <row r="2194" spans="2:8">
      <c r="B2194" s="252">
        <v>44130</v>
      </c>
      <c r="C2194" s="251">
        <v>133.69999999999999</v>
      </c>
      <c r="D2194" s="251">
        <f t="shared" si="71"/>
        <v>-0.70508437189809203</v>
      </c>
      <c r="E2194" s="251">
        <v>-2.4087591240875995E-2</v>
      </c>
      <c r="G2194" s="251">
        <v>2185</v>
      </c>
      <c r="H2194" s="251">
        <f t="shared" ca="1" si="72"/>
        <v>-1.2945392513574055E-2</v>
      </c>
    </row>
    <row r="2195" spans="2:8">
      <c r="B2195" s="252">
        <v>42838</v>
      </c>
      <c r="C2195" s="251">
        <v>453.35</v>
      </c>
      <c r="D2195" s="251">
        <f t="shared" si="71"/>
        <v>1.1490406068719398E-2</v>
      </c>
      <c r="E2195" s="251">
        <v>-2.4109353137444813E-2</v>
      </c>
      <c r="G2195" s="251">
        <v>2186</v>
      </c>
      <c r="H2195" s="251">
        <f t="shared" ca="1" si="72"/>
        <v>9.068948019006907E-4</v>
      </c>
    </row>
    <row r="2196" spans="2:8">
      <c r="B2196" s="252">
        <v>42705</v>
      </c>
      <c r="C2196" s="251">
        <v>448.2</v>
      </c>
      <c r="D2196" s="251">
        <f t="shared" si="71"/>
        <v>6.2337046693529304E-2</v>
      </c>
      <c r="E2196" s="251">
        <v>-2.4167210973220166E-2</v>
      </c>
      <c r="G2196" s="251">
        <v>2187</v>
      </c>
      <c r="H2196" s="251">
        <f t="shared" ca="1" si="72"/>
        <v>4.1640287674142004E-2</v>
      </c>
    </row>
    <row r="2197" spans="2:8">
      <c r="B2197" s="252">
        <v>43116</v>
      </c>
      <c r="C2197" s="251">
        <v>421.9</v>
      </c>
      <c r="D2197" s="251">
        <f t="shared" si="71"/>
        <v>0.19755889866590964</v>
      </c>
      <c r="E2197" s="251">
        <v>-2.4170232450560991E-2</v>
      </c>
      <c r="G2197" s="251">
        <v>2188</v>
      </c>
      <c r="H2197" s="251">
        <f t="shared" ca="1" si="72"/>
        <v>-5.7282855538807367E-2</v>
      </c>
    </row>
    <row r="2198" spans="2:8">
      <c r="B2198" s="252">
        <v>42291</v>
      </c>
      <c r="C2198" s="251">
        <v>352.3</v>
      </c>
      <c r="D2198" s="251">
        <f t="shared" si="71"/>
        <v>5.6055155875299724E-2</v>
      </c>
      <c r="E2198" s="251">
        <v>-2.4369980614788178E-2</v>
      </c>
      <c r="G2198" s="251">
        <v>2189</v>
      </c>
      <c r="H2198" s="251">
        <f t="shared" ca="1" si="72"/>
        <v>4.9054194767583534E-2</v>
      </c>
    </row>
    <row r="2199" spans="2:8">
      <c r="B2199" s="252">
        <v>43230</v>
      </c>
      <c r="C2199" s="251">
        <v>333.6</v>
      </c>
      <c r="D2199" s="251">
        <f t="shared" si="71"/>
        <v>-0.54556599918267268</v>
      </c>
      <c r="E2199" s="251">
        <v>-2.441877467465994E-2</v>
      </c>
      <c r="G2199" s="251">
        <v>2190</v>
      </c>
      <c r="H2199" s="251">
        <f t="shared" ca="1" si="72"/>
        <v>-8.6359787908050142E-3</v>
      </c>
    </row>
    <row r="2200" spans="2:8">
      <c r="B2200" s="252">
        <v>45681</v>
      </c>
      <c r="C2200" s="251">
        <v>734.1</v>
      </c>
      <c r="D2200" s="251">
        <f t="shared" si="71"/>
        <v>-6.4662037331974259E-2</v>
      </c>
      <c r="E2200" s="251">
        <v>-2.4451827242524888E-2</v>
      </c>
      <c r="G2200" s="251">
        <v>2191</v>
      </c>
      <c r="H2200" s="251">
        <f t="shared" ca="1" si="72"/>
        <v>-1.6763570123645721E-4</v>
      </c>
    </row>
    <row r="2201" spans="2:8">
      <c r="B2201" s="252">
        <v>45608</v>
      </c>
      <c r="C2201" s="251">
        <v>784.85</v>
      </c>
      <c r="D2201" s="251">
        <f t="shared" si="71"/>
        <v>3.4644482366325366</v>
      </c>
      <c r="E2201" s="251">
        <v>-2.4667577979371223E-2</v>
      </c>
      <c r="G2201" s="251">
        <v>2192</v>
      </c>
      <c r="H2201" s="251">
        <f t="shared" ca="1" si="72"/>
        <v>3.2802050152168555E-2</v>
      </c>
    </row>
    <row r="2202" spans="2:8">
      <c r="B2202" s="252">
        <v>43501</v>
      </c>
      <c r="C2202" s="251">
        <v>175.8</v>
      </c>
      <c r="D2202" s="251">
        <f t="shared" si="71"/>
        <v>-0.5985843132777714</v>
      </c>
      <c r="E2202" s="251">
        <v>-2.4687933425797441E-2</v>
      </c>
      <c r="G2202" s="251">
        <v>2193</v>
      </c>
      <c r="H2202" s="251">
        <f t="shared" ca="1" si="72"/>
        <v>-1.577321314032383E-2</v>
      </c>
    </row>
    <row r="2203" spans="2:8">
      <c r="B2203" s="252">
        <v>42873</v>
      </c>
      <c r="C2203" s="251">
        <v>437.95</v>
      </c>
      <c r="D2203" s="251">
        <f t="shared" si="71"/>
        <v>1.9661361327463593</v>
      </c>
      <c r="E2203" s="251">
        <v>-2.4827432643063981E-2</v>
      </c>
      <c r="G2203" s="251">
        <v>2194</v>
      </c>
      <c r="H2203" s="251">
        <f t="shared" ca="1" si="72"/>
        <v>3.5925136435917292E-2</v>
      </c>
    </row>
    <row r="2204" spans="2:8">
      <c r="B2204" s="252">
        <v>44091</v>
      </c>
      <c r="C2204" s="251">
        <v>147.65</v>
      </c>
      <c r="D2204" s="251">
        <f t="shared" si="71"/>
        <v>-0.61524429967426708</v>
      </c>
      <c r="E2204" s="251">
        <v>-2.5090789039286781E-2</v>
      </c>
      <c r="G2204" s="251">
        <v>2195</v>
      </c>
      <c r="H2204" s="251">
        <f t="shared" ca="1" si="72"/>
        <v>9.0304616233469366E-3</v>
      </c>
    </row>
    <row r="2205" spans="2:8">
      <c r="B2205" s="252">
        <v>43133</v>
      </c>
      <c r="C2205" s="251">
        <v>383.75</v>
      </c>
      <c r="D2205" s="251">
        <f t="shared" si="71"/>
        <v>-0.1881743177491009</v>
      </c>
      <c r="E2205" s="251">
        <v>-2.5149244252508519E-2</v>
      </c>
      <c r="G2205" s="251">
        <v>2196</v>
      </c>
      <c r="H2205" s="251">
        <f t="shared" ca="1" si="72"/>
        <v>4.2550833729315569E-2</v>
      </c>
    </row>
    <row r="2206" spans="2:8">
      <c r="B2206" s="252">
        <v>42543</v>
      </c>
      <c r="C2206" s="251">
        <v>472.7</v>
      </c>
      <c r="D2206" s="251">
        <f t="shared" si="71"/>
        <v>4.5912158424604492E-2</v>
      </c>
      <c r="E2206" s="251">
        <v>-2.5159826768405835E-2</v>
      </c>
      <c r="G2206" s="251">
        <v>2197</v>
      </c>
      <c r="H2206" s="251">
        <f t="shared" ca="1" si="72"/>
        <v>-3.8873896981117938E-3</v>
      </c>
    </row>
    <row r="2207" spans="2:8">
      <c r="B2207" s="252">
        <v>44802</v>
      </c>
      <c r="C2207" s="251">
        <v>451.95</v>
      </c>
      <c r="D2207" s="251">
        <f t="shared" si="71"/>
        <v>1.76</v>
      </c>
      <c r="E2207" s="251">
        <v>-2.5171476640352047E-2</v>
      </c>
      <c r="G2207" s="251">
        <v>2198</v>
      </c>
      <c r="H2207" s="251">
        <f t="shared" ca="1" si="72"/>
        <v>-1.8611811446240391E-2</v>
      </c>
    </row>
    <row r="2208" spans="2:8">
      <c r="B2208" s="252">
        <v>43648</v>
      </c>
      <c r="C2208" s="251">
        <v>163.75</v>
      </c>
      <c r="D2208" s="251">
        <f t="shared" si="71"/>
        <v>0.25286916602907433</v>
      </c>
      <c r="E2208" s="251">
        <v>-2.5297619047619048E-2</v>
      </c>
      <c r="G2208" s="251">
        <v>2199</v>
      </c>
      <c r="H2208" s="251">
        <f t="shared" ca="1" si="72"/>
        <v>1.145151112383508E-2</v>
      </c>
    </row>
    <row r="2209" spans="2:8">
      <c r="B2209" s="252">
        <v>44118</v>
      </c>
      <c r="C2209" s="251">
        <v>130.69999999999999</v>
      </c>
      <c r="D2209" s="251">
        <f t="shared" si="71"/>
        <v>-0.67354381057048662</v>
      </c>
      <c r="E2209" s="251">
        <v>-2.5354213273676405E-2</v>
      </c>
      <c r="G2209" s="251">
        <v>2200</v>
      </c>
      <c r="H2209" s="251">
        <f t="shared" ca="1" si="72"/>
        <v>-4.9085172655149402E-3</v>
      </c>
    </row>
    <row r="2210" spans="2:8">
      <c r="B2210" s="252">
        <v>45013</v>
      </c>
      <c r="C2210" s="251">
        <v>400.36</v>
      </c>
      <c r="D2210" s="251">
        <f t="shared" si="71"/>
        <v>-0.23929317879536377</v>
      </c>
      <c r="E2210" s="251">
        <v>-2.536637616242261E-2</v>
      </c>
      <c r="G2210" s="251">
        <v>2201</v>
      </c>
      <c r="H2210" s="251">
        <f t="shared" ca="1" si="72"/>
        <v>1.8979580117404259E-2</v>
      </c>
    </row>
    <row r="2211" spans="2:8">
      <c r="B2211" s="252">
        <v>42642</v>
      </c>
      <c r="C2211" s="251">
        <v>526.29999999999995</v>
      </c>
      <c r="D2211" s="251">
        <f t="shared" si="71"/>
        <v>-0.34046792566322892</v>
      </c>
      <c r="E2211" s="251">
        <v>-2.5370370370370456E-2</v>
      </c>
      <c r="G2211" s="251">
        <v>2202</v>
      </c>
      <c r="H2211" s="251">
        <f t="shared" ca="1" si="72"/>
        <v>4.0240190299601727E-2</v>
      </c>
    </row>
    <row r="2212" spans="2:8">
      <c r="B2212" s="252">
        <v>45314</v>
      </c>
      <c r="C2212" s="251">
        <v>797.99</v>
      </c>
      <c r="D2212" s="251">
        <f t="shared" si="71"/>
        <v>0.22985281652153808</v>
      </c>
      <c r="E2212" s="251">
        <v>-2.5534253266577076E-2</v>
      </c>
      <c r="G2212" s="251">
        <v>2203</v>
      </c>
      <c r="H2212" s="251">
        <f t="shared" ca="1" si="72"/>
        <v>1.0895163364718921E-2</v>
      </c>
    </row>
    <row r="2213" spans="2:8">
      <c r="B2213" s="252">
        <v>45870</v>
      </c>
      <c r="C2213" s="251">
        <v>648.85</v>
      </c>
      <c r="D2213" s="251">
        <f t="shared" si="71"/>
        <v>0.93081386698407975</v>
      </c>
      <c r="E2213" s="251">
        <v>-2.567760342368049E-2</v>
      </c>
      <c r="G2213" s="251">
        <v>2204</v>
      </c>
      <c r="H2213" s="251">
        <f t="shared" ca="1" si="72"/>
        <v>-2.275723602846311E-2</v>
      </c>
    </row>
    <row r="2214" spans="2:8">
      <c r="B2214" s="252">
        <v>44475</v>
      </c>
      <c r="C2214" s="251">
        <v>336.05</v>
      </c>
      <c r="D2214" s="251">
        <f t="shared" si="71"/>
        <v>1.3833333333333333</v>
      </c>
      <c r="E2214" s="251">
        <v>-2.5800840701550885E-2</v>
      </c>
      <c r="G2214" s="251">
        <v>2205</v>
      </c>
      <c r="H2214" s="251">
        <f t="shared" ca="1" si="72"/>
        <v>2.1134508489159827E-2</v>
      </c>
    </row>
    <row r="2215" spans="2:8">
      <c r="B2215" s="252">
        <v>44111</v>
      </c>
      <c r="C2215" s="251">
        <v>141</v>
      </c>
      <c r="D2215" s="251">
        <f t="shared" si="71"/>
        <v>-0.72040452111838194</v>
      </c>
      <c r="E2215" s="251">
        <v>-2.5906735751295335E-2</v>
      </c>
      <c r="G2215" s="251">
        <v>2206</v>
      </c>
      <c r="H2215" s="251">
        <f t="shared" ca="1" si="72"/>
        <v>1.1732933763468165E-2</v>
      </c>
    </row>
    <row r="2216" spans="2:8">
      <c r="B2216" s="252">
        <v>44593</v>
      </c>
      <c r="C2216" s="251">
        <v>504.3</v>
      </c>
      <c r="D2216" s="251">
        <f t="shared" si="71"/>
        <v>0.13458423326133906</v>
      </c>
      <c r="E2216" s="251">
        <v>-2.5977788507967142E-2</v>
      </c>
      <c r="G2216" s="251">
        <v>2207</v>
      </c>
      <c r="H2216" s="251">
        <f t="shared" ca="1" si="72"/>
        <v>-2.3750296160955413E-2</v>
      </c>
    </row>
    <row r="2217" spans="2:8">
      <c r="B2217" s="252">
        <v>44811</v>
      </c>
      <c r="C2217" s="251">
        <v>444.48</v>
      </c>
      <c r="D2217" s="251">
        <f t="shared" si="71"/>
        <v>-2.0655590480466077E-3</v>
      </c>
      <c r="E2217" s="251">
        <v>-2.5989393872989344E-2</v>
      </c>
      <c r="G2217" s="251">
        <v>2208</v>
      </c>
      <c r="H2217" s="251">
        <f t="shared" ca="1" si="72"/>
        <v>-1.010172746931655E-2</v>
      </c>
    </row>
    <row r="2218" spans="2:8">
      <c r="B2218" s="252">
        <v>42943</v>
      </c>
      <c r="C2218" s="251">
        <v>445.4</v>
      </c>
      <c r="D2218" s="251">
        <f t="shared" si="71"/>
        <v>-0.34282552563629659</v>
      </c>
      <c r="E2218" s="251">
        <v>-2.6022304832713828E-2</v>
      </c>
      <c r="G2218" s="251">
        <v>2209</v>
      </c>
      <c r="H2218" s="251">
        <f t="shared" ca="1" si="72"/>
        <v>-1.8994704364122528E-2</v>
      </c>
    </row>
    <row r="2219" spans="2:8">
      <c r="B2219" s="252">
        <v>45699</v>
      </c>
      <c r="C2219" s="251">
        <v>677.75</v>
      </c>
      <c r="D2219" s="251">
        <f t="shared" si="71"/>
        <v>-0.22939169982944854</v>
      </c>
      <c r="E2219" s="251">
        <v>-2.6221264367816091E-2</v>
      </c>
      <c r="G2219" s="251">
        <v>2210</v>
      </c>
      <c r="H2219" s="251">
        <f t="shared" ca="1" si="72"/>
        <v>4.3510217397690773E-2</v>
      </c>
    </row>
    <row r="2220" spans="2:8">
      <c r="B2220" s="252">
        <v>45587</v>
      </c>
      <c r="C2220" s="251">
        <v>879.5</v>
      </c>
      <c r="D2220" s="251">
        <f t="shared" si="71"/>
        <v>7.3642415596766524</v>
      </c>
      <c r="E2220" s="251">
        <v>-2.6347835713494912E-2</v>
      </c>
      <c r="G2220" s="251">
        <v>2211</v>
      </c>
      <c r="H2220" s="251">
        <f t="shared" ca="1" si="72"/>
        <v>2.9379061678423378E-3</v>
      </c>
    </row>
    <row r="2221" spans="2:8">
      <c r="B2221" s="252">
        <v>44026</v>
      </c>
      <c r="C2221" s="251">
        <v>105.15</v>
      </c>
      <c r="D2221" s="251">
        <f t="shared" si="71"/>
        <v>-0.68092853891670457</v>
      </c>
      <c r="E2221" s="251">
        <v>-2.6388888888888837E-2</v>
      </c>
      <c r="G2221" s="251">
        <v>2212</v>
      </c>
      <c r="H2221" s="251">
        <f t="shared" ca="1" si="72"/>
        <v>4.2212729132116281E-2</v>
      </c>
    </row>
    <row r="2222" spans="2:8">
      <c r="B2222" s="252">
        <v>42402</v>
      </c>
      <c r="C2222" s="251">
        <v>329.55</v>
      </c>
      <c r="D2222" s="251">
        <f t="shared" si="71"/>
        <v>0.10513078470824957</v>
      </c>
      <c r="E2222" s="251">
        <v>-2.64401772525849E-2</v>
      </c>
      <c r="G2222" s="251">
        <v>2213</v>
      </c>
      <c r="H2222" s="251">
        <f t="shared" ca="1" si="72"/>
        <v>6.9213005421973192E-3</v>
      </c>
    </row>
    <row r="2223" spans="2:8">
      <c r="B2223" s="252">
        <v>42425</v>
      </c>
      <c r="C2223" s="251">
        <v>298.2</v>
      </c>
      <c r="D2223" s="251">
        <f t="shared" si="71"/>
        <v>0.96636993076162203</v>
      </c>
      <c r="E2223" s="251">
        <v>-2.6444662095984402E-2</v>
      </c>
      <c r="G2223" s="251">
        <v>2214</v>
      </c>
      <c r="H2223" s="251">
        <f t="shared" ca="1" si="72"/>
        <v>-3.7363052199937876E-3</v>
      </c>
    </row>
    <row r="2224" spans="2:8">
      <c r="B2224" s="252">
        <v>43656</v>
      </c>
      <c r="C2224" s="251">
        <v>151.65</v>
      </c>
      <c r="D2224" s="251">
        <f t="shared" si="71"/>
        <v>-0.1354047890535918</v>
      </c>
      <c r="E2224" s="251">
        <v>-2.6636713735558443E-2</v>
      </c>
      <c r="G2224" s="251">
        <v>2215</v>
      </c>
      <c r="H2224" s="251">
        <f t="shared" ca="1" si="72"/>
        <v>-1.2177715529048899E-3</v>
      </c>
    </row>
    <row r="2225" spans="2:8">
      <c r="B2225" s="252">
        <v>43546</v>
      </c>
      <c r="C2225" s="251">
        <v>175.4</v>
      </c>
      <c r="D2225" s="251">
        <f t="shared" si="71"/>
        <v>-0.4891510120867919</v>
      </c>
      <c r="E2225" s="251">
        <v>-2.6637069922308455E-2</v>
      </c>
      <c r="G2225" s="251">
        <v>2216</v>
      </c>
      <c r="H2225" s="251">
        <f t="shared" ca="1" si="72"/>
        <v>1.7141116987512309E-3</v>
      </c>
    </row>
    <row r="2226" spans="2:8">
      <c r="B2226" s="252">
        <v>44356</v>
      </c>
      <c r="C2226" s="251">
        <v>343.35</v>
      </c>
      <c r="D2226" s="251">
        <f t="shared" si="71"/>
        <v>0.1684532924961715</v>
      </c>
      <c r="E2226" s="251">
        <v>-2.6647767540751176E-2</v>
      </c>
      <c r="G2226" s="251">
        <v>2217</v>
      </c>
      <c r="H2226" s="251">
        <f t="shared" ca="1" si="72"/>
        <v>6.6673066402358101E-3</v>
      </c>
    </row>
    <row r="2227" spans="2:8">
      <c r="B2227" s="252">
        <v>44316</v>
      </c>
      <c r="C2227" s="251">
        <v>293.85000000000002</v>
      </c>
      <c r="D2227" s="251">
        <f t="shared" si="71"/>
        <v>0.6429969247973164</v>
      </c>
      <c r="E2227" s="251">
        <v>-2.6664458429943541E-2</v>
      </c>
      <c r="G2227" s="251">
        <v>2218</v>
      </c>
      <c r="H2227" s="251">
        <f t="shared" ca="1" si="72"/>
        <v>1.4324021897663103E-2</v>
      </c>
    </row>
    <row r="2228" spans="2:8">
      <c r="B2228" s="252">
        <v>43867</v>
      </c>
      <c r="C2228" s="251">
        <v>178.85</v>
      </c>
      <c r="D2228" s="251">
        <f t="shared" si="71"/>
        <v>0.21008119079837606</v>
      </c>
      <c r="E2228" s="251">
        <v>-2.6666666666666696E-2</v>
      </c>
      <c r="G2228" s="251">
        <v>2219</v>
      </c>
      <c r="H2228" s="251">
        <f t="shared" ca="1" si="72"/>
        <v>2.4885146565658441E-2</v>
      </c>
    </row>
    <row r="2229" spans="2:8">
      <c r="B2229" s="252">
        <v>44078</v>
      </c>
      <c r="C2229" s="251">
        <v>147.80000000000001</v>
      </c>
      <c r="D2229" s="251">
        <f t="shared" si="71"/>
        <v>-0.56426886792452824</v>
      </c>
      <c r="E2229" s="251">
        <v>-2.6671056964109208E-2</v>
      </c>
      <c r="G2229" s="251">
        <v>2220</v>
      </c>
      <c r="H2229" s="251">
        <f t="shared" ca="1" si="72"/>
        <v>1.2994744033667887E-2</v>
      </c>
    </row>
    <row r="2230" spans="2:8">
      <c r="B2230" s="252">
        <v>44259</v>
      </c>
      <c r="C2230" s="251">
        <v>339.2</v>
      </c>
      <c r="D2230" s="251">
        <f t="shared" si="71"/>
        <v>-0.48130591023778579</v>
      </c>
      <c r="E2230" s="251">
        <v>-2.6685796269727436E-2</v>
      </c>
      <c r="G2230" s="251">
        <v>2221</v>
      </c>
      <c r="H2230" s="251">
        <f t="shared" ca="1" si="72"/>
        <v>-6.0625324906819081E-3</v>
      </c>
    </row>
    <row r="2231" spans="2:8">
      <c r="B2231" s="252">
        <v>45750</v>
      </c>
      <c r="C2231" s="251">
        <v>653.95000000000005</v>
      </c>
      <c r="D2231" s="251">
        <f t="shared" si="71"/>
        <v>0.89770748694138136</v>
      </c>
      <c r="E2231" s="251">
        <v>-2.6715285012650591E-2</v>
      </c>
      <c r="G2231" s="251">
        <v>2222</v>
      </c>
      <c r="H2231" s="251">
        <f t="shared" ca="1" si="72"/>
        <v>-2.4846863278290129E-3</v>
      </c>
    </row>
    <row r="2232" spans="2:8">
      <c r="B2232" s="252">
        <v>42258</v>
      </c>
      <c r="C2232" s="251">
        <v>344.6</v>
      </c>
      <c r="D2232" s="251">
        <f t="shared" si="71"/>
        <v>-0.31334063963335657</v>
      </c>
      <c r="E2232" s="251">
        <v>-2.6828579497317141E-2</v>
      </c>
      <c r="G2232" s="251">
        <v>2223</v>
      </c>
      <c r="H2232" s="251">
        <f t="shared" ca="1" si="72"/>
        <v>-2.442148432779577E-2</v>
      </c>
    </row>
    <row r="2233" spans="2:8">
      <c r="B2233" s="252">
        <v>44582</v>
      </c>
      <c r="C2233" s="251">
        <v>501.85</v>
      </c>
      <c r="D2233" s="251">
        <f t="shared" si="71"/>
        <v>7.4165239726027468E-2</v>
      </c>
      <c r="E2233" s="251">
        <v>-2.6856699631568785E-2</v>
      </c>
      <c r="G2233" s="251">
        <v>2224</v>
      </c>
      <c r="H2233" s="251">
        <f t="shared" ca="1" si="72"/>
        <v>4.9798812872935876E-3</v>
      </c>
    </row>
    <row r="2234" spans="2:8">
      <c r="B2234" s="252">
        <v>44536</v>
      </c>
      <c r="C2234" s="251">
        <v>467.2</v>
      </c>
      <c r="D2234" s="251">
        <f t="shared" si="71"/>
        <v>-0.35474069470340441</v>
      </c>
      <c r="E2234" s="251">
        <v>-2.6869402207873431E-2</v>
      </c>
      <c r="G2234" s="251">
        <v>2225</v>
      </c>
      <c r="H2234" s="251">
        <f t="shared" ca="1" si="72"/>
        <v>2.5576084449195394E-3</v>
      </c>
    </row>
    <row r="2235" spans="2:8">
      <c r="B2235" s="252">
        <v>45646</v>
      </c>
      <c r="C2235" s="251">
        <v>724.05</v>
      </c>
      <c r="D2235" s="251">
        <f t="shared" si="71"/>
        <v>3.1279931584948688</v>
      </c>
      <c r="E2235" s="251">
        <v>-2.6879913984275253E-2</v>
      </c>
      <c r="G2235" s="251">
        <v>2226</v>
      </c>
      <c r="H2235" s="251">
        <f t="shared" ca="1" si="72"/>
        <v>3.1796230809615071E-2</v>
      </c>
    </row>
    <row r="2236" spans="2:8">
      <c r="B2236" s="252">
        <v>43489</v>
      </c>
      <c r="C2236" s="251">
        <v>175.4</v>
      </c>
      <c r="D2236" s="251">
        <f t="shared" si="71"/>
        <v>-0.7448541712124519</v>
      </c>
      <c r="E2236" s="251">
        <v>-2.6907073509015226E-2</v>
      </c>
      <c r="G2236" s="251">
        <v>2227</v>
      </c>
      <c r="H2236" s="251">
        <f t="shared" ca="1" si="72"/>
        <v>-3.9983745165139313E-3</v>
      </c>
    </row>
    <row r="2237" spans="2:8">
      <c r="B2237" s="252">
        <v>45691</v>
      </c>
      <c r="C2237" s="251">
        <v>687.45</v>
      </c>
      <c r="D2237" s="251">
        <f t="shared" si="71"/>
        <v>0.34583007047768211</v>
      </c>
      <c r="E2237" s="251">
        <v>-2.7032764843252295E-2</v>
      </c>
      <c r="G2237" s="251">
        <v>2228</v>
      </c>
      <c r="H2237" s="251">
        <f t="shared" ca="1" si="72"/>
        <v>3.2922522397220814E-3</v>
      </c>
    </row>
    <row r="2238" spans="2:8">
      <c r="B2238" s="252">
        <v>44579</v>
      </c>
      <c r="C2238" s="251">
        <v>510.8</v>
      </c>
      <c r="D2238" s="251">
        <f t="shared" si="71"/>
        <v>1.7055084745762712</v>
      </c>
      <c r="E2238" s="251">
        <v>-2.7047619047619025E-2</v>
      </c>
      <c r="G2238" s="251">
        <v>2229</v>
      </c>
      <c r="H2238" s="251">
        <f t="shared" ca="1" si="72"/>
        <v>2.9646489205998525E-2</v>
      </c>
    </row>
    <row r="2239" spans="2:8">
      <c r="B2239" s="252">
        <v>43530</v>
      </c>
      <c r="C2239" s="251">
        <v>188.8</v>
      </c>
      <c r="D2239" s="251">
        <f t="shared" si="71"/>
        <v>0.11782119597394911</v>
      </c>
      <c r="E2239" s="251">
        <v>-2.7054882762174697E-2</v>
      </c>
      <c r="G2239" s="251">
        <v>2230</v>
      </c>
      <c r="H2239" s="251">
        <f t="shared" ca="1" si="72"/>
        <v>-1.9304139837020427E-2</v>
      </c>
    </row>
    <row r="2240" spans="2:8">
      <c r="B2240" s="252">
        <v>43871</v>
      </c>
      <c r="C2240" s="251">
        <v>168.9</v>
      </c>
      <c r="D2240" s="251">
        <f t="shared" si="71"/>
        <v>-0.82861665533581597</v>
      </c>
      <c r="E2240" s="251">
        <v>-2.7073732718893944E-2</v>
      </c>
      <c r="G2240" s="251">
        <v>2231</v>
      </c>
      <c r="H2240" s="251">
        <f t="shared" ca="1" si="72"/>
        <v>1.7525322361850299E-2</v>
      </c>
    </row>
    <row r="2241" spans="2:8">
      <c r="B2241" s="252">
        <v>45419</v>
      </c>
      <c r="C2241" s="251">
        <v>985.51</v>
      </c>
      <c r="D2241" s="251">
        <f t="shared" si="71"/>
        <v>6.8589314194577353</v>
      </c>
      <c r="E2241" s="251">
        <v>-2.7204437995400177E-2</v>
      </c>
      <c r="G2241" s="251">
        <v>2232</v>
      </c>
      <c r="H2241" s="251">
        <f t="shared" ca="1" si="72"/>
        <v>6.6316302470996624E-2</v>
      </c>
    </row>
    <row r="2242" spans="2:8">
      <c r="B2242" s="252">
        <v>43892</v>
      </c>
      <c r="C2242" s="251">
        <v>125.4</v>
      </c>
      <c r="D2242" s="251">
        <f t="shared" si="71"/>
        <v>3.0402629416598215E-2</v>
      </c>
      <c r="E2242" s="251">
        <v>-2.7530050407134417E-2</v>
      </c>
      <c r="G2242" s="251">
        <v>2233</v>
      </c>
      <c r="H2242" s="251">
        <f t="shared" ca="1" si="72"/>
        <v>1.0135369602505395E-2</v>
      </c>
    </row>
    <row r="2243" spans="2:8">
      <c r="B2243" s="252">
        <v>44063</v>
      </c>
      <c r="C2243" s="251">
        <v>121.7</v>
      </c>
      <c r="D2243" s="251">
        <f t="shared" si="71"/>
        <v>-0.24643962848297213</v>
      </c>
      <c r="E2243" s="251">
        <v>-2.7566919696364385E-2</v>
      </c>
      <c r="G2243" s="251">
        <v>2234</v>
      </c>
      <c r="H2243" s="251">
        <f t="shared" ca="1" si="72"/>
        <v>-1.4816559233487762E-2</v>
      </c>
    </row>
    <row r="2244" spans="2:8">
      <c r="B2244" s="252">
        <v>43805</v>
      </c>
      <c r="C2244" s="251">
        <v>161.5</v>
      </c>
      <c r="D2244" s="251">
        <f t="shared" si="71"/>
        <v>-0.10650069156293222</v>
      </c>
      <c r="E2244" s="251">
        <v>-2.7694160144491237E-2</v>
      </c>
      <c r="G2244" s="251">
        <v>2235</v>
      </c>
      <c r="H2244" s="251">
        <f t="shared" ca="1" si="72"/>
        <v>3.2696546780052599E-2</v>
      </c>
    </row>
    <row r="2245" spans="2:8">
      <c r="B2245" s="252">
        <v>43598</v>
      </c>
      <c r="C2245" s="251">
        <v>180.75</v>
      </c>
      <c r="D2245" s="251">
        <f t="shared" si="71"/>
        <v>-0.40029860650298604</v>
      </c>
      <c r="E2245" s="251">
        <v>-2.7703066164604655E-2</v>
      </c>
      <c r="G2245" s="251">
        <v>2236</v>
      </c>
      <c r="H2245" s="251">
        <f t="shared" ca="1" si="72"/>
        <v>3.0631578930352073E-2</v>
      </c>
    </row>
    <row r="2246" spans="2:8">
      <c r="B2246" s="252">
        <v>44305</v>
      </c>
      <c r="C2246" s="251">
        <v>301.39999999999998</v>
      </c>
      <c r="D2246" s="251">
        <f t="shared" si="71"/>
        <v>0.12546676624346514</v>
      </c>
      <c r="E2246" s="251">
        <v>-2.7741935483871043E-2</v>
      </c>
      <c r="G2246" s="251">
        <v>2237</v>
      </c>
      <c r="H2246" s="251">
        <f t="shared" ca="1" si="72"/>
        <v>2.9670659480572983E-2</v>
      </c>
    </row>
    <row r="2247" spans="2:8">
      <c r="B2247" s="252">
        <v>43292</v>
      </c>
      <c r="C2247" s="251">
        <v>267.8</v>
      </c>
      <c r="D2247" s="251">
        <f t="shared" si="71"/>
        <v>-0.39718626899268428</v>
      </c>
      <c r="E2247" s="251">
        <v>-2.7772735523688429E-2</v>
      </c>
      <c r="G2247" s="251">
        <v>2238</v>
      </c>
      <c r="H2247" s="251">
        <f t="shared" ca="1" si="72"/>
        <v>-7.8290546903673607E-3</v>
      </c>
    </row>
    <row r="2248" spans="2:8">
      <c r="B2248" s="252">
        <v>42534</v>
      </c>
      <c r="C2248" s="251">
        <v>444.25</v>
      </c>
      <c r="D2248" s="251">
        <f t="shared" si="71"/>
        <v>1.5014076576576576</v>
      </c>
      <c r="E2248" s="251">
        <v>-2.7792975161396189E-2</v>
      </c>
      <c r="G2248" s="251">
        <v>2239</v>
      </c>
      <c r="H2248" s="251">
        <f t="shared" ca="1" si="72"/>
        <v>-3.7226777435744991E-2</v>
      </c>
    </row>
    <row r="2249" spans="2:8">
      <c r="B2249" s="252">
        <v>44175</v>
      </c>
      <c r="C2249" s="251">
        <v>177.6</v>
      </c>
      <c r="D2249" s="251">
        <f t="shared" si="71"/>
        <v>0.62191780821917808</v>
      </c>
      <c r="E2249" s="251">
        <v>-2.7914614121510643E-2</v>
      </c>
      <c r="G2249" s="251">
        <v>2240</v>
      </c>
      <c r="H2249" s="251">
        <f t="shared" ca="1" si="72"/>
        <v>-4.1334296434010903E-2</v>
      </c>
    </row>
    <row r="2250" spans="2:8">
      <c r="B2250" s="252">
        <v>43712</v>
      </c>
      <c r="C2250" s="251">
        <v>109.5</v>
      </c>
      <c r="D2250" s="251">
        <f t="shared" ref="D2250:D2313" si="73">(C2250-C2251)/C2251</f>
        <v>-0.65813300031220734</v>
      </c>
      <c r="E2250" s="251">
        <v>-2.79627163781625E-2</v>
      </c>
      <c r="G2250" s="251">
        <v>2241</v>
      </c>
      <c r="H2250" s="251">
        <f t="shared" ca="1" si="72"/>
        <v>4.5891394235999645E-2</v>
      </c>
    </row>
    <row r="2251" spans="2:8">
      <c r="B2251" s="252">
        <v>42403</v>
      </c>
      <c r="C2251" s="251">
        <v>320.3</v>
      </c>
      <c r="D2251" s="251">
        <f t="shared" si="73"/>
        <v>0.48562152133580716</v>
      </c>
      <c r="E2251" s="251">
        <v>-2.8068578364436353E-2</v>
      </c>
      <c r="G2251" s="251">
        <v>2242</v>
      </c>
      <c r="H2251" s="251">
        <f t="shared" ref="H2251:H2314" ca="1" si="74">_xlfn.NORM.INV(RAND(),N$12,N$13)</f>
        <v>-1.4451193066977579E-2</v>
      </c>
    </row>
    <row r="2252" spans="2:8">
      <c r="B2252" s="252">
        <v>43581</v>
      </c>
      <c r="C2252" s="251">
        <v>215.6</v>
      </c>
      <c r="D2252" s="251">
        <f t="shared" si="73"/>
        <v>-0.39147615015523574</v>
      </c>
      <c r="E2252" s="251">
        <v>-2.8172188415596124E-2</v>
      </c>
      <c r="G2252" s="251">
        <v>2243</v>
      </c>
      <c r="H2252" s="251">
        <f t="shared" ca="1" si="74"/>
        <v>-2.7539924280312114E-2</v>
      </c>
    </row>
    <row r="2253" spans="2:8">
      <c r="B2253" s="252">
        <v>42383</v>
      </c>
      <c r="C2253" s="251">
        <v>354.3</v>
      </c>
      <c r="D2253" s="251">
        <f t="shared" si="73"/>
        <v>1.1020468703648769</v>
      </c>
      <c r="E2253" s="251">
        <v>-2.8250137136588072E-2</v>
      </c>
      <c r="G2253" s="251">
        <v>2244</v>
      </c>
      <c r="H2253" s="251">
        <f t="shared" ca="1" si="74"/>
        <v>-7.5419683159136872E-2</v>
      </c>
    </row>
    <row r="2254" spans="2:8">
      <c r="B2254" s="252">
        <v>43467</v>
      </c>
      <c r="C2254" s="251">
        <v>168.55</v>
      </c>
      <c r="D2254" s="251">
        <f t="shared" si="73"/>
        <v>-0.35997721663185878</v>
      </c>
      <c r="E2254" s="251">
        <v>-2.825021620063406E-2</v>
      </c>
      <c r="G2254" s="251">
        <v>2245</v>
      </c>
      <c r="H2254" s="251">
        <f t="shared" ca="1" si="74"/>
        <v>-5.5162900142709317E-2</v>
      </c>
    </row>
    <row r="2255" spans="2:8">
      <c r="B2255" s="252">
        <v>43279</v>
      </c>
      <c r="C2255" s="251">
        <v>263.35000000000002</v>
      </c>
      <c r="D2255" s="251">
        <f t="shared" si="73"/>
        <v>-0.43914386114364812</v>
      </c>
      <c r="E2255" s="251">
        <v>-2.8408042796531963E-2</v>
      </c>
      <c r="G2255" s="251">
        <v>2246</v>
      </c>
      <c r="H2255" s="251">
        <f t="shared" ca="1" si="74"/>
        <v>-2.3407611383098922E-2</v>
      </c>
    </row>
    <row r="2256" spans="2:8">
      <c r="B2256" s="252">
        <v>44792</v>
      </c>
      <c r="C2256" s="251">
        <v>469.55</v>
      </c>
      <c r="D2256" s="251">
        <f t="shared" si="73"/>
        <v>1.5292216536493399</v>
      </c>
      <c r="E2256" s="251">
        <v>-2.847033994744572E-2</v>
      </c>
      <c r="G2256" s="251">
        <v>2247</v>
      </c>
      <c r="H2256" s="251">
        <f t="shared" ca="1" si="74"/>
        <v>7.41400971116818E-3</v>
      </c>
    </row>
    <row r="2257" spans="2:8">
      <c r="B2257" s="252">
        <v>43836</v>
      </c>
      <c r="C2257" s="251">
        <v>185.65</v>
      </c>
      <c r="D2257" s="251">
        <f t="shared" si="73"/>
        <v>-0.3725920919229469</v>
      </c>
      <c r="E2257" s="251">
        <v>-2.8519099947671319E-2</v>
      </c>
      <c r="G2257" s="251">
        <v>2248</v>
      </c>
      <c r="H2257" s="251">
        <f t="shared" ca="1" si="74"/>
        <v>1.4279393810143147E-2</v>
      </c>
    </row>
    <row r="2258" spans="2:8">
      <c r="B2258" s="252">
        <v>43241</v>
      </c>
      <c r="C2258" s="251">
        <v>295.89999999999998</v>
      </c>
      <c r="D2258" s="251">
        <f t="shared" si="73"/>
        <v>-0.58635632906968627</v>
      </c>
      <c r="E2258" s="251">
        <v>-2.856204858831269E-2</v>
      </c>
      <c r="G2258" s="251">
        <v>2249</v>
      </c>
      <c r="H2258" s="251">
        <f t="shared" ca="1" si="74"/>
        <v>-1.8057489574789382E-2</v>
      </c>
    </row>
    <row r="2259" spans="2:8">
      <c r="B2259" s="252">
        <v>45820</v>
      </c>
      <c r="C2259" s="251">
        <v>715.35</v>
      </c>
      <c r="D2259" s="251">
        <f t="shared" si="73"/>
        <v>3.2255802538392374E-3</v>
      </c>
      <c r="E2259" s="251">
        <v>-2.8585008147745731E-2</v>
      </c>
      <c r="G2259" s="251">
        <v>2250</v>
      </c>
      <c r="H2259" s="251">
        <f t="shared" ca="1" si="74"/>
        <v>-1.9538894910352718E-2</v>
      </c>
    </row>
    <row r="2260" spans="2:8">
      <c r="B2260" s="252">
        <v>45684</v>
      </c>
      <c r="C2260" s="251">
        <v>713.05</v>
      </c>
      <c r="D2260" s="251">
        <f t="shared" si="73"/>
        <v>4.6167782591571473</v>
      </c>
      <c r="E2260" s="251">
        <v>-2.8674567497616221E-2</v>
      </c>
      <c r="G2260" s="251">
        <v>2251</v>
      </c>
      <c r="H2260" s="251">
        <f t="shared" ca="1" si="74"/>
        <v>-2.064303084847011E-2</v>
      </c>
    </row>
    <row r="2261" spans="2:8">
      <c r="B2261" s="252">
        <v>44119</v>
      </c>
      <c r="C2261" s="251">
        <v>126.95</v>
      </c>
      <c r="D2261" s="251">
        <f t="shared" si="73"/>
        <v>-0.2841838173104031</v>
      </c>
      <c r="E2261" s="251">
        <v>-2.8691660290742053E-2</v>
      </c>
      <c r="G2261" s="251">
        <v>2252</v>
      </c>
      <c r="H2261" s="251">
        <f t="shared" ca="1" si="74"/>
        <v>-1.7311527452085779E-3</v>
      </c>
    </row>
    <row r="2262" spans="2:8">
      <c r="B2262" s="252">
        <v>43523</v>
      </c>
      <c r="C2262" s="251">
        <v>177.35</v>
      </c>
      <c r="D2262" s="251">
        <f t="shared" si="73"/>
        <v>1.516886090440759E-2</v>
      </c>
      <c r="E2262" s="251">
        <v>-2.9017246099096693E-2</v>
      </c>
      <c r="G2262" s="251">
        <v>2253</v>
      </c>
      <c r="H2262" s="251">
        <f t="shared" ca="1" si="74"/>
        <v>-2.1375299994872223E-2</v>
      </c>
    </row>
    <row r="2263" spans="2:8">
      <c r="B2263" s="252">
        <v>43392</v>
      </c>
      <c r="C2263" s="251">
        <v>174.7</v>
      </c>
      <c r="D2263" s="251">
        <f t="shared" si="73"/>
        <v>-0.6201348119156338</v>
      </c>
      <c r="E2263" s="251">
        <v>-2.9174770769658239E-2</v>
      </c>
      <c r="G2263" s="251">
        <v>2254</v>
      </c>
      <c r="H2263" s="251">
        <f t="shared" ca="1" si="74"/>
        <v>-4.6960878257723193E-3</v>
      </c>
    </row>
    <row r="2264" spans="2:8">
      <c r="B2264" s="252">
        <v>42816</v>
      </c>
      <c r="C2264" s="251">
        <v>459.9</v>
      </c>
      <c r="D2264" s="251">
        <f t="shared" si="73"/>
        <v>1.5507487520798666</v>
      </c>
      <c r="E2264" s="251">
        <v>-2.9234828496042264E-2</v>
      </c>
      <c r="G2264" s="251">
        <v>2255</v>
      </c>
      <c r="H2264" s="251">
        <f t="shared" ca="1" si="74"/>
        <v>-7.2354763547440226E-3</v>
      </c>
    </row>
    <row r="2265" spans="2:8">
      <c r="B2265" s="252">
        <v>43476</v>
      </c>
      <c r="C2265" s="251">
        <v>180.3</v>
      </c>
      <c r="D2265" s="251">
        <f t="shared" si="73"/>
        <v>3.8594470046083046E-2</v>
      </c>
      <c r="E2265" s="251">
        <v>-2.934051144010761E-2</v>
      </c>
      <c r="G2265" s="251">
        <v>2256</v>
      </c>
      <c r="H2265" s="251">
        <f t="shared" ca="1" si="74"/>
        <v>3.5033581689418274E-2</v>
      </c>
    </row>
    <row r="2266" spans="2:8">
      <c r="B2266" s="252">
        <v>43868</v>
      </c>
      <c r="C2266" s="251">
        <v>173.6</v>
      </c>
      <c r="D2266" s="251">
        <f t="shared" si="73"/>
        <v>-0.64808433002229893</v>
      </c>
      <c r="E2266" s="251">
        <v>-2.9354207436399219E-2</v>
      </c>
      <c r="G2266" s="251">
        <v>2257</v>
      </c>
      <c r="H2266" s="251">
        <f t="shared" ca="1" si="74"/>
        <v>-4.8497707956326255E-3</v>
      </c>
    </row>
    <row r="2267" spans="2:8">
      <c r="B2267" s="252">
        <v>42584</v>
      </c>
      <c r="C2267" s="251">
        <v>493.3</v>
      </c>
      <c r="D2267" s="251">
        <f t="shared" si="73"/>
        <v>2.6965155488947175</v>
      </c>
      <c r="E2267" s="251">
        <v>-2.9414658140678777E-2</v>
      </c>
      <c r="G2267" s="251">
        <v>2258</v>
      </c>
      <c r="H2267" s="251">
        <f t="shared" ca="1" si="74"/>
        <v>-0.11004840561863594</v>
      </c>
    </row>
    <row r="2268" spans="2:8">
      <c r="B2268" s="252">
        <v>43676</v>
      </c>
      <c r="C2268" s="251">
        <v>133.44999999999999</v>
      </c>
      <c r="D2268" s="251">
        <f t="shared" si="73"/>
        <v>-0.22390229717941262</v>
      </c>
      <c r="E2268" s="251">
        <v>-2.9807342784442185E-2</v>
      </c>
      <c r="G2268" s="251">
        <v>2259</v>
      </c>
      <c r="H2268" s="251">
        <f t="shared" ca="1" si="74"/>
        <v>-2.7269456881520672E-3</v>
      </c>
    </row>
    <row r="2269" spans="2:8">
      <c r="B2269" s="252">
        <v>43434</v>
      </c>
      <c r="C2269" s="251">
        <v>171.95</v>
      </c>
      <c r="D2269" s="251">
        <f t="shared" si="73"/>
        <v>-0.54504564095779862</v>
      </c>
      <c r="E2269" s="251">
        <v>-2.9901269393512054E-2</v>
      </c>
      <c r="G2269" s="251">
        <v>2260</v>
      </c>
      <c r="H2269" s="251">
        <f t="shared" ca="1" si="74"/>
        <v>3.9847289492235087E-2</v>
      </c>
    </row>
    <row r="2270" spans="2:8">
      <c r="B2270" s="252">
        <v>42349</v>
      </c>
      <c r="C2270" s="251">
        <v>377.95</v>
      </c>
      <c r="D2270" s="251">
        <f t="shared" si="73"/>
        <v>1.1621853546910752</v>
      </c>
      <c r="E2270" s="251">
        <v>-2.9902464065708505E-2</v>
      </c>
      <c r="G2270" s="251">
        <v>2261</v>
      </c>
      <c r="H2270" s="251">
        <f t="shared" ca="1" si="74"/>
        <v>-4.0504370286495076E-2</v>
      </c>
    </row>
    <row r="2271" spans="2:8">
      <c r="B2271" s="252">
        <v>43817</v>
      </c>
      <c r="C2271" s="251">
        <v>174.8</v>
      </c>
      <c r="D2271" s="251">
        <f t="shared" si="73"/>
        <v>-0.30107956817273085</v>
      </c>
      <c r="E2271" s="251">
        <v>-2.9966703662596988E-2</v>
      </c>
      <c r="G2271" s="251">
        <v>2262</v>
      </c>
      <c r="H2271" s="251">
        <f t="shared" ca="1" si="74"/>
        <v>1.4131384820953267E-2</v>
      </c>
    </row>
    <row r="2272" spans="2:8">
      <c r="B2272" s="252">
        <v>43322</v>
      </c>
      <c r="C2272" s="251">
        <v>250.1</v>
      </c>
      <c r="D2272" s="251">
        <f t="shared" si="73"/>
        <v>-0.24189148226735371</v>
      </c>
      <c r="E2272" s="251">
        <v>-3.0056234244716026E-2</v>
      </c>
      <c r="G2272" s="251">
        <v>2263</v>
      </c>
      <c r="H2272" s="251">
        <f t="shared" ca="1" si="74"/>
        <v>2.0393312331219583E-2</v>
      </c>
    </row>
    <row r="2273" spans="2:8">
      <c r="B2273" s="252">
        <v>42248</v>
      </c>
      <c r="C2273" s="251">
        <v>329.9</v>
      </c>
      <c r="D2273" s="251">
        <f t="shared" si="73"/>
        <v>-0.15788130185067012</v>
      </c>
      <c r="E2273" s="251">
        <v>-3.0133764515654859E-2</v>
      </c>
      <c r="G2273" s="251">
        <v>2264</v>
      </c>
      <c r="H2273" s="251">
        <f t="shared" ca="1" si="74"/>
        <v>4.7078331628546766E-3</v>
      </c>
    </row>
    <row r="2274" spans="2:8">
      <c r="B2274" s="252">
        <v>44691</v>
      </c>
      <c r="C2274" s="251">
        <v>391.75</v>
      </c>
      <c r="D2274" s="251">
        <f t="shared" si="73"/>
        <v>-0.1811245819397993</v>
      </c>
      <c r="E2274" s="251">
        <v>-3.0201757643272657E-2</v>
      </c>
      <c r="G2274" s="251">
        <v>2265</v>
      </c>
      <c r="H2274" s="251">
        <f t="shared" ca="1" si="74"/>
        <v>3.1226026488613463E-2</v>
      </c>
    </row>
    <row r="2275" spans="2:8">
      <c r="B2275" s="252">
        <v>42585</v>
      </c>
      <c r="C2275" s="251">
        <v>478.4</v>
      </c>
      <c r="D2275" s="251">
        <f t="shared" si="73"/>
        <v>9.1738931994523029E-2</v>
      </c>
      <c r="E2275" s="251">
        <v>-3.0204743563754376E-2</v>
      </c>
      <c r="G2275" s="251">
        <v>2266</v>
      </c>
      <c r="H2275" s="251">
        <f t="shared" ca="1" si="74"/>
        <v>2.860279464044118E-2</v>
      </c>
    </row>
    <row r="2276" spans="2:8">
      <c r="B2276" s="252">
        <v>43047</v>
      </c>
      <c r="C2276" s="251">
        <v>438.2</v>
      </c>
      <c r="D2276" s="251">
        <f t="shared" si="73"/>
        <v>0.53458238487130094</v>
      </c>
      <c r="E2276" s="251">
        <v>-3.0209140201394341E-2</v>
      </c>
      <c r="G2276" s="251">
        <v>2267</v>
      </c>
      <c r="H2276" s="251">
        <f t="shared" ca="1" si="74"/>
        <v>-1.6176683773271117E-3</v>
      </c>
    </row>
    <row r="2277" spans="2:8">
      <c r="B2277" s="252">
        <v>44280</v>
      </c>
      <c r="C2277" s="251">
        <v>285.55</v>
      </c>
      <c r="D2277" s="251">
        <f t="shared" si="73"/>
        <v>0.78245942571785287</v>
      </c>
      <c r="E2277" s="251">
        <v>-3.0225844795381145E-2</v>
      </c>
      <c r="G2277" s="251">
        <v>2268</v>
      </c>
      <c r="H2277" s="251">
        <f t="shared" ca="1" si="74"/>
        <v>-2.0277312847007843E-3</v>
      </c>
    </row>
    <row r="2278" spans="2:8">
      <c r="B2278" s="252">
        <v>43651</v>
      </c>
      <c r="C2278" s="251">
        <v>160.19999999999999</v>
      </c>
      <c r="D2278" s="251">
        <f t="shared" si="73"/>
        <v>-0.1368534482758621</v>
      </c>
      <c r="E2278" s="251">
        <v>-3.0266343825665863E-2</v>
      </c>
      <c r="G2278" s="251">
        <v>2269</v>
      </c>
      <c r="H2278" s="251">
        <f t="shared" ca="1" si="74"/>
        <v>4.8808926380106872E-2</v>
      </c>
    </row>
    <row r="2279" spans="2:8">
      <c r="B2279" s="252">
        <v>43852</v>
      </c>
      <c r="C2279" s="251">
        <v>185.6</v>
      </c>
      <c r="D2279" s="251">
        <f t="shared" si="73"/>
        <v>-0.59382864646022548</v>
      </c>
      <c r="E2279" s="251">
        <v>-3.0303030303030363E-2</v>
      </c>
      <c r="G2279" s="251">
        <v>2270</v>
      </c>
      <c r="H2279" s="251">
        <f t="shared" ca="1" si="74"/>
        <v>3.9578474142289523E-2</v>
      </c>
    </row>
    <row r="2280" spans="2:8">
      <c r="B2280" s="252">
        <v>42695</v>
      </c>
      <c r="C2280" s="251">
        <v>456.95</v>
      </c>
      <c r="D2280" s="251">
        <f t="shared" si="73"/>
        <v>4.2550764316678022E-2</v>
      </c>
      <c r="E2280" s="251">
        <v>-3.0344827586206921E-2</v>
      </c>
      <c r="G2280" s="251">
        <v>2271</v>
      </c>
      <c r="H2280" s="251">
        <f t="shared" ca="1" si="74"/>
        <v>-7.5738553235079288E-3</v>
      </c>
    </row>
    <row r="2281" spans="2:8">
      <c r="B2281" s="252">
        <v>44663</v>
      </c>
      <c r="C2281" s="251">
        <v>438.3</v>
      </c>
      <c r="D2281" s="251">
        <f t="shared" si="73"/>
        <v>3.1683309557774604</v>
      </c>
      <c r="E2281" s="251">
        <v>-3.041698927109833E-2</v>
      </c>
      <c r="G2281" s="251">
        <v>2272</v>
      </c>
      <c r="H2281" s="251">
        <f t="shared" ca="1" si="74"/>
        <v>3.6364305335770744E-2</v>
      </c>
    </row>
    <row r="2282" spans="2:8">
      <c r="B2282" s="252">
        <v>44034</v>
      </c>
      <c r="C2282" s="251">
        <v>105.15</v>
      </c>
      <c r="D2282" s="251">
        <f t="shared" si="73"/>
        <v>-0.60662177328843991</v>
      </c>
      <c r="E2282" s="251">
        <v>-3.0428769017980608E-2</v>
      </c>
      <c r="G2282" s="251">
        <v>2273</v>
      </c>
      <c r="H2282" s="251">
        <f t="shared" ca="1" si="74"/>
        <v>2.397300380516176E-2</v>
      </c>
    </row>
    <row r="2283" spans="2:8">
      <c r="B2283" s="252">
        <v>43354</v>
      </c>
      <c r="C2283" s="251">
        <v>267.3</v>
      </c>
      <c r="D2283" s="251">
        <f t="shared" si="73"/>
        <v>-0.64407456724367507</v>
      </c>
      <c r="E2283" s="251">
        <v>-3.0467899891185989E-2</v>
      </c>
      <c r="G2283" s="251">
        <v>2274</v>
      </c>
      <c r="H2283" s="251">
        <f t="shared" ca="1" si="74"/>
        <v>1.9461115272342618E-3</v>
      </c>
    </row>
    <row r="2284" spans="2:8">
      <c r="B2284" s="252">
        <v>45670</v>
      </c>
      <c r="C2284" s="251">
        <v>751</v>
      </c>
      <c r="D2284" s="251">
        <f t="shared" si="73"/>
        <v>0.37836101679361284</v>
      </c>
      <c r="E2284" s="251">
        <v>-3.0529916736590688E-2</v>
      </c>
      <c r="G2284" s="251">
        <v>2275</v>
      </c>
      <c r="H2284" s="251">
        <f t="shared" ca="1" si="74"/>
        <v>-3.318053236990335E-2</v>
      </c>
    </row>
    <row r="2285" spans="2:8">
      <c r="B2285" s="252">
        <v>42656</v>
      </c>
      <c r="C2285" s="251">
        <v>544.85</v>
      </c>
      <c r="D2285" s="251">
        <f t="shared" si="73"/>
        <v>0.68710326675956046</v>
      </c>
      <c r="E2285" s="251">
        <v>-3.0602259585446014E-2</v>
      </c>
      <c r="G2285" s="251">
        <v>2276</v>
      </c>
      <c r="H2285" s="251">
        <f t="shared" ca="1" si="74"/>
        <v>-3.9143560817529836E-2</v>
      </c>
    </row>
    <row r="2286" spans="2:8">
      <c r="B2286" s="252">
        <v>44253</v>
      </c>
      <c r="C2286" s="251">
        <v>322.95</v>
      </c>
      <c r="D2286" s="251">
        <f t="shared" si="73"/>
        <v>0.74473257698541329</v>
      </c>
      <c r="E2286" s="251">
        <v>-3.0616839261593844E-2</v>
      </c>
      <c r="G2286" s="251">
        <v>2277</v>
      </c>
      <c r="H2286" s="251">
        <f t="shared" ca="1" si="74"/>
        <v>-1.5580646854006626E-2</v>
      </c>
    </row>
    <row r="2287" spans="2:8">
      <c r="B2287" s="252">
        <v>43593</v>
      </c>
      <c r="C2287" s="251">
        <v>185.1</v>
      </c>
      <c r="D2287" s="251">
        <f t="shared" si="73"/>
        <v>1.1751844766329631E-2</v>
      </c>
      <c r="E2287" s="251">
        <v>-3.0636292223095024E-2</v>
      </c>
      <c r="G2287" s="251">
        <v>2278</v>
      </c>
      <c r="H2287" s="251">
        <f t="shared" ca="1" si="74"/>
        <v>6.4975179508051989E-3</v>
      </c>
    </row>
    <row r="2288" spans="2:8">
      <c r="B2288" s="252">
        <v>43384</v>
      </c>
      <c r="C2288" s="251">
        <v>182.95</v>
      </c>
      <c r="D2288" s="251">
        <f t="shared" si="73"/>
        <v>-0.75790657668386918</v>
      </c>
      <c r="E2288" s="251">
        <v>-3.0728476821192112E-2</v>
      </c>
      <c r="G2288" s="251">
        <v>2279</v>
      </c>
      <c r="H2288" s="251">
        <f t="shared" ca="1" si="74"/>
        <v>-6.9454942249088103E-2</v>
      </c>
    </row>
    <row r="2289" spans="2:8">
      <c r="B2289" s="252">
        <v>45644</v>
      </c>
      <c r="C2289" s="251">
        <v>755.7</v>
      </c>
      <c r="D2289" s="251">
        <f t="shared" si="73"/>
        <v>0.79458560911897413</v>
      </c>
      <c r="E2289" s="251">
        <v>-3.0843218980442393E-2</v>
      </c>
      <c r="G2289" s="251">
        <v>2280</v>
      </c>
      <c r="H2289" s="251">
        <f t="shared" ca="1" si="74"/>
        <v>6.9316378571200746E-3</v>
      </c>
    </row>
    <row r="2290" spans="2:8">
      <c r="B2290" s="252">
        <v>44998</v>
      </c>
      <c r="C2290" s="251">
        <v>421.1</v>
      </c>
      <c r="D2290" s="251">
        <f t="shared" si="73"/>
        <v>0.80458538675808888</v>
      </c>
      <c r="E2290" s="251">
        <v>-3.0862350693884995E-2</v>
      </c>
      <c r="G2290" s="251">
        <v>2281</v>
      </c>
      <c r="H2290" s="251">
        <f t="shared" ca="1" si="74"/>
        <v>-4.1527719198080855E-2</v>
      </c>
    </row>
    <row r="2291" spans="2:8">
      <c r="B2291" s="252">
        <v>43369</v>
      </c>
      <c r="C2291" s="251">
        <v>233.35</v>
      </c>
      <c r="D2291" s="251">
        <f t="shared" si="73"/>
        <v>0.41124886604172967</v>
      </c>
      <c r="E2291" s="251">
        <v>-3.0938538205980137E-2</v>
      </c>
      <c r="G2291" s="251">
        <v>2282</v>
      </c>
      <c r="H2291" s="251">
        <f t="shared" ca="1" si="74"/>
        <v>-2.9774173142119574E-2</v>
      </c>
    </row>
    <row r="2292" spans="2:8">
      <c r="B2292" s="252">
        <v>43398</v>
      </c>
      <c r="C2292" s="251">
        <v>165.35</v>
      </c>
      <c r="D2292" s="251">
        <f t="shared" si="73"/>
        <v>-5.2163943823445087E-2</v>
      </c>
      <c r="E2292" s="251">
        <v>-3.1057720480515742E-2</v>
      </c>
      <c r="G2292" s="251">
        <v>2283</v>
      </c>
      <c r="H2292" s="251">
        <f t="shared" ca="1" si="74"/>
        <v>-3.674635073470542E-3</v>
      </c>
    </row>
    <row r="2293" spans="2:8">
      <c r="B2293" s="252">
        <v>43432</v>
      </c>
      <c r="C2293" s="251">
        <v>174.45</v>
      </c>
      <c r="D2293" s="251">
        <f t="shared" si="73"/>
        <v>-0.58967423262377983</v>
      </c>
      <c r="E2293" s="251">
        <v>-3.1102471535684656E-2</v>
      </c>
      <c r="G2293" s="251">
        <v>2284</v>
      </c>
      <c r="H2293" s="251">
        <f t="shared" ca="1" si="74"/>
        <v>-2.2144350394171869E-2</v>
      </c>
    </row>
    <row r="2294" spans="2:8">
      <c r="B2294" s="252">
        <v>44676</v>
      </c>
      <c r="C2294" s="251">
        <v>425.15</v>
      </c>
      <c r="D2294" s="251">
        <f t="shared" si="73"/>
        <v>0.42214417126609799</v>
      </c>
      <c r="E2294" s="251">
        <v>-3.1217956021419722E-2</v>
      </c>
      <c r="G2294" s="251">
        <v>2285</v>
      </c>
      <c r="H2294" s="251">
        <f t="shared" ca="1" si="74"/>
        <v>-1.9387606480031717E-2</v>
      </c>
    </row>
    <row r="2295" spans="2:8">
      <c r="B2295" s="252">
        <v>44459</v>
      </c>
      <c r="C2295" s="251">
        <v>298.95</v>
      </c>
      <c r="D2295" s="251">
        <f t="shared" si="73"/>
        <v>0.3824277456647398</v>
      </c>
      <c r="E2295" s="251">
        <v>-3.12702527543747E-2</v>
      </c>
      <c r="G2295" s="251">
        <v>2286</v>
      </c>
      <c r="H2295" s="251">
        <f t="shared" ca="1" si="74"/>
        <v>9.0703622371226672E-3</v>
      </c>
    </row>
    <row r="2296" spans="2:8">
      <c r="B2296" s="252">
        <v>43378</v>
      </c>
      <c r="C2296" s="251">
        <v>216.25</v>
      </c>
      <c r="D2296" s="251">
        <f t="shared" si="73"/>
        <v>-0.31544792655903764</v>
      </c>
      <c r="E2296" s="251">
        <v>-3.1354983202687571E-2</v>
      </c>
      <c r="G2296" s="251">
        <v>2287</v>
      </c>
      <c r="H2296" s="251">
        <f t="shared" ca="1" si="74"/>
        <v>1.2838772261448814E-2</v>
      </c>
    </row>
    <row r="2297" spans="2:8">
      <c r="B2297" s="252">
        <v>44232</v>
      </c>
      <c r="C2297" s="251">
        <v>315.89999999999998</v>
      </c>
      <c r="D2297" s="251">
        <f t="shared" si="73"/>
        <v>3.1841059602649002</v>
      </c>
      <c r="E2297" s="251">
        <v>-3.1427257396903267E-2</v>
      </c>
      <c r="G2297" s="251">
        <v>2288</v>
      </c>
      <c r="H2297" s="251">
        <f t="shared" ca="1" si="74"/>
        <v>4.2029443711318407E-2</v>
      </c>
    </row>
    <row r="2298" spans="2:8">
      <c r="B2298" s="252">
        <v>43908</v>
      </c>
      <c r="C2298" s="251">
        <v>75.5</v>
      </c>
      <c r="D2298" s="251">
        <f t="shared" si="73"/>
        <v>-0.43275732531930877</v>
      </c>
      <c r="E2298" s="251">
        <v>-3.1430404105195674E-2</v>
      </c>
      <c r="G2298" s="251">
        <v>2289</v>
      </c>
      <c r="H2298" s="251">
        <f t="shared" ca="1" si="74"/>
        <v>5.1673355658631908E-3</v>
      </c>
    </row>
    <row r="2299" spans="2:8">
      <c r="B2299" s="252">
        <v>44096</v>
      </c>
      <c r="C2299" s="251">
        <v>133.1</v>
      </c>
      <c r="D2299" s="251">
        <f t="shared" si="73"/>
        <v>-0.12000000000000004</v>
      </c>
      <c r="E2299" s="251">
        <v>-3.1647871953437573E-2</v>
      </c>
      <c r="G2299" s="251">
        <v>2290</v>
      </c>
      <c r="H2299" s="251">
        <f t="shared" ca="1" si="74"/>
        <v>3.0549591385824557E-2</v>
      </c>
    </row>
    <row r="2300" spans="2:8">
      <c r="B2300" s="252">
        <v>43670</v>
      </c>
      <c r="C2300" s="251">
        <v>151.25</v>
      </c>
      <c r="D2300" s="251">
        <f t="shared" si="73"/>
        <v>-0.15948874687413164</v>
      </c>
      <c r="E2300" s="251">
        <v>-3.1690140845070353E-2</v>
      </c>
      <c r="G2300" s="251">
        <v>2291</v>
      </c>
      <c r="H2300" s="251">
        <f t="shared" ca="1" si="74"/>
        <v>1.0835925024762407E-2</v>
      </c>
    </row>
    <row r="2301" spans="2:8">
      <c r="B2301" s="252">
        <v>43390</v>
      </c>
      <c r="C2301" s="251">
        <v>179.95</v>
      </c>
      <c r="D2301" s="251">
        <f t="shared" si="73"/>
        <v>0.42591125198098245</v>
      </c>
      <c r="E2301" s="251">
        <v>-3.1746031746031779E-2</v>
      </c>
      <c r="G2301" s="251">
        <v>2292</v>
      </c>
      <c r="H2301" s="251">
        <f t="shared" ca="1" si="74"/>
        <v>-2.9293210005198824E-2</v>
      </c>
    </row>
    <row r="2302" spans="2:8">
      <c r="B2302" s="252">
        <v>43894</v>
      </c>
      <c r="C2302" s="251">
        <v>126.2</v>
      </c>
      <c r="D2302" s="251">
        <f t="shared" si="73"/>
        <v>-0.60916692474450296</v>
      </c>
      <c r="E2302" s="251">
        <v>-3.1837360951284935E-2</v>
      </c>
      <c r="G2302" s="251">
        <v>2293</v>
      </c>
      <c r="H2302" s="251">
        <f t="shared" ca="1" si="74"/>
        <v>1.4040777914509856E-2</v>
      </c>
    </row>
    <row r="2303" spans="2:8">
      <c r="B2303" s="252">
        <v>42251</v>
      </c>
      <c r="C2303" s="251">
        <v>322.89999999999998</v>
      </c>
      <c r="D2303" s="251">
        <f t="shared" si="73"/>
        <v>0.92259601071747543</v>
      </c>
      <c r="E2303" s="251">
        <v>-3.1929245990106533E-2</v>
      </c>
      <c r="G2303" s="251">
        <v>2294</v>
      </c>
      <c r="H2303" s="251">
        <f t="shared" ca="1" si="74"/>
        <v>-3.5395971496541195E-2</v>
      </c>
    </row>
    <row r="2304" spans="2:8">
      <c r="B2304" s="252">
        <v>44154</v>
      </c>
      <c r="C2304" s="251">
        <v>167.95</v>
      </c>
      <c r="D2304" s="251">
        <f t="shared" si="73"/>
        <v>-0.73930927435001947</v>
      </c>
      <c r="E2304" s="251">
        <v>-3.1988472622478455E-2</v>
      </c>
      <c r="G2304" s="251">
        <v>2295</v>
      </c>
      <c r="H2304" s="251">
        <f t="shared" ca="1" si="74"/>
        <v>2.5396602143019201E-2</v>
      </c>
    </row>
    <row r="2305" spans="2:8">
      <c r="B2305" s="252">
        <v>45777</v>
      </c>
      <c r="C2305" s="251">
        <v>644.25</v>
      </c>
      <c r="D2305" s="251">
        <f t="shared" si="73"/>
        <v>3.4021182097710967</v>
      </c>
      <c r="E2305" s="251">
        <v>-3.2076322115384651E-2</v>
      </c>
      <c r="G2305" s="251">
        <v>2296</v>
      </c>
      <c r="H2305" s="251">
        <f t="shared" ca="1" si="74"/>
        <v>-2.1001092153814592E-2</v>
      </c>
    </row>
    <row r="2306" spans="2:8">
      <c r="B2306" s="252">
        <v>44148</v>
      </c>
      <c r="C2306" s="251">
        <v>146.35</v>
      </c>
      <c r="D2306" s="251">
        <f t="shared" si="73"/>
        <v>-0.72660190547356618</v>
      </c>
      <c r="E2306" s="251">
        <v>-3.2076719576719544E-2</v>
      </c>
      <c r="G2306" s="251">
        <v>2297</v>
      </c>
      <c r="H2306" s="251">
        <f t="shared" ca="1" si="74"/>
        <v>2.8141727564911817E-2</v>
      </c>
    </row>
    <row r="2307" spans="2:8">
      <c r="B2307" s="252">
        <v>42639</v>
      </c>
      <c r="C2307" s="251">
        <v>535.29999999999995</v>
      </c>
      <c r="D2307" s="251">
        <f t="shared" si="73"/>
        <v>0.28662420382165593</v>
      </c>
      <c r="E2307" s="251">
        <v>-3.2094747310369771E-2</v>
      </c>
      <c r="G2307" s="251">
        <v>2298</v>
      </c>
      <c r="H2307" s="251">
        <f t="shared" ca="1" si="74"/>
        <v>-4.9590388028420548E-3</v>
      </c>
    </row>
    <row r="2308" spans="2:8">
      <c r="B2308" s="252">
        <v>42956</v>
      </c>
      <c r="C2308" s="251">
        <v>416.05</v>
      </c>
      <c r="D2308" s="251">
        <f t="shared" si="73"/>
        <v>0.27995692970312258</v>
      </c>
      <c r="E2308" s="251">
        <v>-3.2441860465116254E-2</v>
      </c>
      <c r="G2308" s="251">
        <v>2299</v>
      </c>
      <c r="H2308" s="251">
        <f t="shared" ca="1" si="74"/>
        <v>3.0641825573452582E-2</v>
      </c>
    </row>
    <row r="2309" spans="2:8">
      <c r="B2309" s="252">
        <v>44236</v>
      </c>
      <c r="C2309" s="251">
        <v>325.05</v>
      </c>
      <c r="D2309" s="251">
        <f t="shared" si="73"/>
        <v>-0.53767707799965869</v>
      </c>
      <c r="E2309" s="251">
        <v>-3.2445304360767903E-2</v>
      </c>
      <c r="G2309" s="251">
        <v>2300</v>
      </c>
      <c r="H2309" s="251">
        <f t="shared" ca="1" si="74"/>
        <v>-1.0411322090278009E-4</v>
      </c>
    </row>
    <row r="2310" spans="2:8">
      <c r="B2310" s="252">
        <v>45280</v>
      </c>
      <c r="C2310" s="251">
        <v>703.08</v>
      </c>
      <c r="D2310" s="251">
        <f t="shared" si="73"/>
        <v>0.36972530683810656</v>
      </c>
      <c r="E2310" s="251">
        <v>-3.2516409571906255E-2</v>
      </c>
      <c r="G2310" s="251">
        <v>2301</v>
      </c>
      <c r="H2310" s="251">
        <f t="shared" ca="1" si="74"/>
        <v>2.667998758743894E-2</v>
      </c>
    </row>
    <row r="2311" spans="2:8">
      <c r="B2311" s="252">
        <v>42676</v>
      </c>
      <c r="C2311" s="251">
        <v>513.29999999999995</v>
      </c>
      <c r="D2311" s="251">
        <f t="shared" si="73"/>
        <v>-0.17307041708955595</v>
      </c>
      <c r="E2311" s="251">
        <v>-3.2604598567659383E-2</v>
      </c>
      <c r="G2311" s="251">
        <v>2302</v>
      </c>
      <c r="H2311" s="251">
        <f t="shared" ca="1" si="74"/>
        <v>3.8442570264378043E-2</v>
      </c>
    </row>
    <row r="2312" spans="2:8">
      <c r="B2312" s="252">
        <v>45140</v>
      </c>
      <c r="C2312" s="251">
        <v>620.73</v>
      </c>
      <c r="D2312" s="251">
        <f t="shared" si="73"/>
        <v>2.9511775938892426</v>
      </c>
      <c r="E2312" s="251">
        <v>-3.2633596708588439E-2</v>
      </c>
      <c r="G2312" s="251">
        <v>2303</v>
      </c>
      <c r="H2312" s="251">
        <f t="shared" ca="1" si="74"/>
        <v>-3.5291290505851921E-3</v>
      </c>
    </row>
    <row r="2313" spans="2:8">
      <c r="B2313" s="252">
        <v>43444</v>
      </c>
      <c r="C2313" s="251">
        <v>157.1</v>
      </c>
      <c r="D2313" s="251">
        <f t="shared" si="73"/>
        <v>-0.24216111915098898</v>
      </c>
      <c r="E2313" s="251">
        <v>-3.2635467980295638E-2</v>
      </c>
      <c r="G2313" s="251">
        <v>2304</v>
      </c>
      <c r="H2313" s="251">
        <f t="shared" ca="1" si="74"/>
        <v>-2.8482479789843258E-3</v>
      </c>
    </row>
    <row r="2314" spans="2:8">
      <c r="B2314" s="252">
        <v>43587</v>
      </c>
      <c r="C2314" s="251">
        <v>207.3</v>
      </c>
      <c r="D2314" s="251">
        <f t="shared" ref="D2314:D2377" si="75">(C2314-C2315)/C2315</f>
        <v>-0.31943532501641497</v>
      </c>
      <c r="E2314" s="251">
        <v>-3.2664489034064395E-2</v>
      </c>
      <c r="G2314" s="251">
        <v>2305</v>
      </c>
      <c r="H2314" s="251">
        <f t="shared" ca="1" si="74"/>
        <v>5.5956890494759937E-4</v>
      </c>
    </row>
    <row r="2315" spans="2:8">
      <c r="B2315" s="252">
        <v>43238</v>
      </c>
      <c r="C2315" s="251">
        <v>304.60000000000002</v>
      </c>
      <c r="D2315" s="251">
        <f t="shared" si="75"/>
        <v>-0.36309461578672236</v>
      </c>
      <c r="E2315" s="251">
        <v>-3.2708796443315195E-2</v>
      </c>
      <c r="G2315" s="251">
        <v>2306</v>
      </c>
      <c r="H2315" s="251">
        <f t="shared" ref="H2315:H2378" ca="1" si="76">_xlfn.NORM.INV(RAND(),N$12,N$13)</f>
        <v>-2.6023084646085205E-2</v>
      </c>
    </row>
    <row r="2316" spans="2:8">
      <c r="B2316" s="252">
        <v>44614</v>
      </c>
      <c r="C2316" s="251">
        <v>478.25</v>
      </c>
      <c r="D2316" s="251">
        <f t="shared" si="75"/>
        <v>0.10919127026462876</v>
      </c>
      <c r="E2316" s="251">
        <v>-3.276367681262006E-2</v>
      </c>
      <c r="G2316" s="251">
        <v>2307</v>
      </c>
      <c r="H2316" s="251">
        <f t="shared" ca="1" si="76"/>
        <v>-7.6091405887733022E-3</v>
      </c>
    </row>
    <row r="2317" spans="2:8">
      <c r="B2317" s="252">
        <v>44820</v>
      </c>
      <c r="C2317" s="251">
        <v>431.17</v>
      </c>
      <c r="D2317" s="251">
        <f t="shared" si="75"/>
        <v>1.7160314960629923</v>
      </c>
      <c r="E2317" s="251">
        <v>-3.2969251127010088E-2</v>
      </c>
      <c r="G2317" s="251">
        <v>2308</v>
      </c>
      <c r="H2317" s="251">
        <f t="shared" ca="1" si="76"/>
        <v>-3.3171498020478765E-2</v>
      </c>
    </row>
    <row r="2318" spans="2:8">
      <c r="B2318" s="252">
        <v>43633</v>
      </c>
      <c r="C2318" s="251">
        <v>158.75</v>
      </c>
      <c r="D2318" s="251">
        <f t="shared" si="75"/>
        <v>0.36441770519982819</v>
      </c>
      <c r="E2318" s="251">
        <v>-3.3191230207064486E-2</v>
      </c>
      <c r="G2318" s="251">
        <v>2309</v>
      </c>
      <c r="H2318" s="251">
        <f t="shared" ca="1" si="76"/>
        <v>3.7042696670719268E-3</v>
      </c>
    </row>
    <row r="2319" spans="2:8">
      <c r="B2319" s="252">
        <v>43705</v>
      </c>
      <c r="C2319" s="251">
        <v>116.35</v>
      </c>
      <c r="D2319" s="251">
        <f t="shared" si="75"/>
        <v>-0.33929585462805223</v>
      </c>
      <c r="E2319" s="251">
        <v>-3.3236393851267136E-2</v>
      </c>
      <c r="G2319" s="251">
        <v>2310</v>
      </c>
      <c r="H2319" s="251">
        <f t="shared" ca="1" si="76"/>
        <v>-1.5526666332564332E-2</v>
      </c>
    </row>
    <row r="2320" spans="2:8">
      <c r="B2320" s="252">
        <v>43858</v>
      </c>
      <c r="C2320" s="251">
        <v>176.1</v>
      </c>
      <c r="D2320" s="251">
        <f t="shared" si="75"/>
        <v>-0.48546384222059902</v>
      </c>
      <c r="E2320" s="251">
        <v>-3.3479692645444536E-2</v>
      </c>
      <c r="G2320" s="251">
        <v>2311</v>
      </c>
      <c r="H2320" s="251">
        <f t="shared" ca="1" si="76"/>
        <v>4.8272409495439754E-2</v>
      </c>
    </row>
    <row r="2321" spans="2:8">
      <c r="B2321" s="252">
        <v>42389</v>
      </c>
      <c r="C2321" s="251">
        <v>342.25</v>
      </c>
      <c r="D2321" s="251">
        <f t="shared" si="75"/>
        <v>0.36083499005964215</v>
      </c>
      <c r="E2321" s="251">
        <v>-3.3601581250882334E-2</v>
      </c>
      <c r="G2321" s="251">
        <v>2312</v>
      </c>
      <c r="H2321" s="251">
        <f t="shared" ca="1" si="76"/>
        <v>1.7965194548595145E-2</v>
      </c>
    </row>
    <row r="2322" spans="2:8">
      <c r="B2322" s="252">
        <v>43361</v>
      </c>
      <c r="C2322" s="251">
        <v>251.5</v>
      </c>
      <c r="D2322" s="251">
        <f t="shared" si="75"/>
        <v>-0.48767569769810548</v>
      </c>
      <c r="E2322" s="251">
        <v>-3.3621517771373677E-2</v>
      </c>
      <c r="G2322" s="251">
        <v>2313</v>
      </c>
      <c r="H2322" s="251">
        <f t="shared" ca="1" si="76"/>
        <v>3.5848731662982049E-3</v>
      </c>
    </row>
    <row r="2323" spans="2:8">
      <c r="B2323" s="252">
        <v>44491</v>
      </c>
      <c r="C2323" s="251">
        <v>490.9</v>
      </c>
      <c r="D2323" s="251">
        <f t="shared" si="75"/>
        <v>-0.50414141414141411</v>
      </c>
      <c r="E2323" s="251">
        <v>-3.3661417322834689E-2</v>
      </c>
      <c r="G2323" s="251">
        <v>2314</v>
      </c>
      <c r="H2323" s="251">
        <f t="shared" ca="1" si="76"/>
        <v>-2.3508591066549761E-2</v>
      </c>
    </row>
    <row r="2324" spans="2:8">
      <c r="B2324" s="252">
        <v>45492</v>
      </c>
      <c r="C2324" s="251">
        <v>990</v>
      </c>
      <c r="D2324" s="251">
        <f t="shared" si="75"/>
        <v>12.570938999314597</v>
      </c>
      <c r="E2324" s="251">
        <v>-3.3722121907178722E-2</v>
      </c>
      <c r="G2324" s="251">
        <v>2315</v>
      </c>
      <c r="H2324" s="251">
        <f t="shared" ca="1" si="76"/>
        <v>1.9644893251977137E-2</v>
      </c>
    </row>
    <row r="2325" spans="2:8">
      <c r="B2325" s="252">
        <v>43909</v>
      </c>
      <c r="C2325" s="251">
        <v>72.95</v>
      </c>
      <c r="D2325" s="251">
        <f t="shared" si="75"/>
        <v>-0.84835256210373144</v>
      </c>
      <c r="E2325" s="251">
        <v>-3.3774834437086058E-2</v>
      </c>
      <c r="G2325" s="251">
        <v>2316</v>
      </c>
      <c r="H2325" s="251">
        <f t="shared" ca="1" si="76"/>
        <v>-3.4132660470478034E-2</v>
      </c>
    </row>
    <row r="2326" spans="2:8">
      <c r="B2326" s="252">
        <v>44497</v>
      </c>
      <c r="C2326" s="251">
        <v>481.05</v>
      </c>
      <c r="D2326" s="251">
        <f t="shared" si="75"/>
        <v>0.5702627713399705</v>
      </c>
      <c r="E2326" s="251">
        <v>-3.3842136975296179E-2</v>
      </c>
      <c r="G2326" s="251">
        <v>2317</v>
      </c>
      <c r="H2326" s="251">
        <f t="shared" ca="1" si="76"/>
        <v>9.7306043783468021E-3</v>
      </c>
    </row>
    <row r="2327" spans="2:8">
      <c r="B2327" s="252">
        <v>44385</v>
      </c>
      <c r="C2327" s="251">
        <v>306.35000000000002</v>
      </c>
      <c r="D2327" s="251">
        <f t="shared" si="75"/>
        <v>1.622859589041096</v>
      </c>
      <c r="E2327" s="251">
        <v>-3.390097760958688E-2</v>
      </c>
      <c r="G2327" s="251">
        <v>2318</v>
      </c>
      <c r="H2327" s="251">
        <f t="shared" ca="1" si="76"/>
        <v>-2.3693357391161639E-2</v>
      </c>
    </row>
    <row r="2328" spans="2:8">
      <c r="B2328" s="252">
        <v>43748</v>
      </c>
      <c r="C2328" s="251">
        <v>116.8</v>
      </c>
      <c r="D2328" s="251">
        <f t="shared" si="75"/>
        <v>0.10868533459895589</v>
      </c>
      <c r="E2328" s="251">
        <v>-3.391232423490495E-2</v>
      </c>
      <c r="G2328" s="251">
        <v>2319</v>
      </c>
      <c r="H2328" s="251">
        <f t="shared" ca="1" si="76"/>
        <v>-2.5265822510359474E-2</v>
      </c>
    </row>
    <row r="2329" spans="2:8">
      <c r="B2329" s="252">
        <v>44020</v>
      </c>
      <c r="C2329" s="251">
        <v>105.35</v>
      </c>
      <c r="D2329" s="251">
        <f t="shared" si="75"/>
        <v>-0.75664125664125659</v>
      </c>
      <c r="E2329" s="251">
        <v>-3.3929390187987192E-2</v>
      </c>
      <c r="G2329" s="251">
        <v>2320</v>
      </c>
      <c r="H2329" s="251">
        <f t="shared" ca="1" si="76"/>
        <v>-1.9480492848304262E-2</v>
      </c>
    </row>
    <row r="2330" spans="2:8">
      <c r="B2330" s="252">
        <v>42706</v>
      </c>
      <c r="C2330" s="251">
        <v>432.9</v>
      </c>
      <c r="D2330" s="251">
        <f t="shared" si="75"/>
        <v>7.2596630327056377E-2</v>
      </c>
      <c r="E2330" s="251">
        <v>-3.4136546184738985E-2</v>
      </c>
      <c r="G2330" s="251">
        <v>2321</v>
      </c>
      <c r="H2330" s="251">
        <f t="shared" ca="1" si="76"/>
        <v>-5.8534012502462485E-2</v>
      </c>
    </row>
    <row r="2331" spans="2:8">
      <c r="B2331" s="252">
        <v>43124</v>
      </c>
      <c r="C2331" s="251">
        <v>403.6</v>
      </c>
      <c r="D2331" s="251">
        <f t="shared" si="75"/>
        <v>-0.39621512454185054</v>
      </c>
      <c r="E2331" s="251">
        <v>-3.4449760765550182E-2</v>
      </c>
      <c r="G2331" s="251">
        <v>2322</v>
      </c>
      <c r="H2331" s="251">
        <f t="shared" ca="1" si="76"/>
        <v>-4.6272359620075774E-2</v>
      </c>
    </row>
    <row r="2332" spans="2:8">
      <c r="B2332" s="252">
        <v>45868</v>
      </c>
      <c r="C2332" s="251">
        <v>668.45</v>
      </c>
      <c r="D2332" s="251">
        <f t="shared" si="75"/>
        <v>0.20778751468063961</v>
      </c>
      <c r="E2332" s="251">
        <v>-3.4520112659781867E-2</v>
      </c>
      <c r="G2332" s="251">
        <v>2323</v>
      </c>
      <c r="H2332" s="251">
        <f t="shared" ca="1" si="76"/>
        <v>2.8765091301338759E-2</v>
      </c>
    </row>
    <row r="2333" spans="2:8">
      <c r="B2333" s="252">
        <v>42625</v>
      </c>
      <c r="C2333" s="251">
        <v>553.45000000000005</v>
      </c>
      <c r="D2333" s="251">
        <f t="shared" si="75"/>
        <v>3.9659039928218935</v>
      </c>
      <c r="E2333" s="251">
        <v>-3.4539904055821989E-2</v>
      </c>
      <c r="G2333" s="251">
        <v>2324</v>
      </c>
      <c r="H2333" s="251">
        <f t="shared" ca="1" si="76"/>
        <v>1.2031894235815559E-2</v>
      </c>
    </row>
    <row r="2334" spans="2:8">
      <c r="B2334" s="252">
        <v>43991</v>
      </c>
      <c r="C2334" s="251">
        <v>111.45</v>
      </c>
      <c r="D2334" s="251">
        <f t="shared" si="75"/>
        <v>-1.0652463382157149E-2</v>
      </c>
      <c r="E2334" s="251">
        <v>-3.4647033347769599E-2</v>
      </c>
      <c r="G2334" s="251">
        <v>2325</v>
      </c>
      <c r="H2334" s="251">
        <f t="shared" ca="1" si="76"/>
        <v>7.7515487386677056E-3</v>
      </c>
    </row>
    <row r="2335" spans="2:8">
      <c r="B2335" s="252">
        <v>43711</v>
      </c>
      <c r="C2335" s="251">
        <v>112.65</v>
      </c>
      <c r="D2335" s="251">
        <f t="shared" si="75"/>
        <v>-0.499889012208657</v>
      </c>
      <c r="E2335" s="251">
        <v>-3.4704370179948561E-2</v>
      </c>
      <c r="G2335" s="251">
        <v>2326</v>
      </c>
      <c r="H2335" s="251">
        <f t="shared" ca="1" si="76"/>
        <v>-6.4024211164707107E-2</v>
      </c>
    </row>
    <row r="2336" spans="2:8">
      <c r="B2336" s="252">
        <v>43370</v>
      </c>
      <c r="C2336" s="251">
        <v>225.25</v>
      </c>
      <c r="D2336" s="251">
        <f t="shared" si="75"/>
        <v>7.3792486583184515E-3</v>
      </c>
      <c r="E2336" s="251">
        <v>-3.4711806299550008E-2</v>
      </c>
      <c r="G2336" s="251">
        <v>2327</v>
      </c>
      <c r="H2336" s="251">
        <f t="shared" ca="1" si="76"/>
        <v>2.677581626043872E-2</v>
      </c>
    </row>
    <row r="2337" spans="2:8">
      <c r="B2337" s="252">
        <v>43579</v>
      </c>
      <c r="C2337" s="251">
        <v>223.6</v>
      </c>
      <c r="D2337" s="251">
        <f t="shared" si="75"/>
        <v>-0.50661959399823475</v>
      </c>
      <c r="E2337" s="251">
        <v>-3.4750701489315826E-2</v>
      </c>
      <c r="G2337" s="251">
        <v>2328</v>
      </c>
      <c r="H2337" s="251">
        <f t="shared" ca="1" si="76"/>
        <v>2.4062657989635597E-3</v>
      </c>
    </row>
    <row r="2338" spans="2:8">
      <c r="B2338" s="252">
        <v>44795</v>
      </c>
      <c r="C2338" s="251">
        <v>453.2</v>
      </c>
      <c r="D2338" s="251">
        <f t="shared" si="75"/>
        <v>0.6008477569763333</v>
      </c>
      <c r="E2338" s="251">
        <v>-3.4820572888936266E-2</v>
      </c>
      <c r="G2338" s="251">
        <v>2329</v>
      </c>
      <c r="H2338" s="251">
        <f t="shared" ca="1" si="76"/>
        <v>-4.2807787836656917E-2</v>
      </c>
    </row>
    <row r="2339" spans="2:8">
      <c r="B2339" s="252">
        <v>44428</v>
      </c>
      <c r="C2339" s="251">
        <v>283.10000000000002</v>
      </c>
      <c r="D2339" s="251">
        <f t="shared" si="75"/>
        <v>0.57715877437325913</v>
      </c>
      <c r="E2339" s="251">
        <v>-3.4941196522924829E-2</v>
      </c>
      <c r="G2339" s="251">
        <v>2330</v>
      </c>
      <c r="H2339" s="251">
        <f t="shared" ca="1" si="76"/>
        <v>-5.4040021767264119E-3</v>
      </c>
    </row>
    <row r="2340" spans="2:8">
      <c r="B2340" s="252">
        <v>43417</v>
      </c>
      <c r="C2340" s="251">
        <v>179.5</v>
      </c>
      <c r="D2340" s="251">
        <f t="shared" si="75"/>
        <v>-0.35697653591259176</v>
      </c>
      <c r="E2340" s="251">
        <v>-3.5205589895189522E-2</v>
      </c>
      <c r="G2340" s="251">
        <v>2331</v>
      </c>
      <c r="H2340" s="251">
        <f t="shared" ca="1" si="76"/>
        <v>-9.143449443799188E-3</v>
      </c>
    </row>
    <row r="2341" spans="2:8">
      <c r="B2341" s="252">
        <v>44221</v>
      </c>
      <c r="C2341" s="251">
        <v>279.14999999999998</v>
      </c>
      <c r="D2341" s="251">
        <f t="shared" si="75"/>
        <v>0.80621158201229348</v>
      </c>
      <c r="E2341" s="251">
        <v>-3.5251425609124053E-2</v>
      </c>
      <c r="G2341" s="251">
        <v>2332</v>
      </c>
      <c r="H2341" s="251">
        <f t="shared" ca="1" si="76"/>
        <v>-1.7086616457308221E-2</v>
      </c>
    </row>
    <row r="2342" spans="2:8">
      <c r="B2342" s="252">
        <v>43654</v>
      </c>
      <c r="C2342" s="251">
        <v>154.55000000000001</v>
      </c>
      <c r="D2342" s="251">
        <f t="shared" si="75"/>
        <v>-0.77492172140100479</v>
      </c>
      <c r="E2342" s="251">
        <v>-3.5268414481897485E-2</v>
      </c>
      <c r="G2342" s="251">
        <v>2333</v>
      </c>
      <c r="H2342" s="251">
        <f t="shared" ca="1" si="76"/>
        <v>-2.3899837818531604E-3</v>
      </c>
    </row>
    <row r="2343" spans="2:8">
      <c r="B2343" s="252">
        <v>45824</v>
      </c>
      <c r="C2343" s="251">
        <v>686.65</v>
      </c>
      <c r="D2343" s="251">
        <f t="shared" si="75"/>
        <v>3.7502594258042192</v>
      </c>
      <c r="E2343" s="251">
        <v>-3.5671652271610108E-2</v>
      </c>
      <c r="G2343" s="251">
        <v>2334</v>
      </c>
      <c r="H2343" s="251">
        <f t="shared" ca="1" si="76"/>
        <v>-1.4788972107699467E-2</v>
      </c>
    </row>
    <row r="2344" spans="2:8">
      <c r="B2344" s="252">
        <v>43887</v>
      </c>
      <c r="C2344" s="251">
        <v>144.55000000000001</v>
      </c>
      <c r="D2344" s="251">
        <f t="shared" si="75"/>
        <v>-0.62835840082272787</v>
      </c>
      <c r="E2344" s="251">
        <v>-3.5690460306871209E-2</v>
      </c>
      <c r="G2344" s="251">
        <v>2335</v>
      </c>
      <c r="H2344" s="251">
        <f t="shared" ca="1" si="76"/>
        <v>2.8861483051665745E-2</v>
      </c>
    </row>
    <row r="2345" spans="2:8">
      <c r="B2345" s="252">
        <v>42500</v>
      </c>
      <c r="C2345" s="251">
        <v>388.95</v>
      </c>
      <c r="D2345" s="251">
        <f t="shared" si="75"/>
        <v>3.8077873918417793</v>
      </c>
      <c r="E2345" s="251">
        <v>-3.5701004090740132E-2</v>
      </c>
      <c r="G2345" s="251">
        <v>2336</v>
      </c>
      <c r="H2345" s="251">
        <f t="shared" ca="1" si="76"/>
        <v>-2.3460091452732829E-2</v>
      </c>
    </row>
    <row r="2346" spans="2:8">
      <c r="B2346" s="252">
        <v>43956</v>
      </c>
      <c r="C2346" s="251">
        <v>80.900000000000006</v>
      </c>
      <c r="D2346" s="251">
        <f t="shared" si="75"/>
        <v>-0.82451193058568339</v>
      </c>
      <c r="E2346" s="251">
        <v>-3.5756853396901073E-2</v>
      </c>
      <c r="G2346" s="251">
        <v>2337</v>
      </c>
      <c r="H2346" s="251">
        <f t="shared" ca="1" si="76"/>
        <v>-2.1722841613634549E-2</v>
      </c>
    </row>
    <row r="2347" spans="2:8">
      <c r="B2347" s="252">
        <v>42892</v>
      </c>
      <c r="C2347" s="251">
        <v>461</v>
      </c>
      <c r="D2347" s="251">
        <f t="shared" si="75"/>
        <v>5.7644900953778428</v>
      </c>
      <c r="E2347" s="251">
        <v>-3.5867405625849585E-2</v>
      </c>
      <c r="G2347" s="251">
        <v>2338</v>
      </c>
      <c r="H2347" s="251">
        <f t="shared" ca="1" si="76"/>
        <v>-1.8593422636007988E-2</v>
      </c>
    </row>
    <row r="2348" spans="2:8">
      <c r="B2348" s="252">
        <v>43920</v>
      </c>
      <c r="C2348" s="251">
        <v>68.150000000000006</v>
      </c>
      <c r="D2348" s="251">
        <f t="shared" si="75"/>
        <v>-0.8655288082083662</v>
      </c>
      <c r="E2348" s="251">
        <v>-3.606789250353603E-2</v>
      </c>
      <c r="G2348" s="251">
        <v>2339</v>
      </c>
      <c r="H2348" s="251">
        <f t="shared" ca="1" si="76"/>
        <v>-7.9103836745027488E-3</v>
      </c>
    </row>
    <row r="2349" spans="2:8">
      <c r="B2349" s="252">
        <v>42773</v>
      </c>
      <c r="C2349" s="251">
        <v>506.8</v>
      </c>
      <c r="D2349" s="251">
        <f t="shared" si="75"/>
        <v>0.39499036608863197</v>
      </c>
      <c r="E2349" s="251">
        <v>-3.6227060948939835E-2</v>
      </c>
      <c r="G2349" s="251">
        <v>2340</v>
      </c>
      <c r="H2349" s="251">
        <f t="shared" ca="1" si="76"/>
        <v>-2.165017886048199E-2</v>
      </c>
    </row>
    <row r="2350" spans="2:8">
      <c r="B2350" s="252">
        <v>42457</v>
      </c>
      <c r="C2350" s="251">
        <v>363.3</v>
      </c>
      <c r="D2350" s="251">
        <f t="shared" si="75"/>
        <v>8.7398982340616535E-2</v>
      </c>
      <c r="E2350" s="251">
        <v>-3.6339522546419069E-2</v>
      </c>
      <c r="G2350" s="251">
        <v>2341</v>
      </c>
      <c r="H2350" s="251">
        <f t="shared" ca="1" si="76"/>
        <v>6.3812172019542075E-3</v>
      </c>
    </row>
    <row r="2351" spans="2:8">
      <c r="B2351" s="252">
        <v>42262</v>
      </c>
      <c r="C2351" s="251">
        <v>334.1</v>
      </c>
      <c r="D2351" s="251">
        <f t="shared" si="75"/>
        <v>-2.1095810137708726E-2</v>
      </c>
      <c r="E2351" s="251">
        <v>-3.662053056516721E-2</v>
      </c>
      <c r="G2351" s="251">
        <v>2342</v>
      </c>
      <c r="H2351" s="251">
        <f t="shared" ca="1" si="76"/>
        <v>-4.2983135129798468E-3</v>
      </c>
    </row>
    <row r="2352" spans="2:8">
      <c r="B2352" s="252">
        <v>42384</v>
      </c>
      <c r="C2352" s="251">
        <v>341.3</v>
      </c>
      <c r="D2352" s="251">
        <f t="shared" si="75"/>
        <v>1.2040684533419439</v>
      </c>
      <c r="E2352" s="251">
        <v>-3.6692068868190798E-2</v>
      </c>
      <c r="G2352" s="251">
        <v>2343</v>
      </c>
      <c r="H2352" s="251">
        <f t="shared" ca="1" si="76"/>
        <v>2.961164844178657E-2</v>
      </c>
    </row>
    <row r="2353" spans="2:8">
      <c r="B2353" s="252">
        <v>43665</v>
      </c>
      <c r="C2353" s="251">
        <v>154.85</v>
      </c>
      <c r="D2353" s="251">
        <f t="shared" si="75"/>
        <v>0.29149291075896572</v>
      </c>
      <c r="E2353" s="251">
        <v>-3.6702954898911386E-2</v>
      </c>
      <c r="G2353" s="251">
        <v>2344</v>
      </c>
      <c r="H2353" s="251">
        <f t="shared" ca="1" si="76"/>
        <v>-1.0808341983598299E-2</v>
      </c>
    </row>
    <row r="2354" spans="2:8">
      <c r="B2354" s="252">
        <v>43735</v>
      </c>
      <c r="C2354" s="251">
        <v>119.9</v>
      </c>
      <c r="D2354" s="251">
        <f t="shared" si="75"/>
        <v>-0.61552028218694887</v>
      </c>
      <c r="E2354" s="251">
        <v>-3.6947791164658586E-2</v>
      </c>
      <c r="G2354" s="251">
        <v>2345</v>
      </c>
      <c r="H2354" s="251">
        <f t="shared" ca="1" si="76"/>
        <v>-1.608139443288532E-2</v>
      </c>
    </row>
    <row r="2355" spans="2:8">
      <c r="B2355" s="252">
        <v>44246</v>
      </c>
      <c r="C2355" s="251">
        <v>311.85000000000002</v>
      </c>
      <c r="D2355" s="251">
        <f t="shared" si="75"/>
        <v>1.3669829222011387</v>
      </c>
      <c r="E2355" s="251">
        <v>-3.7054191755442334E-2</v>
      </c>
      <c r="G2355" s="251">
        <v>2346</v>
      </c>
      <c r="H2355" s="251">
        <f t="shared" ca="1" si="76"/>
        <v>-2.4684980326233324E-3</v>
      </c>
    </row>
    <row r="2356" spans="2:8">
      <c r="B2356" s="252">
        <v>43760</v>
      </c>
      <c r="C2356" s="251">
        <v>131.75</v>
      </c>
      <c r="D2356" s="251">
        <f t="shared" si="75"/>
        <v>-0.22133569739952713</v>
      </c>
      <c r="E2356" s="251">
        <v>-3.7267080745341574E-2</v>
      </c>
      <c r="G2356" s="251">
        <v>2347</v>
      </c>
      <c r="H2356" s="251">
        <f t="shared" ca="1" si="76"/>
        <v>4.3622862859715714E-2</v>
      </c>
    </row>
    <row r="2357" spans="2:8">
      <c r="B2357" s="252">
        <v>43439</v>
      </c>
      <c r="C2357" s="251">
        <v>169.2</v>
      </c>
      <c r="D2357" s="251">
        <f t="shared" si="75"/>
        <v>-0.50198675496688749</v>
      </c>
      <c r="E2357" s="251">
        <v>-3.7268847795163651E-2</v>
      </c>
      <c r="G2357" s="251">
        <v>2348</v>
      </c>
      <c r="H2357" s="251">
        <f t="shared" ca="1" si="76"/>
        <v>-5.0616108593808315E-2</v>
      </c>
    </row>
    <row r="2358" spans="2:8">
      <c r="B2358" s="252">
        <v>43175</v>
      </c>
      <c r="C2358" s="251">
        <v>339.75</v>
      </c>
      <c r="D2358" s="251">
        <f t="shared" si="75"/>
        <v>0.10920666013712042</v>
      </c>
      <c r="E2358" s="251">
        <v>-3.7807986406117308E-2</v>
      </c>
      <c r="G2358" s="251">
        <v>2349</v>
      </c>
      <c r="H2358" s="251">
        <f t="shared" ca="1" si="76"/>
        <v>2.9766045895209632E-3</v>
      </c>
    </row>
    <row r="2359" spans="2:8">
      <c r="B2359" s="252">
        <v>42424</v>
      </c>
      <c r="C2359" s="251">
        <v>306.3</v>
      </c>
      <c r="D2359" s="251">
        <f t="shared" si="75"/>
        <v>-0.39905826957033547</v>
      </c>
      <c r="E2359" s="251">
        <v>-3.8455501491131687E-2</v>
      </c>
      <c r="G2359" s="251">
        <v>2350</v>
      </c>
      <c r="H2359" s="251">
        <f t="shared" ca="1" si="76"/>
        <v>7.7655971130555666E-3</v>
      </c>
    </row>
    <row r="2360" spans="2:8">
      <c r="B2360" s="252">
        <v>44518</v>
      </c>
      <c r="C2360" s="251">
        <v>509.7</v>
      </c>
      <c r="D2360" s="251">
        <f t="shared" si="75"/>
        <v>2.1337227174915459</v>
      </c>
      <c r="E2360" s="251">
        <v>-3.8573988493822486E-2</v>
      </c>
      <c r="G2360" s="251">
        <v>2351</v>
      </c>
      <c r="H2360" s="251">
        <f t="shared" ca="1" si="76"/>
        <v>-1.1911264909132824E-2</v>
      </c>
    </row>
    <row r="2361" spans="2:8">
      <c r="B2361" s="252">
        <v>43440</v>
      </c>
      <c r="C2361" s="251">
        <v>162.65</v>
      </c>
      <c r="D2361" s="251">
        <f t="shared" si="75"/>
        <v>-0.61236892278360355</v>
      </c>
      <c r="E2361" s="251">
        <v>-3.8711583924349785E-2</v>
      </c>
      <c r="G2361" s="251">
        <v>2352</v>
      </c>
      <c r="H2361" s="251">
        <f t="shared" ca="1" si="76"/>
        <v>1.2625877074758533E-2</v>
      </c>
    </row>
    <row r="2362" spans="2:8">
      <c r="B2362" s="252">
        <v>42860</v>
      </c>
      <c r="C2362" s="251">
        <v>419.6</v>
      </c>
      <c r="D2362" s="251">
        <f t="shared" si="75"/>
        <v>4.0071599045346069</v>
      </c>
      <c r="E2362" s="251">
        <v>-3.871706758304691E-2</v>
      </c>
      <c r="G2362" s="251">
        <v>2353</v>
      </c>
      <c r="H2362" s="251">
        <f t="shared" ca="1" si="76"/>
        <v>-9.8046691134877958E-4</v>
      </c>
    </row>
    <row r="2363" spans="2:8">
      <c r="B2363" s="252">
        <v>43965</v>
      </c>
      <c r="C2363" s="251">
        <v>83.8</v>
      </c>
      <c r="D2363" s="251">
        <f t="shared" si="75"/>
        <v>0.28330781010719758</v>
      </c>
      <c r="E2363" s="251">
        <v>-3.8990825688073459E-2</v>
      </c>
      <c r="G2363" s="251">
        <v>2354</v>
      </c>
      <c r="H2363" s="251">
        <f t="shared" ca="1" si="76"/>
        <v>1.8969697244141E-2</v>
      </c>
    </row>
    <row r="2364" spans="2:8">
      <c r="B2364" s="252">
        <v>43924</v>
      </c>
      <c r="C2364" s="251">
        <v>65.3</v>
      </c>
      <c r="D2364" s="251">
        <f t="shared" si="75"/>
        <v>-0.83457046588807537</v>
      </c>
      <c r="E2364" s="251">
        <v>-3.8999264164827158E-2</v>
      </c>
      <c r="G2364" s="251">
        <v>2355</v>
      </c>
      <c r="H2364" s="251">
        <f t="shared" ca="1" si="76"/>
        <v>2.1565214224356373E-2</v>
      </c>
    </row>
    <row r="2365" spans="2:8">
      <c r="B2365" s="252">
        <v>44844</v>
      </c>
      <c r="C2365" s="251">
        <v>394.73</v>
      </c>
      <c r="D2365" s="251">
        <f t="shared" si="75"/>
        <v>-0.12853515840600502</v>
      </c>
      <c r="E2365" s="251">
        <v>-3.9305880062305239E-2</v>
      </c>
      <c r="G2365" s="251">
        <v>2356</v>
      </c>
      <c r="H2365" s="251">
        <f t="shared" ca="1" si="76"/>
        <v>-7.7631869734512268E-3</v>
      </c>
    </row>
    <row r="2366" spans="2:8">
      <c r="B2366" s="252">
        <v>42698</v>
      </c>
      <c r="C2366" s="251">
        <v>452.95</v>
      </c>
      <c r="D2366" s="251">
        <f t="shared" si="75"/>
        <v>0.45807178496700474</v>
      </c>
      <c r="E2366" s="251">
        <v>-3.9342523860021232E-2</v>
      </c>
      <c r="G2366" s="251">
        <v>2357</v>
      </c>
      <c r="H2366" s="251">
        <f t="shared" ca="1" si="76"/>
        <v>-1.4443737138075676E-2</v>
      </c>
    </row>
    <row r="2367" spans="2:8">
      <c r="B2367" s="252">
        <v>42409</v>
      </c>
      <c r="C2367" s="251">
        <v>310.64999999999998</v>
      </c>
      <c r="D2367" s="251">
        <f t="shared" si="75"/>
        <v>-0.22074501442367994</v>
      </c>
      <c r="E2367" s="251">
        <v>-3.9721792890262821E-2</v>
      </c>
      <c r="G2367" s="251">
        <v>2358</v>
      </c>
      <c r="H2367" s="251">
        <f t="shared" ca="1" si="76"/>
        <v>3.6364944466736146E-2</v>
      </c>
    </row>
    <row r="2368" spans="2:8">
      <c r="B2368" s="252">
        <v>44700</v>
      </c>
      <c r="C2368" s="251">
        <v>398.65</v>
      </c>
      <c r="D2368" s="251">
        <f t="shared" si="75"/>
        <v>-5.6561353685954406E-2</v>
      </c>
      <c r="E2368" s="251">
        <v>-3.9744670600987596E-2</v>
      </c>
      <c r="G2368" s="251">
        <v>2359</v>
      </c>
      <c r="H2368" s="251">
        <f t="shared" ca="1" si="76"/>
        <v>-2.0193082408653626E-2</v>
      </c>
    </row>
    <row r="2369" spans="2:8">
      <c r="B2369" s="252">
        <v>43049</v>
      </c>
      <c r="C2369" s="251">
        <v>422.55</v>
      </c>
      <c r="D2369" s="251">
        <f t="shared" si="75"/>
        <v>0.28610561558362502</v>
      </c>
      <c r="E2369" s="251">
        <v>-3.9986368283539624E-2</v>
      </c>
      <c r="G2369" s="251">
        <v>2360</v>
      </c>
      <c r="H2369" s="251">
        <f t="shared" ca="1" si="76"/>
        <v>3.6204296740088703E-2</v>
      </c>
    </row>
    <row r="2370" spans="2:8">
      <c r="B2370" s="252">
        <v>42390</v>
      </c>
      <c r="C2370" s="251">
        <v>328.55</v>
      </c>
      <c r="D2370" s="251">
        <f t="shared" si="75"/>
        <v>1.568803752931978</v>
      </c>
      <c r="E2370" s="251">
        <v>-4.0029218407596753E-2</v>
      </c>
      <c r="G2370" s="251">
        <v>2361</v>
      </c>
      <c r="H2370" s="251">
        <f t="shared" ca="1" si="76"/>
        <v>8.7494899443487893E-3</v>
      </c>
    </row>
    <row r="2371" spans="2:8">
      <c r="B2371" s="252">
        <v>43731</v>
      </c>
      <c r="C2371" s="251">
        <v>127.9</v>
      </c>
      <c r="D2371" s="251">
        <f t="shared" si="75"/>
        <v>-0.60463678516228747</v>
      </c>
      <c r="E2371" s="251">
        <v>-4.0150093808630348E-2</v>
      </c>
      <c r="G2371" s="251">
        <v>2362</v>
      </c>
      <c r="H2371" s="251">
        <f t="shared" ca="1" si="76"/>
        <v>-4.2897060738680643E-3</v>
      </c>
    </row>
    <row r="2372" spans="2:8">
      <c r="B2372" s="252">
        <v>42408</v>
      </c>
      <c r="C2372" s="251">
        <v>323.5</v>
      </c>
      <c r="D2372" s="251">
        <f t="shared" si="75"/>
        <v>0.34679433805162369</v>
      </c>
      <c r="E2372" s="251">
        <v>-4.0344111539602559E-2</v>
      </c>
      <c r="G2372" s="251">
        <v>2363</v>
      </c>
      <c r="H2372" s="251">
        <f t="shared" ca="1" si="76"/>
        <v>8.87839906740788E-4</v>
      </c>
    </row>
    <row r="2373" spans="2:8">
      <c r="B2373" s="252">
        <v>43367</v>
      </c>
      <c r="C2373" s="251">
        <v>240.2</v>
      </c>
      <c r="D2373" s="251">
        <f t="shared" si="75"/>
        <v>-0.7149807178878671</v>
      </c>
      <c r="E2373" s="251">
        <v>-4.0543239464749373E-2</v>
      </c>
      <c r="G2373" s="251">
        <v>2364</v>
      </c>
      <c r="H2373" s="251">
        <f t="shared" ca="1" si="76"/>
        <v>-2.5373428080295784E-2</v>
      </c>
    </row>
    <row r="2374" spans="2:8">
      <c r="B2374" s="252">
        <v>45594</v>
      </c>
      <c r="C2374" s="251">
        <v>842.75</v>
      </c>
      <c r="D2374" s="251">
        <f t="shared" si="75"/>
        <v>1.2342851083008564</v>
      </c>
      <c r="E2374" s="251">
        <v>-4.0639763219306783E-2</v>
      </c>
      <c r="G2374" s="251">
        <v>2365</v>
      </c>
      <c r="H2374" s="251">
        <f t="shared" ca="1" si="76"/>
        <v>9.4618218451374119E-3</v>
      </c>
    </row>
    <row r="2375" spans="2:8">
      <c r="B2375" s="252">
        <v>44918</v>
      </c>
      <c r="C2375" s="251">
        <v>377.19</v>
      </c>
      <c r="D2375" s="251">
        <f t="shared" si="75"/>
        <v>1.3134568896051534E-2</v>
      </c>
      <c r="E2375" s="251">
        <v>-4.08147696063473E-2</v>
      </c>
      <c r="G2375" s="251">
        <v>2366</v>
      </c>
      <c r="H2375" s="251">
        <f t="shared" ca="1" si="76"/>
        <v>-3.5842699820245252E-3</v>
      </c>
    </row>
    <row r="2376" spans="2:8">
      <c r="B2376" s="252">
        <v>44693</v>
      </c>
      <c r="C2376" s="251">
        <v>372.3</v>
      </c>
      <c r="D2376" s="251">
        <f t="shared" si="75"/>
        <v>-0.59781786755968458</v>
      </c>
      <c r="E2376" s="251">
        <v>-4.0834728841942461E-2</v>
      </c>
      <c r="G2376" s="251">
        <v>2367</v>
      </c>
      <c r="H2376" s="251">
        <f t="shared" ca="1" si="76"/>
        <v>-9.9649374377492536E-3</v>
      </c>
    </row>
    <row r="2377" spans="2:8">
      <c r="B2377" s="252">
        <v>45568</v>
      </c>
      <c r="C2377" s="251">
        <v>925.7</v>
      </c>
      <c r="D2377" s="251">
        <f t="shared" si="75"/>
        <v>1.8469936952175923</v>
      </c>
      <c r="E2377" s="251">
        <v>-4.0924160795690008E-2</v>
      </c>
      <c r="G2377" s="251">
        <v>2368</v>
      </c>
      <c r="H2377" s="251">
        <f t="shared" ca="1" si="76"/>
        <v>5.8011080354507569E-2</v>
      </c>
    </row>
    <row r="2378" spans="2:8">
      <c r="B2378" s="252">
        <v>44260</v>
      </c>
      <c r="C2378" s="251">
        <v>325.14999999999998</v>
      </c>
      <c r="D2378" s="251">
        <f t="shared" ref="D2378:D2441" si="77">(C2378-C2379)/C2379</f>
        <v>1.7695911413969332</v>
      </c>
      <c r="E2378" s="251">
        <v>-4.142099056603777E-2</v>
      </c>
      <c r="G2378" s="251">
        <v>2369</v>
      </c>
      <c r="H2378" s="251">
        <f t="shared" ca="1" si="76"/>
        <v>-1.3875896932152285E-2</v>
      </c>
    </row>
    <row r="2379" spans="2:8">
      <c r="B2379" s="252">
        <v>43684</v>
      </c>
      <c r="C2379" s="251">
        <v>117.4</v>
      </c>
      <c r="D2379" s="251">
        <f t="shared" si="77"/>
        <v>-0.71264227144780312</v>
      </c>
      <c r="E2379" s="251">
        <v>-4.1632653061224441E-2</v>
      </c>
      <c r="G2379" s="251">
        <v>2370</v>
      </c>
      <c r="H2379" s="251">
        <f t="shared" ref="H2379:H2442" ca="1" si="78">_xlfn.NORM.INV(RAND(),N$12,N$13)</f>
        <v>-1.1280876984991679E-2</v>
      </c>
    </row>
    <row r="2380" spans="2:8">
      <c r="B2380" s="252">
        <v>44687</v>
      </c>
      <c r="C2380" s="251">
        <v>408.55</v>
      </c>
      <c r="D2380" s="251">
        <f t="shared" si="77"/>
        <v>0.31747823282811988</v>
      </c>
      <c r="E2380" s="251">
        <v>-4.1637344593009613E-2</v>
      </c>
      <c r="G2380" s="251">
        <v>2371</v>
      </c>
      <c r="H2380" s="251">
        <f t="shared" ca="1" si="78"/>
        <v>3.7637034424806676E-2</v>
      </c>
    </row>
    <row r="2381" spans="2:8">
      <c r="B2381" s="252">
        <v>43235</v>
      </c>
      <c r="C2381" s="251">
        <v>310.10000000000002</v>
      </c>
      <c r="D2381" s="251">
        <f t="shared" si="77"/>
        <v>-0.71722974513290472</v>
      </c>
      <c r="E2381" s="251">
        <v>-4.1718170580964151E-2</v>
      </c>
      <c r="G2381" s="251">
        <v>2372</v>
      </c>
      <c r="H2381" s="251">
        <f t="shared" ca="1" si="78"/>
        <v>-2.9730882713559944E-2</v>
      </c>
    </row>
    <row r="2382" spans="2:8">
      <c r="B2382" s="252">
        <v>45506</v>
      </c>
      <c r="C2382" s="267">
        <v>1096.6500000000001</v>
      </c>
      <c r="D2382" s="251">
        <f t="shared" si="77"/>
        <v>3.0996261682242996</v>
      </c>
      <c r="E2382" s="251">
        <v>-4.1724921356169169E-2</v>
      </c>
      <c r="G2382" s="251">
        <v>2373</v>
      </c>
      <c r="H2382" s="251">
        <f t="shared" ca="1" si="78"/>
        <v>-2.6121750167805045E-3</v>
      </c>
    </row>
    <row r="2383" spans="2:8">
      <c r="B2383" s="252">
        <v>44223</v>
      </c>
      <c r="C2383" s="251">
        <v>267.5</v>
      </c>
      <c r="D2383" s="251">
        <f t="shared" si="77"/>
        <v>1.4837511606313836</v>
      </c>
      <c r="E2383" s="251">
        <v>-4.173383485581221E-2</v>
      </c>
      <c r="G2383" s="251">
        <v>2374</v>
      </c>
      <c r="H2383" s="251">
        <f t="shared" ca="1" si="78"/>
        <v>-4.6740454662226934E-2</v>
      </c>
    </row>
    <row r="2384" spans="2:8">
      <c r="B2384" s="252">
        <v>43699</v>
      </c>
      <c r="C2384" s="251">
        <v>107.7</v>
      </c>
      <c r="D2384" s="251">
        <f t="shared" si="77"/>
        <v>-0.63423331635252167</v>
      </c>
      <c r="E2384" s="251">
        <v>-4.1814946619217107E-2</v>
      </c>
      <c r="G2384" s="251">
        <v>2375</v>
      </c>
      <c r="H2384" s="251">
        <f t="shared" ca="1" si="78"/>
        <v>2.7506155101704878E-2</v>
      </c>
    </row>
    <row r="2385" spans="2:8">
      <c r="B2385" s="252">
        <v>44279</v>
      </c>
      <c r="C2385" s="251">
        <v>294.45</v>
      </c>
      <c r="D2385" s="251">
        <f t="shared" si="77"/>
        <v>-5.7005604483586908E-2</v>
      </c>
      <c r="E2385" s="251">
        <v>-4.2127521145087797E-2</v>
      </c>
      <c r="G2385" s="251">
        <v>2376</v>
      </c>
      <c r="H2385" s="251">
        <f t="shared" ca="1" si="78"/>
        <v>2.2212970651122863E-2</v>
      </c>
    </row>
    <row r="2386" spans="2:8">
      <c r="B2386" s="252">
        <v>44330</v>
      </c>
      <c r="C2386" s="251">
        <v>312.25</v>
      </c>
      <c r="D2386" s="251">
        <f t="shared" si="77"/>
        <v>0.94245723172628304</v>
      </c>
      <c r="E2386" s="251">
        <v>-4.2177914110429447E-2</v>
      </c>
      <c r="G2386" s="251">
        <v>2377</v>
      </c>
      <c r="H2386" s="251">
        <f t="shared" ca="1" si="78"/>
        <v>3.1480490124205451E-2</v>
      </c>
    </row>
    <row r="2387" spans="2:8">
      <c r="B2387" s="252">
        <v>43664</v>
      </c>
      <c r="C2387" s="251">
        <v>160.75</v>
      </c>
      <c r="D2387" s="251">
        <f t="shared" si="77"/>
        <v>-0.8343142206326466</v>
      </c>
      <c r="E2387" s="251">
        <v>-4.258487194758788E-2</v>
      </c>
      <c r="G2387" s="251">
        <v>2378</v>
      </c>
      <c r="H2387" s="251">
        <f t="shared" ca="1" si="78"/>
        <v>2.8684895162660966E-2</v>
      </c>
    </row>
    <row r="2388" spans="2:8">
      <c r="B2388" s="252">
        <v>45364</v>
      </c>
      <c r="C2388" s="251">
        <v>970.21</v>
      </c>
      <c r="D2388" s="251">
        <f t="shared" si="77"/>
        <v>4.3543598233995588</v>
      </c>
      <c r="E2388" s="251">
        <v>-4.2590564157217965E-2</v>
      </c>
      <c r="G2388" s="251">
        <v>2379</v>
      </c>
      <c r="H2388" s="251">
        <f t="shared" ca="1" si="78"/>
        <v>3.028211933018448E-2</v>
      </c>
    </row>
    <row r="2389" spans="2:8">
      <c r="B2389" s="252">
        <v>43532</v>
      </c>
      <c r="C2389" s="251">
        <v>181.2</v>
      </c>
      <c r="D2389" s="251">
        <f t="shared" si="77"/>
        <v>-0.65814545797566271</v>
      </c>
      <c r="E2389" s="251">
        <v>-4.2789223454833714E-2</v>
      </c>
      <c r="G2389" s="251">
        <v>2380</v>
      </c>
      <c r="H2389" s="251">
        <f t="shared" ca="1" si="78"/>
        <v>3.068728475996392E-2</v>
      </c>
    </row>
    <row r="2390" spans="2:8">
      <c r="B2390" s="252">
        <v>42669</v>
      </c>
      <c r="C2390" s="251">
        <v>530.04999999999995</v>
      </c>
      <c r="D2390" s="251">
        <f t="shared" si="77"/>
        <v>-0.14597599291065821</v>
      </c>
      <c r="E2390" s="251">
        <v>-4.2885518237630919E-2</v>
      </c>
      <c r="G2390" s="251">
        <v>2381</v>
      </c>
      <c r="H2390" s="251">
        <f t="shared" ca="1" si="78"/>
        <v>1.2846389143658675E-2</v>
      </c>
    </row>
    <row r="2391" spans="2:8">
      <c r="B2391" s="252">
        <v>45716</v>
      </c>
      <c r="C2391" s="251">
        <v>620.65</v>
      </c>
      <c r="D2391" s="251">
        <f t="shared" si="77"/>
        <v>1.2418277045331405</v>
      </c>
      <c r="E2391" s="251">
        <v>-4.3019042479377038E-2</v>
      </c>
      <c r="G2391" s="251">
        <v>2382</v>
      </c>
      <c r="H2391" s="251">
        <f t="shared" ca="1" si="78"/>
        <v>-1.2809008340789285E-3</v>
      </c>
    </row>
    <row r="2392" spans="2:8">
      <c r="B2392" s="252">
        <v>43277</v>
      </c>
      <c r="C2392" s="251">
        <v>276.85000000000002</v>
      </c>
      <c r="D2392" s="251">
        <f t="shared" si="77"/>
        <v>9.8175327251090946E-2</v>
      </c>
      <c r="E2392" s="251">
        <v>-4.3365583966827763E-2</v>
      </c>
      <c r="G2392" s="251">
        <v>2383</v>
      </c>
      <c r="H2392" s="251">
        <f t="shared" ca="1" si="78"/>
        <v>-2.6668134849130061E-2</v>
      </c>
    </row>
    <row r="2393" spans="2:8">
      <c r="B2393" s="252">
        <v>43297</v>
      </c>
      <c r="C2393" s="251">
        <v>252.1</v>
      </c>
      <c r="D2393" s="251">
        <f t="shared" si="77"/>
        <v>2.710080941869021</v>
      </c>
      <c r="E2393" s="251">
        <v>-4.3626707132018314E-2</v>
      </c>
      <c r="G2393" s="251">
        <v>2384</v>
      </c>
      <c r="H2393" s="251">
        <f t="shared" ca="1" si="78"/>
        <v>4.5968250979448637E-3</v>
      </c>
    </row>
    <row r="2394" spans="2:8">
      <c r="B2394" s="252">
        <v>43922</v>
      </c>
      <c r="C2394" s="251">
        <v>67.95</v>
      </c>
      <c r="D2394" s="251">
        <f t="shared" si="77"/>
        <v>-0.15747055176689401</v>
      </c>
      <c r="E2394" s="251">
        <v>-4.3631245601688871E-2</v>
      </c>
      <c r="G2394" s="251">
        <v>2385</v>
      </c>
      <c r="H2394" s="251">
        <f t="shared" ca="1" si="78"/>
        <v>-5.519876268071755E-2</v>
      </c>
    </row>
    <row r="2395" spans="2:8">
      <c r="B2395" s="252">
        <v>43969</v>
      </c>
      <c r="C2395" s="251">
        <v>80.650000000000006</v>
      </c>
      <c r="D2395" s="251">
        <f t="shared" si="77"/>
        <v>-0.8284772437260739</v>
      </c>
      <c r="E2395" s="251">
        <v>-4.3864848844101821E-2</v>
      </c>
      <c r="G2395" s="251">
        <v>2386</v>
      </c>
      <c r="H2395" s="251">
        <f t="shared" ca="1" si="78"/>
        <v>7.7305515849491538E-3</v>
      </c>
    </row>
    <row r="2396" spans="2:8">
      <c r="B2396" s="252">
        <v>44547</v>
      </c>
      <c r="C2396" s="251">
        <v>470.2</v>
      </c>
      <c r="D2396" s="251">
        <f t="shared" si="77"/>
        <v>0.53760627861347277</v>
      </c>
      <c r="E2396" s="251">
        <v>-4.4211810143307245E-2</v>
      </c>
      <c r="G2396" s="251">
        <v>2387</v>
      </c>
      <c r="H2396" s="251">
        <f t="shared" ca="1" si="78"/>
        <v>3.8604780633039841E-2</v>
      </c>
    </row>
    <row r="2397" spans="2:8">
      <c r="B2397" s="252">
        <v>44272</v>
      </c>
      <c r="C2397" s="251">
        <v>305.8</v>
      </c>
      <c r="D2397" s="251">
        <f t="shared" si="77"/>
        <v>0.19034643830284173</v>
      </c>
      <c r="E2397" s="251">
        <v>-4.4225660259415461E-2</v>
      </c>
      <c r="G2397" s="251">
        <v>2388</v>
      </c>
      <c r="H2397" s="251">
        <f t="shared" ca="1" si="78"/>
        <v>-4.0652532637079864E-3</v>
      </c>
    </row>
    <row r="2398" spans="2:8">
      <c r="B2398" s="252">
        <v>43335</v>
      </c>
      <c r="C2398" s="251">
        <v>256.89999999999998</v>
      </c>
      <c r="D2398" s="251">
        <f t="shared" si="77"/>
        <v>0.34537837130138777</v>
      </c>
      <c r="E2398" s="251">
        <v>-4.4270833333333461E-2</v>
      </c>
      <c r="G2398" s="251">
        <v>2389</v>
      </c>
      <c r="H2398" s="251">
        <f t="shared" ca="1" si="78"/>
        <v>2.5904906352361118E-2</v>
      </c>
    </row>
    <row r="2399" spans="2:8">
      <c r="B2399" s="252">
        <v>43592</v>
      </c>
      <c r="C2399" s="251">
        <v>190.95</v>
      </c>
      <c r="D2399" s="251">
        <f t="shared" si="77"/>
        <v>0.18162128712871284</v>
      </c>
      <c r="E2399" s="251">
        <v>-4.4294294294294406E-2</v>
      </c>
      <c r="G2399" s="251">
        <v>2390</v>
      </c>
      <c r="H2399" s="251">
        <f t="shared" ca="1" si="78"/>
        <v>-8.6490725125509139E-3</v>
      </c>
    </row>
    <row r="2400" spans="2:8">
      <c r="B2400" s="252">
        <v>43879</v>
      </c>
      <c r="C2400" s="251">
        <v>161.6</v>
      </c>
      <c r="D2400" s="251">
        <f t="shared" si="77"/>
        <v>0.24739482825164014</v>
      </c>
      <c r="E2400" s="251">
        <v>-4.4352454169130695E-2</v>
      </c>
      <c r="G2400" s="251">
        <v>2391</v>
      </c>
      <c r="H2400" s="251">
        <f t="shared" ca="1" si="78"/>
        <v>6.3853615184492592E-3</v>
      </c>
    </row>
    <row r="2401" spans="2:8">
      <c r="B2401" s="252">
        <v>43678</v>
      </c>
      <c r="C2401" s="251">
        <v>129.55000000000001</v>
      </c>
      <c r="D2401" s="251">
        <f t="shared" si="77"/>
        <v>-0.68951467944877165</v>
      </c>
      <c r="E2401" s="251">
        <v>-4.4616519174041171E-2</v>
      </c>
      <c r="G2401" s="251">
        <v>2392</v>
      </c>
      <c r="H2401" s="251">
        <f t="shared" ca="1" si="78"/>
        <v>1.0536231536992222E-2</v>
      </c>
    </row>
    <row r="2402" spans="2:8">
      <c r="B2402" s="252">
        <v>44624</v>
      </c>
      <c r="C2402" s="251">
        <v>417.25</v>
      </c>
      <c r="D2402" s="251">
        <f t="shared" si="77"/>
        <v>3.1517412935323383</v>
      </c>
      <c r="E2402" s="251">
        <v>-4.5412948981926382E-2</v>
      </c>
      <c r="G2402" s="251">
        <v>2393</v>
      </c>
      <c r="H2402" s="251">
        <f t="shared" ca="1" si="78"/>
        <v>-2.7036356232762546E-3</v>
      </c>
    </row>
    <row r="2403" spans="2:8">
      <c r="B2403" s="252">
        <v>43997</v>
      </c>
      <c r="C2403" s="251">
        <v>100.5</v>
      </c>
      <c r="D2403" s="251">
        <f t="shared" si="77"/>
        <v>-0.30353430353430361</v>
      </c>
      <c r="E2403" s="251">
        <v>-4.5584045584045559E-2</v>
      </c>
      <c r="G2403" s="251">
        <v>2394</v>
      </c>
      <c r="H2403" s="251">
        <f t="shared" ca="1" si="78"/>
        <v>1.7437791216494278E-2</v>
      </c>
    </row>
    <row r="2404" spans="2:8">
      <c r="B2404" s="252">
        <v>43671</v>
      </c>
      <c r="C2404" s="251">
        <v>144.30000000000001</v>
      </c>
      <c r="D2404" s="251">
        <f t="shared" si="77"/>
        <v>-0.70065345918473187</v>
      </c>
      <c r="E2404" s="251">
        <v>-4.5950413223140418E-2</v>
      </c>
      <c r="G2404" s="251">
        <v>2395</v>
      </c>
      <c r="H2404" s="251">
        <f t="shared" ca="1" si="78"/>
        <v>1.0221333664328352E-3</v>
      </c>
    </row>
    <row r="2405" spans="2:8">
      <c r="B2405" s="252">
        <v>42780</v>
      </c>
      <c r="C2405" s="251">
        <v>482.05</v>
      </c>
      <c r="D2405" s="251">
        <f t="shared" si="77"/>
        <v>1.4126626626626626</v>
      </c>
      <c r="E2405" s="251">
        <v>-4.6012269938650305E-2</v>
      </c>
      <c r="G2405" s="251">
        <v>2396</v>
      </c>
      <c r="H2405" s="251">
        <f t="shared" ca="1" si="78"/>
        <v>1.860369180535229E-2</v>
      </c>
    </row>
    <row r="2406" spans="2:8">
      <c r="B2406" s="252">
        <v>43591</v>
      </c>
      <c r="C2406" s="251">
        <v>199.8</v>
      </c>
      <c r="D2406" s="251">
        <f t="shared" si="77"/>
        <v>-0.46072874493927124</v>
      </c>
      <c r="E2406" s="251">
        <v>-4.6073048460252938E-2</v>
      </c>
      <c r="G2406" s="251">
        <v>2397</v>
      </c>
      <c r="H2406" s="251">
        <f t="shared" ca="1" si="78"/>
        <v>-4.2780989284858899E-3</v>
      </c>
    </row>
    <row r="2407" spans="2:8">
      <c r="B2407" s="252">
        <v>42465</v>
      </c>
      <c r="C2407" s="251">
        <v>370.5</v>
      </c>
      <c r="D2407" s="251">
        <f t="shared" si="77"/>
        <v>-0.23781114996914218</v>
      </c>
      <c r="E2407" s="251">
        <v>-4.6086508753861943E-2</v>
      </c>
      <c r="G2407" s="251">
        <v>2398</v>
      </c>
      <c r="H2407" s="251">
        <f t="shared" ca="1" si="78"/>
        <v>-1.4414722588579868E-2</v>
      </c>
    </row>
    <row r="2408" spans="2:8">
      <c r="B2408" s="252">
        <v>44522</v>
      </c>
      <c r="C2408" s="251">
        <v>486.1</v>
      </c>
      <c r="D2408" s="251">
        <f t="shared" si="77"/>
        <v>1.5989131570697115E-2</v>
      </c>
      <c r="E2408" s="251">
        <v>-4.6301746125171607E-2</v>
      </c>
      <c r="G2408" s="251">
        <v>2399</v>
      </c>
      <c r="H2408" s="251">
        <f t="shared" ca="1" si="78"/>
        <v>9.7678908669842045E-3</v>
      </c>
    </row>
    <row r="2409" spans="2:8">
      <c r="B2409" s="252">
        <v>44585</v>
      </c>
      <c r="C2409" s="251">
        <v>478.45</v>
      </c>
      <c r="D2409" s="251">
        <f t="shared" si="77"/>
        <v>1.5716205321150227</v>
      </c>
      <c r="E2409" s="251">
        <v>-4.6627478330178405E-2</v>
      </c>
      <c r="G2409" s="251">
        <v>2400</v>
      </c>
      <c r="H2409" s="251">
        <f t="shared" ca="1" si="78"/>
        <v>5.0982343512184112E-3</v>
      </c>
    </row>
    <row r="2410" spans="2:8">
      <c r="B2410" s="252">
        <v>43416</v>
      </c>
      <c r="C2410" s="251">
        <v>186.05</v>
      </c>
      <c r="D2410" s="251">
        <f t="shared" si="77"/>
        <v>0.75270843146490818</v>
      </c>
      <c r="E2410" s="251">
        <v>-4.7119078104993536E-2</v>
      </c>
      <c r="G2410" s="251">
        <v>2401</v>
      </c>
      <c r="H2410" s="251">
        <f t="shared" ca="1" si="78"/>
        <v>-5.6180730145673529E-3</v>
      </c>
    </row>
    <row r="2411" spans="2:8">
      <c r="B2411" s="252">
        <v>43993</v>
      </c>
      <c r="C2411" s="251">
        <v>106.15</v>
      </c>
      <c r="D2411" s="251">
        <f t="shared" si="77"/>
        <v>-0.25404075895994382</v>
      </c>
      <c r="E2411" s="251">
        <v>-4.7127468581687607E-2</v>
      </c>
      <c r="G2411" s="251">
        <v>2402</v>
      </c>
      <c r="H2411" s="251">
        <f t="shared" ca="1" si="78"/>
        <v>-1.5638653167146441E-2</v>
      </c>
    </row>
    <row r="2412" spans="2:8">
      <c r="B2412" s="252">
        <v>44082</v>
      </c>
      <c r="C2412" s="251">
        <v>142.30000000000001</v>
      </c>
      <c r="D2412" s="251">
        <f t="shared" si="77"/>
        <v>0.11215318483782734</v>
      </c>
      <c r="E2412" s="251">
        <v>-4.752342704149929E-2</v>
      </c>
      <c r="G2412" s="251">
        <v>2403</v>
      </c>
      <c r="H2412" s="251">
        <f t="shared" ca="1" si="78"/>
        <v>6.2228842723084071E-2</v>
      </c>
    </row>
    <row r="2413" spans="2:8">
      <c r="B2413" s="252">
        <v>43720</v>
      </c>
      <c r="C2413" s="251">
        <v>127.95</v>
      </c>
      <c r="D2413" s="251">
        <f t="shared" si="77"/>
        <v>-0.59483850538315397</v>
      </c>
      <c r="E2413" s="251">
        <v>-4.76367696315593E-2</v>
      </c>
      <c r="G2413" s="251">
        <v>2404</v>
      </c>
      <c r="H2413" s="251">
        <f t="shared" ca="1" si="78"/>
        <v>-2.0849648634483575E-2</v>
      </c>
    </row>
    <row r="2414" spans="2:8">
      <c r="B2414" s="252">
        <v>42269</v>
      </c>
      <c r="C2414" s="251">
        <v>315.8</v>
      </c>
      <c r="D2414" s="251">
        <f t="shared" si="77"/>
        <v>-0.23149928211617549</v>
      </c>
      <c r="E2414" s="251">
        <v>-4.7934880916490737E-2</v>
      </c>
      <c r="G2414" s="251">
        <v>2405</v>
      </c>
      <c r="H2414" s="251">
        <f t="shared" ca="1" si="78"/>
        <v>-1.8525561719237488E-2</v>
      </c>
    </row>
    <row r="2415" spans="2:8">
      <c r="B2415" s="252">
        <v>44875</v>
      </c>
      <c r="C2415" s="251">
        <v>410.93</v>
      </c>
      <c r="D2415" s="251">
        <f t="shared" si="77"/>
        <v>-0.54397860440340906</v>
      </c>
      <c r="E2415" s="251">
        <v>-4.8376638414154016E-2</v>
      </c>
      <c r="G2415" s="251">
        <v>2406</v>
      </c>
      <c r="H2415" s="251">
        <f t="shared" ca="1" si="78"/>
        <v>9.4854238374271916E-3</v>
      </c>
    </row>
    <row r="2416" spans="2:8">
      <c r="B2416" s="252">
        <v>45447</v>
      </c>
      <c r="C2416" s="251">
        <v>901.12</v>
      </c>
      <c r="D2416" s="251">
        <f t="shared" si="77"/>
        <v>1.0157029415054244</v>
      </c>
      <c r="E2416" s="251">
        <v>-4.8979979525714194E-2</v>
      </c>
      <c r="G2416" s="251">
        <v>2407</v>
      </c>
      <c r="H2416" s="251">
        <f t="shared" ca="1" si="78"/>
        <v>1.9409633193509815E-2</v>
      </c>
    </row>
    <row r="2417" spans="2:8">
      <c r="B2417" s="252">
        <v>44550</v>
      </c>
      <c r="C2417" s="251">
        <v>447.05</v>
      </c>
      <c r="D2417" s="251">
        <f t="shared" si="77"/>
        <v>-0.11876601616400552</v>
      </c>
      <c r="E2417" s="251">
        <v>-4.9234368353891916E-2</v>
      </c>
      <c r="G2417" s="251">
        <v>2408</v>
      </c>
      <c r="H2417" s="251">
        <f t="shared" ca="1" si="78"/>
        <v>1.1435861779842509E-3</v>
      </c>
    </row>
    <row r="2418" spans="2:8">
      <c r="B2418" s="252">
        <v>42685</v>
      </c>
      <c r="C2418" s="251">
        <v>507.3</v>
      </c>
      <c r="D2418" s="251">
        <f t="shared" si="77"/>
        <v>2.3674078991038829</v>
      </c>
      <c r="E2418" s="251">
        <v>-4.9465992130410405E-2</v>
      </c>
      <c r="G2418" s="251">
        <v>2409</v>
      </c>
      <c r="H2418" s="251">
        <f t="shared" ca="1" si="78"/>
        <v>-4.3175738685212713E-3</v>
      </c>
    </row>
    <row r="2419" spans="2:8">
      <c r="B2419" s="252">
        <v>43885</v>
      </c>
      <c r="C2419" s="251">
        <v>150.65</v>
      </c>
      <c r="D2419" s="251">
        <f t="shared" si="77"/>
        <v>0.18762317698068595</v>
      </c>
      <c r="E2419" s="251">
        <v>-4.9526813880126148E-2</v>
      </c>
      <c r="G2419" s="251">
        <v>2410</v>
      </c>
      <c r="H2419" s="251">
        <f t="shared" ca="1" si="78"/>
        <v>-8.9274314286298118E-3</v>
      </c>
    </row>
    <row r="2420" spans="2:8">
      <c r="B2420" s="252">
        <v>43763</v>
      </c>
      <c r="C2420" s="251">
        <v>126.85</v>
      </c>
      <c r="D2420" s="251">
        <f t="shared" si="77"/>
        <v>-0.68809933611999019</v>
      </c>
      <c r="E2420" s="251">
        <v>-4.9812734082397045E-2</v>
      </c>
      <c r="G2420" s="251">
        <v>2411</v>
      </c>
      <c r="H2420" s="251">
        <f t="shared" ca="1" si="78"/>
        <v>-2.7247718107386723E-3</v>
      </c>
    </row>
    <row r="2421" spans="2:8">
      <c r="B2421" s="252">
        <v>44725</v>
      </c>
      <c r="C2421" s="251">
        <v>406.7</v>
      </c>
      <c r="D2421" s="251">
        <f t="shared" si="77"/>
        <v>2.2640449438202248</v>
      </c>
      <c r="E2421" s="251">
        <v>-4.9877350776778469E-2</v>
      </c>
      <c r="G2421" s="251">
        <v>2412</v>
      </c>
      <c r="H2421" s="251">
        <f t="shared" ca="1" si="78"/>
        <v>1.5873786783772399E-2</v>
      </c>
    </row>
    <row r="2422" spans="2:8">
      <c r="B2422" s="252">
        <v>44057</v>
      </c>
      <c r="C2422" s="251">
        <v>124.6</v>
      </c>
      <c r="D2422" s="251">
        <f t="shared" si="77"/>
        <v>-0.63261093911248711</v>
      </c>
      <c r="E2422" s="251">
        <v>-4.9942813572245608E-2</v>
      </c>
      <c r="G2422" s="251">
        <v>2413</v>
      </c>
      <c r="H2422" s="251">
        <f t="shared" ca="1" si="78"/>
        <v>1.7568197665387978E-2</v>
      </c>
    </row>
    <row r="2423" spans="2:8">
      <c r="B2423" s="252">
        <v>43206</v>
      </c>
      <c r="C2423" s="251">
        <v>339.15</v>
      </c>
      <c r="D2423" s="251">
        <f t="shared" si="77"/>
        <v>-3.6642522368981773E-2</v>
      </c>
      <c r="E2423" s="251">
        <v>-5.0133034588993229E-2</v>
      </c>
      <c r="G2423" s="251">
        <v>2414</v>
      </c>
      <c r="H2423" s="251">
        <f t="shared" ca="1" si="78"/>
        <v>1.1813059623613249E-2</v>
      </c>
    </row>
    <row r="2424" spans="2:8">
      <c r="B2424" s="252">
        <v>43164</v>
      </c>
      <c r="C2424" s="251">
        <v>352.05</v>
      </c>
      <c r="D2424" s="251">
        <f t="shared" si="77"/>
        <v>0.16901876141457758</v>
      </c>
      <c r="E2424" s="251">
        <v>-5.0438300741739689E-2</v>
      </c>
      <c r="G2424" s="251">
        <v>2415</v>
      </c>
      <c r="H2424" s="251">
        <f t="shared" ca="1" si="78"/>
        <v>-5.0968993396222489E-2</v>
      </c>
    </row>
    <row r="2425" spans="2:8">
      <c r="B2425" s="252">
        <v>42416</v>
      </c>
      <c r="C2425" s="251">
        <v>301.14999999999998</v>
      </c>
      <c r="D2425" s="251">
        <f t="shared" si="77"/>
        <v>-0.23361750858887903</v>
      </c>
      <c r="E2425" s="251">
        <v>-5.0748620961386992E-2</v>
      </c>
      <c r="G2425" s="251">
        <v>2416</v>
      </c>
      <c r="H2425" s="251">
        <f t="shared" ca="1" si="78"/>
        <v>4.8250757514190579E-3</v>
      </c>
    </row>
    <row r="2426" spans="2:8">
      <c r="B2426" s="252">
        <v>44728</v>
      </c>
      <c r="C2426" s="251">
        <v>392.95</v>
      </c>
      <c r="D2426" s="251">
        <f t="shared" si="77"/>
        <v>2.220901639344262</v>
      </c>
      <c r="E2426" s="251">
        <v>-5.107461965708774E-2</v>
      </c>
      <c r="G2426" s="251">
        <v>2417</v>
      </c>
      <c r="H2426" s="251">
        <f t="shared" ca="1" si="78"/>
        <v>-2.043716294402571E-2</v>
      </c>
    </row>
    <row r="2427" spans="2:8">
      <c r="B2427" s="252">
        <v>43725</v>
      </c>
      <c r="C2427" s="251">
        <v>122</v>
      </c>
      <c r="D2427" s="251">
        <f t="shared" si="77"/>
        <v>-0.67505659874816881</v>
      </c>
      <c r="E2427" s="251">
        <v>-5.1321928460342107E-2</v>
      </c>
      <c r="G2427" s="251">
        <v>2418</v>
      </c>
      <c r="H2427" s="251">
        <f t="shared" ca="1" si="78"/>
        <v>-2.3414718643224846E-2</v>
      </c>
    </row>
    <row r="2428" spans="2:8">
      <c r="B2428" s="252">
        <v>43137</v>
      </c>
      <c r="C2428" s="251">
        <v>375.45</v>
      </c>
      <c r="D2428" s="251">
        <f t="shared" si="77"/>
        <v>1.12599093997735</v>
      </c>
      <c r="E2428" s="251">
        <v>-5.1414855987872717E-2</v>
      </c>
      <c r="G2428" s="251">
        <v>2419</v>
      </c>
      <c r="H2428" s="251">
        <f t="shared" ca="1" si="78"/>
        <v>1.6721664725868206E-2</v>
      </c>
    </row>
    <row r="2429" spans="2:8">
      <c r="B2429" s="252">
        <v>43861</v>
      </c>
      <c r="C2429" s="251">
        <v>176.6</v>
      </c>
      <c r="D2429" s="251">
        <f t="shared" si="77"/>
        <v>-0.36095531029491595</v>
      </c>
      <c r="E2429" s="251">
        <v>-5.1557465091299652E-2</v>
      </c>
      <c r="G2429" s="251">
        <v>2420</v>
      </c>
      <c r="H2429" s="251">
        <f t="shared" ca="1" si="78"/>
        <v>-1.0589948748898015E-2</v>
      </c>
    </row>
    <row r="2430" spans="2:8">
      <c r="B2430" s="252">
        <v>42411</v>
      </c>
      <c r="C2430" s="251">
        <v>276.35000000000002</v>
      </c>
      <c r="D2430" s="251">
        <f t="shared" si="77"/>
        <v>1.2331313131313133</v>
      </c>
      <c r="E2430" s="251">
        <v>-5.2135139770193753E-2</v>
      </c>
      <c r="G2430" s="251">
        <v>2421</v>
      </c>
      <c r="H2430" s="251">
        <f t="shared" ca="1" si="78"/>
        <v>-1.6489087943627374E-3</v>
      </c>
    </row>
    <row r="2431" spans="2:8">
      <c r="B2431" s="252">
        <v>43682</v>
      </c>
      <c r="C2431" s="251">
        <v>123.75</v>
      </c>
      <c r="D2431" s="251">
        <f t="shared" si="77"/>
        <v>-0.6064557163301002</v>
      </c>
      <c r="E2431" s="251">
        <v>-5.3175210405508717E-2</v>
      </c>
      <c r="G2431" s="251">
        <v>2422</v>
      </c>
      <c r="H2431" s="251">
        <f t="shared" ca="1" si="78"/>
        <v>2.3865764616044342E-2</v>
      </c>
    </row>
    <row r="2432" spans="2:8">
      <c r="B2432" s="252">
        <v>44335</v>
      </c>
      <c r="C2432" s="251">
        <v>314.45</v>
      </c>
      <c r="D2432" s="251">
        <f t="shared" si="77"/>
        <v>-0.34747873002697655</v>
      </c>
      <c r="E2432" s="251">
        <v>-5.4143480222589864E-2</v>
      </c>
      <c r="G2432" s="251">
        <v>2423</v>
      </c>
      <c r="H2432" s="251">
        <f t="shared" ca="1" si="78"/>
        <v>1.5183942114562461E-2</v>
      </c>
    </row>
    <row r="2433" spans="2:8">
      <c r="B2433" s="252">
        <v>44488</v>
      </c>
      <c r="C2433" s="251">
        <v>481.9</v>
      </c>
      <c r="D2433" s="251">
        <f t="shared" si="77"/>
        <v>2.2165659136705883E-2</v>
      </c>
      <c r="E2433" s="251">
        <v>-5.4356357927786585E-2</v>
      </c>
      <c r="G2433" s="251">
        <v>2424</v>
      </c>
      <c r="H2433" s="251">
        <f t="shared" ca="1" si="78"/>
        <v>8.1168545774567193E-3</v>
      </c>
    </row>
    <row r="2434" spans="2:8">
      <c r="B2434" s="252">
        <v>44606</v>
      </c>
      <c r="C2434" s="251">
        <v>471.45</v>
      </c>
      <c r="D2434" s="251">
        <f t="shared" si="77"/>
        <v>0.91685301890628179</v>
      </c>
      <c r="E2434" s="251">
        <v>-5.4926330560288728E-2</v>
      </c>
      <c r="G2434" s="251">
        <v>2425</v>
      </c>
      <c r="H2434" s="251">
        <f t="shared" ca="1" si="78"/>
        <v>1.8622760555033192E-2</v>
      </c>
    </row>
    <row r="2435" spans="2:8">
      <c r="B2435" s="252">
        <v>44214</v>
      </c>
      <c r="C2435" s="251">
        <v>245.95</v>
      </c>
      <c r="D2435" s="251">
        <f t="shared" si="77"/>
        <v>-0.57576541612764121</v>
      </c>
      <c r="E2435" s="251">
        <v>-5.5128697656550221E-2</v>
      </c>
      <c r="G2435" s="251">
        <v>2426</v>
      </c>
      <c r="H2435" s="251">
        <f t="shared" ca="1" si="78"/>
        <v>1.1739247691055062E-2</v>
      </c>
    </row>
    <row r="2436" spans="2:8">
      <c r="B2436" s="252">
        <v>45754</v>
      </c>
      <c r="C2436" s="251">
        <v>579.75</v>
      </c>
      <c r="D2436" s="251">
        <f t="shared" si="77"/>
        <v>0.47144670050761422</v>
      </c>
      <c r="E2436" s="251">
        <v>-5.5551030382015185E-2</v>
      </c>
      <c r="G2436" s="251">
        <v>2427</v>
      </c>
      <c r="H2436" s="251">
        <f t="shared" ca="1" si="78"/>
        <v>-3.9262698906349328E-2</v>
      </c>
    </row>
    <row r="2437" spans="2:8">
      <c r="B2437" s="252">
        <v>44627</v>
      </c>
      <c r="C2437" s="251">
        <v>394</v>
      </c>
      <c r="D2437" s="251">
        <f t="shared" si="77"/>
        <v>-0.41066487173734195</v>
      </c>
      <c r="E2437" s="251">
        <v>-5.5721989215098862E-2</v>
      </c>
      <c r="G2437" s="251">
        <v>2428</v>
      </c>
      <c r="H2437" s="251">
        <f t="shared" ca="1" si="78"/>
        <v>5.2428592911562197E-3</v>
      </c>
    </row>
    <row r="2438" spans="2:8">
      <c r="B2438" s="252">
        <v>45743</v>
      </c>
      <c r="C2438" s="251">
        <v>668.55</v>
      </c>
      <c r="D2438" s="251">
        <f t="shared" si="77"/>
        <v>6.0559366754617407</v>
      </c>
      <c r="E2438" s="251">
        <v>-5.6053653370984884E-2</v>
      </c>
      <c r="G2438" s="251">
        <v>2429</v>
      </c>
      <c r="H2438" s="251">
        <f t="shared" ca="1" si="78"/>
        <v>1.1751494158809521E-2</v>
      </c>
    </row>
    <row r="2439" spans="2:8">
      <c r="B2439" s="252">
        <v>43998</v>
      </c>
      <c r="C2439" s="251">
        <v>94.75</v>
      </c>
      <c r="D2439" s="251">
        <f t="shared" si="77"/>
        <v>-0.90294991293659732</v>
      </c>
      <c r="E2439" s="251">
        <v>-5.721393034825871E-2</v>
      </c>
      <c r="G2439" s="251">
        <v>2430</v>
      </c>
      <c r="H2439" s="251">
        <f t="shared" ca="1" si="78"/>
        <v>1.8411788944018622E-2</v>
      </c>
    </row>
    <row r="2440" spans="2:8">
      <c r="B2440" s="252">
        <v>45546</v>
      </c>
      <c r="C2440" s="251">
        <v>976.3</v>
      </c>
      <c r="D2440" s="251">
        <f t="shared" si="77"/>
        <v>6.9341731003657054</v>
      </c>
      <c r="E2440" s="251">
        <v>-5.7443521915427689E-2</v>
      </c>
      <c r="G2440" s="251">
        <v>2431</v>
      </c>
      <c r="H2440" s="251">
        <f t="shared" ca="1" si="78"/>
        <v>1.7283023032199772E-2</v>
      </c>
    </row>
    <row r="2441" spans="2:8">
      <c r="B2441" s="252">
        <v>43733</v>
      </c>
      <c r="C2441" s="251">
        <v>123.05</v>
      </c>
      <c r="D2441" s="251">
        <f t="shared" si="77"/>
        <v>0.57857601026298899</v>
      </c>
      <c r="E2441" s="251">
        <v>-5.9969442322383562E-2</v>
      </c>
      <c r="G2441" s="251">
        <v>2432</v>
      </c>
      <c r="H2441" s="251">
        <f t="shared" ca="1" si="78"/>
        <v>-7.8580066241468356E-3</v>
      </c>
    </row>
    <row r="2442" spans="2:8">
      <c r="B2442" s="252">
        <v>43907</v>
      </c>
      <c r="C2442" s="251">
        <v>77.95</v>
      </c>
      <c r="D2442" s="251">
        <f t="shared" ref="D2442:D2482" si="79">(C2442-C2443)/C2443</f>
        <v>-0.73064961990324817</v>
      </c>
      <c r="E2442" s="251">
        <v>-6.027727546714888E-2</v>
      </c>
      <c r="G2442" s="251">
        <v>2433</v>
      </c>
      <c r="H2442" s="251">
        <f t="shared" ca="1" si="78"/>
        <v>1.0412658639355821E-3</v>
      </c>
    </row>
    <row r="2443" spans="2:8">
      <c r="B2443" s="252">
        <v>43276</v>
      </c>
      <c r="C2443" s="251">
        <v>289.39999999999998</v>
      </c>
      <c r="D2443" s="251">
        <f t="shared" si="79"/>
        <v>-0.26970828706974864</v>
      </c>
      <c r="E2443" s="251">
        <v>-6.0389610389610465E-2</v>
      </c>
      <c r="G2443" s="251">
        <v>2434</v>
      </c>
      <c r="H2443" s="251">
        <f t="shared" ref="H2443:H2482" ca="1" si="80">_xlfn.NORM.INV(RAND(),N$12,N$13)</f>
        <v>2.7496939559295521E-2</v>
      </c>
    </row>
    <row r="2444" spans="2:8">
      <c r="B2444" s="252">
        <v>44830</v>
      </c>
      <c r="C2444" s="251">
        <v>396.28</v>
      </c>
      <c r="D2444" s="251">
        <f t="shared" si="79"/>
        <v>0.39045614035087711</v>
      </c>
      <c r="E2444" s="251">
        <v>-6.0502607871029013E-2</v>
      </c>
      <c r="G2444" s="251">
        <v>2435</v>
      </c>
      <c r="H2444" s="251">
        <f t="shared" ca="1" si="80"/>
        <v>2.1472128901690996E-2</v>
      </c>
    </row>
    <row r="2445" spans="2:8">
      <c r="B2445" s="252">
        <v>42275</v>
      </c>
      <c r="C2445" s="251">
        <v>285</v>
      </c>
      <c r="D2445" s="251">
        <f t="shared" si="79"/>
        <v>-0.17042642992286425</v>
      </c>
      <c r="E2445" s="251">
        <v>-6.0646011865523992E-2</v>
      </c>
      <c r="G2445" s="251">
        <v>2436</v>
      </c>
      <c r="H2445" s="251">
        <f t="shared" ca="1" si="80"/>
        <v>1.8396731831181391E-2</v>
      </c>
    </row>
    <row r="2446" spans="2:8">
      <c r="B2446" s="252">
        <v>42376</v>
      </c>
      <c r="C2446" s="251">
        <v>343.55</v>
      </c>
      <c r="D2446" s="251">
        <f t="shared" si="79"/>
        <v>-0.44033558686975643</v>
      </c>
      <c r="E2446" s="251">
        <v>-6.1082262913364216E-2</v>
      </c>
      <c r="G2446" s="251">
        <v>2437</v>
      </c>
      <c r="H2446" s="251">
        <f t="shared" ca="1" si="80"/>
        <v>3.8251179051663989E-2</v>
      </c>
    </row>
    <row r="2447" spans="2:8">
      <c r="B2447" s="252">
        <v>45751</v>
      </c>
      <c r="C2447" s="251">
        <v>613.85</v>
      </c>
      <c r="D2447" s="251">
        <f t="shared" si="79"/>
        <v>1.1054707597324644</v>
      </c>
      <c r="E2447" s="251">
        <v>-6.1319672757856138E-2</v>
      </c>
      <c r="G2447" s="251">
        <v>2438</v>
      </c>
      <c r="H2447" s="251">
        <f t="shared" ca="1" si="80"/>
        <v>4.0081816024844522E-2</v>
      </c>
    </row>
    <row r="2448" spans="2:8">
      <c r="B2448" s="252">
        <v>42410</v>
      </c>
      <c r="C2448" s="251">
        <v>291.55</v>
      </c>
      <c r="D2448" s="251">
        <f t="shared" si="79"/>
        <v>-0.22676037660787693</v>
      </c>
      <c r="E2448" s="251">
        <v>-6.1483985192338539E-2</v>
      </c>
      <c r="G2448" s="251">
        <v>2439</v>
      </c>
      <c r="H2448" s="251">
        <f t="shared" ca="1" si="80"/>
        <v>-3.7674265979057514E-2</v>
      </c>
    </row>
    <row r="2449" spans="2:8">
      <c r="B2449" s="252">
        <v>42373</v>
      </c>
      <c r="C2449" s="251">
        <v>377.05</v>
      </c>
      <c r="D2449" s="251">
        <f t="shared" si="79"/>
        <v>1.2768719806763287</v>
      </c>
      <c r="E2449" s="251">
        <v>-6.1831301318735925E-2</v>
      </c>
      <c r="G2449" s="251">
        <v>2440</v>
      </c>
      <c r="H2449" s="251">
        <f t="shared" ca="1" si="80"/>
        <v>4.423816621907873E-2</v>
      </c>
    </row>
    <row r="2450" spans="2:8">
      <c r="B2450" s="252">
        <v>43862</v>
      </c>
      <c r="C2450" s="251">
        <v>165.6</v>
      </c>
      <c r="D2450" s="251">
        <f t="shared" si="79"/>
        <v>0.67441860465116266</v>
      </c>
      <c r="E2450" s="251">
        <v>-6.2287655719139301E-2</v>
      </c>
      <c r="G2450" s="251">
        <v>2441</v>
      </c>
      <c r="H2450" s="251">
        <f t="shared" ca="1" si="80"/>
        <v>-5.6703317495004006E-2</v>
      </c>
    </row>
    <row r="2451" spans="2:8">
      <c r="B2451" s="252">
        <v>43901</v>
      </c>
      <c r="C2451" s="251">
        <v>98.9</v>
      </c>
      <c r="D2451" s="251">
        <f t="shared" si="79"/>
        <v>-0.2809887313704108</v>
      </c>
      <c r="E2451" s="251">
        <v>-6.4333017975402057E-2</v>
      </c>
      <c r="G2451" s="251">
        <v>2442</v>
      </c>
      <c r="H2451" s="251">
        <f t="shared" ca="1" si="80"/>
        <v>4.5341770404503743E-3</v>
      </c>
    </row>
    <row r="2452" spans="2:8">
      <c r="B2452" s="252">
        <v>43675</v>
      </c>
      <c r="C2452" s="251">
        <v>137.55000000000001</v>
      </c>
      <c r="D2452" s="251">
        <f t="shared" si="79"/>
        <v>0.1201140065146581</v>
      </c>
      <c r="E2452" s="251">
        <v>-6.5239551478083552E-2</v>
      </c>
      <c r="G2452" s="251">
        <v>2443</v>
      </c>
      <c r="H2452" s="251">
        <f t="shared" ca="1" si="80"/>
        <v>3.7525836310771318E-2</v>
      </c>
    </row>
    <row r="2453" spans="2:8">
      <c r="B2453" s="252">
        <v>44098</v>
      </c>
      <c r="C2453" s="251">
        <v>122.8</v>
      </c>
      <c r="D2453" s="251">
        <f t="shared" si="79"/>
        <v>-0.7331594958713602</v>
      </c>
      <c r="E2453" s="251">
        <v>-6.5449010654490172E-2</v>
      </c>
      <c r="G2453" s="251">
        <v>2444</v>
      </c>
      <c r="H2453" s="251">
        <f t="shared" ca="1" si="80"/>
        <v>-1.8365577174806077E-2</v>
      </c>
    </row>
    <row r="2454" spans="2:8">
      <c r="B2454" s="252">
        <v>44526</v>
      </c>
      <c r="C2454" s="251">
        <v>460.2</v>
      </c>
      <c r="D2454" s="251">
        <f t="shared" si="79"/>
        <v>0.59431837865927606</v>
      </c>
      <c r="E2454" s="251">
        <v>-6.6057838660578405E-2</v>
      </c>
      <c r="G2454" s="251">
        <v>2445</v>
      </c>
      <c r="H2454" s="251">
        <f t="shared" ca="1" si="80"/>
        <v>-2.4076745456966281E-2</v>
      </c>
    </row>
    <row r="2455" spans="2:8">
      <c r="B2455" s="252">
        <v>43244</v>
      </c>
      <c r="C2455" s="251">
        <v>288.64999999999998</v>
      </c>
      <c r="D2455" s="251">
        <f t="shared" si="79"/>
        <v>-0.24397590361445792</v>
      </c>
      <c r="E2455" s="251">
        <v>-6.7216028437550535E-2</v>
      </c>
      <c r="G2455" s="251">
        <v>2446</v>
      </c>
      <c r="H2455" s="251">
        <f t="shared" ca="1" si="80"/>
        <v>1.5412300000866453E-2</v>
      </c>
    </row>
    <row r="2456" spans="2:8">
      <c r="B2456" s="252">
        <v>42494</v>
      </c>
      <c r="C2456" s="251">
        <v>381.8</v>
      </c>
      <c r="D2456" s="251">
        <f t="shared" si="79"/>
        <v>1.1595022624434388</v>
      </c>
      <c r="E2456" s="251">
        <v>-6.7984865128768376E-2</v>
      </c>
      <c r="G2456" s="251">
        <v>2447</v>
      </c>
      <c r="H2456" s="251">
        <f t="shared" ca="1" si="80"/>
        <v>2.8954920664904654E-2</v>
      </c>
    </row>
    <row r="2457" spans="2:8">
      <c r="B2457" s="252">
        <v>43606</v>
      </c>
      <c r="C2457" s="251">
        <v>176.8</v>
      </c>
      <c r="D2457" s="251">
        <f t="shared" si="79"/>
        <v>0.28628592215351056</v>
      </c>
      <c r="E2457" s="251">
        <v>-7.020773073889032E-2</v>
      </c>
      <c r="G2457" s="251">
        <v>2448</v>
      </c>
      <c r="H2457" s="251">
        <f t="shared" ca="1" si="80"/>
        <v>1.3122860652997748E-2</v>
      </c>
    </row>
    <row r="2458" spans="2:8">
      <c r="B2458" s="252">
        <v>44095</v>
      </c>
      <c r="C2458" s="251">
        <v>137.44999999999999</v>
      </c>
      <c r="D2458" s="251">
        <f t="shared" si="79"/>
        <v>0.84125920964500978</v>
      </c>
      <c r="E2458" s="251">
        <v>-7.0655848546315195E-2</v>
      </c>
      <c r="G2458" s="251">
        <v>2449</v>
      </c>
      <c r="H2458" s="251">
        <f t="shared" ca="1" si="80"/>
        <v>1.0245185821627886E-2</v>
      </c>
    </row>
    <row r="2459" spans="2:8">
      <c r="B2459" s="252">
        <v>43942</v>
      </c>
      <c r="C2459" s="251">
        <v>74.650000000000006</v>
      </c>
      <c r="D2459" s="251">
        <f t="shared" si="79"/>
        <v>-0.75782643957826434</v>
      </c>
      <c r="E2459" s="251">
        <v>-7.2094468614045948E-2</v>
      </c>
      <c r="G2459" s="251">
        <v>2450</v>
      </c>
      <c r="H2459" s="251">
        <f t="shared" ca="1" si="80"/>
        <v>-1.9423775649524079E-3</v>
      </c>
    </row>
    <row r="2460" spans="2:8">
      <c r="B2460" s="252">
        <v>42240</v>
      </c>
      <c r="C2460" s="251">
        <v>308.25</v>
      </c>
      <c r="D2460" s="251">
        <f t="shared" si="79"/>
        <v>-0.69673864922032569</v>
      </c>
      <c r="E2460" s="251">
        <v>-7.2653429602888023E-2</v>
      </c>
      <c r="G2460" s="251">
        <v>2451</v>
      </c>
      <c r="H2460" s="251">
        <f t="shared" ca="1" si="80"/>
        <v>-1.152436998223594E-2</v>
      </c>
    </row>
    <row r="2461" spans="2:8">
      <c r="B2461" s="252">
        <v>45509</v>
      </c>
      <c r="C2461" s="267">
        <v>1016.45</v>
      </c>
      <c r="D2461" s="251">
        <f t="shared" si="79"/>
        <v>0.45863528736456916</v>
      </c>
      <c r="E2461" s="251">
        <v>-7.3131810513837631E-2</v>
      </c>
      <c r="G2461" s="251">
        <v>2452</v>
      </c>
      <c r="H2461" s="251">
        <f t="shared" ca="1" si="80"/>
        <v>-1.8257268278670684E-2</v>
      </c>
    </row>
    <row r="2462" spans="2:8">
      <c r="B2462" s="252">
        <v>45687</v>
      </c>
      <c r="C2462" s="251">
        <v>696.85</v>
      </c>
      <c r="D2462" s="251">
        <f t="shared" si="79"/>
        <v>5.5927152317880795</v>
      </c>
      <c r="E2462" s="251">
        <v>-7.3953488372092993E-2</v>
      </c>
      <c r="G2462" s="251">
        <v>2453</v>
      </c>
      <c r="H2462" s="251">
        <f t="shared" ca="1" si="80"/>
        <v>2.2561732498889434E-2</v>
      </c>
    </row>
    <row r="2463" spans="2:8">
      <c r="B2463" s="252">
        <v>43899</v>
      </c>
      <c r="C2463" s="251">
        <v>105.7</v>
      </c>
      <c r="D2463" s="251">
        <f t="shared" si="79"/>
        <v>0.27426160337552741</v>
      </c>
      <c r="E2463" s="251">
        <v>-7.4430823117338007E-2</v>
      </c>
      <c r="G2463" s="251">
        <v>2454</v>
      </c>
      <c r="H2463" s="251">
        <f t="shared" ca="1" si="80"/>
        <v>1.5348423941213683E-2</v>
      </c>
    </row>
    <row r="2464" spans="2:8">
      <c r="B2464" s="252">
        <v>43906</v>
      </c>
      <c r="C2464" s="251">
        <v>82.95</v>
      </c>
      <c r="D2464" s="251">
        <f t="shared" si="79"/>
        <v>-0.81542056074766356</v>
      </c>
      <c r="E2464" s="251">
        <v>-7.5766016713091897E-2</v>
      </c>
      <c r="G2464" s="251">
        <v>2455</v>
      </c>
      <c r="H2464" s="251">
        <f t="shared" ca="1" si="80"/>
        <v>1.6084330341930624E-2</v>
      </c>
    </row>
    <row r="2465" spans="2:8">
      <c r="B2465" s="252">
        <v>42545</v>
      </c>
      <c r="C2465" s="251">
        <v>449.4</v>
      </c>
      <c r="D2465" s="251">
        <f t="shared" si="79"/>
        <v>1.6521097668928888</v>
      </c>
      <c r="E2465" s="251">
        <v>-7.9003996311097474E-2</v>
      </c>
      <c r="G2465" s="251">
        <v>2456</v>
      </c>
      <c r="H2465" s="251">
        <f t="shared" ca="1" si="80"/>
        <v>-3.1081079327028194E-2</v>
      </c>
    </row>
    <row r="2466" spans="2:8">
      <c r="B2466" s="252">
        <v>43600</v>
      </c>
      <c r="C2466" s="251">
        <v>169.45</v>
      </c>
      <c r="D2466" s="251">
        <f t="shared" si="79"/>
        <v>-0.82289924749163879</v>
      </c>
      <c r="E2466" s="251">
        <v>-8.1571815718157248E-2</v>
      </c>
      <c r="G2466" s="251">
        <v>2457</v>
      </c>
      <c r="H2466" s="251">
        <f t="shared" ca="1" si="80"/>
        <v>-4.3694864137451481E-2</v>
      </c>
    </row>
    <row r="2467" spans="2:8">
      <c r="B2467" s="252">
        <v>45425</v>
      </c>
      <c r="C2467" s="251">
        <v>956.8</v>
      </c>
      <c r="D2467" s="251">
        <f t="shared" si="79"/>
        <v>2.0192489744398863</v>
      </c>
      <c r="E2467" s="251">
        <v>-8.3024256538531668E-2</v>
      </c>
      <c r="G2467" s="251">
        <v>2458</v>
      </c>
      <c r="H2467" s="251">
        <f t="shared" ca="1" si="80"/>
        <v>-1.6093845360961409E-2</v>
      </c>
    </row>
    <row r="2468" spans="2:8">
      <c r="B2468" s="252">
        <v>44383</v>
      </c>
      <c r="C2468" s="251">
        <v>316.89999999999998</v>
      </c>
      <c r="D2468" s="251">
        <f t="shared" si="79"/>
        <v>-0.1664913203577065</v>
      </c>
      <c r="E2468" s="251">
        <v>-8.436867957237805E-2</v>
      </c>
      <c r="G2468" s="251">
        <v>2459</v>
      </c>
      <c r="H2468" s="251">
        <f t="shared" ca="1" si="80"/>
        <v>3.7059838594041038E-3</v>
      </c>
    </row>
    <row r="2469" spans="2:8">
      <c r="B2469" s="252">
        <v>42957</v>
      </c>
      <c r="C2469" s="251">
        <v>380.2</v>
      </c>
      <c r="D2469" s="251">
        <f t="shared" si="79"/>
        <v>1.310543907626861</v>
      </c>
      <c r="E2469" s="251">
        <v>-8.6167527941353253E-2</v>
      </c>
      <c r="G2469" s="251">
        <v>2460</v>
      </c>
      <c r="H2469" s="251">
        <f t="shared" ca="1" si="80"/>
        <v>1.5973086826713896E-2</v>
      </c>
    </row>
    <row r="2470" spans="2:8">
      <c r="B2470" s="252">
        <v>44186</v>
      </c>
      <c r="C2470" s="251">
        <v>164.55</v>
      </c>
      <c r="D2470" s="251">
        <f t="shared" si="79"/>
        <v>0.44089316987740812</v>
      </c>
      <c r="E2470" s="251">
        <v>-8.8618111326502352E-2</v>
      </c>
      <c r="G2470" s="251">
        <v>2461</v>
      </c>
      <c r="H2470" s="251">
        <f t="shared" ca="1" si="80"/>
        <v>-8.662880487022245E-3</v>
      </c>
    </row>
    <row r="2471" spans="2:8">
      <c r="B2471" s="252">
        <v>43896</v>
      </c>
      <c r="C2471" s="251">
        <v>114.2</v>
      </c>
      <c r="D2471" s="251">
        <f t="shared" si="79"/>
        <v>1.6014234875444813E-2</v>
      </c>
      <c r="E2471" s="251">
        <v>-9.1848906560636157E-2</v>
      </c>
      <c r="G2471" s="251">
        <v>2462</v>
      </c>
      <c r="H2471" s="251">
        <f t="shared" ca="1" si="80"/>
        <v>3.9992055149976552E-3</v>
      </c>
    </row>
    <row r="2472" spans="2:8">
      <c r="B2472" s="252">
        <v>43698</v>
      </c>
      <c r="C2472" s="251">
        <v>112.4</v>
      </c>
      <c r="D2472" s="251">
        <f t="shared" si="79"/>
        <v>-0.74246763661358683</v>
      </c>
      <c r="E2472" s="251">
        <v>-9.2450545014129915E-2</v>
      </c>
      <c r="G2472" s="251">
        <v>2463</v>
      </c>
      <c r="H2472" s="251">
        <f t="shared" ca="1" si="80"/>
        <v>-2.942807154943594E-3</v>
      </c>
    </row>
    <row r="2473" spans="2:8">
      <c r="B2473" s="252">
        <v>42781</v>
      </c>
      <c r="C2473" s="251">
        <v>436.45</v>
      </c>
      <c r="D2473" s="251">
        <f t="shared" si="79"/>
        <v>-4.5802361171840819E-2</v>
      </c>
      <c r="E2473" s="251">
        <v>-9.4595996265947557E-2</v>
      </c>
      <c r="G2473" s="251">
        <v>2464</v>
      </c>
      <c r="H2473" s="251">
        <f t="shared" ca="1" si="80"/>
        <v>-3.355969753066701E-2</v>
      </c>
    </row>
    <row r="2474" spans="2:8">
      <c r="B2474" s="252">
        <v>42689</v>
      </c>
      <c r="C2474" s="251">
        <v>457.4</v>
      </c>
      <c r="D2474" s="251">
        <f t="shared" si="79"/>
        <v>0.59623102425405672</v>
      </c>
      <c r="E2474" s="251">
        <v>-9.836388724620547E-2</v>
      </c>
      <c r="G2474" s="251">
        <v>2465</v>
      </c>
      <c r="H2474" s="251">
        <f t="shared" ca="1" si="80"/>
        <v>-1.061023213825135E-2</v>
      </c>
    </row>
    <row r="2475" spans="2:8">
      <c r="B2475" s="252">
        <v>44298</v>
      </c>
      <c r="C2475" s="251">
        <v>286.55</v>
      </c>
      <c r="D2475" s="251">
        <f t="shared" si="79"/>
        <v>2.4153754469606672</v>
      </c>
      <c r="E2475" s="251">
        <v>-9.9465744814581952E-2</v>
      </c>
      <c r="G2475" s="251">
        <v>2466</v>
      </c>
      <c r="H2475" s="251">
        <f t="shared" ca="1" si="80"/>
        <v>-1.784190807754691E-2</v>
      </c>
    </row>
    <row r="2476" spans="2:8">
      <c r="B2476" s="252">
        <v>43955</v>
      </c>
      <c r="C2476" s="251">
        <v>83.9</v>
      </c>
      <c r="D2476" s="251">
        <f t="shared" si="79"/>
        <v>-0.80394905946956408</v>
      </c>
      <c r="E2476" s="251">
        <v>-0.10026809651474525</v>
      </c>
      <c r="G2476" s="251">
        <v>2467</v>
      </c>
      <c r="H2476" s="251">
        <f t="shared" ca="1" si="80"/>
        <v>1.0001153839576027E-2</v>
      </c>
    </row>
    <row r="2477" spans="2:8">
      <c r="B2477" s="252">
        <v>44616</v>
      </c>
      <c r="C2477" s="251">
        <v>427.95</v>
      </c>
      <c r="D2477" s="251">
        <f t="shared" si="79"/>
        <v>3.8630681818181816</v>
      </c>
      <c r="E2477" s="251">
        <v>-0.1028301886792453</v>
      </c>
      <c r="G2477" s="251">
        <v>2468</v>
      </c>
      <c r="H2477" s="251">
        <f t="shared" ca="1" si="80"/>
        <v>-1.7912523307298468E-2</v>
      </c>
    </row>
    <row r="2478" spans="2:8">
      <c r="B2478" s="252">
        <v>43902</v>
      </c>
      <c r="C2478" s="251">
        <v>88</v>
      </c>
      <c r="D2478" s="251">
        <f t="shared" si="79"/>
        <v>-0.31756494765412946</v>
      </c>
      <c r="E2478" s="251">
        <v>-0.11021233569261886</v>
      </c>
      <c r="G2478" s="251">
        <v>2469</v>
      </c>
      <c r="H2478" s="251">
        <f t="shared" ca="1" si="80"/>
        <v>1.1467987738843121E-2</v>
      </c>
    </row>
    <row r="2479" spans="2:8">
      <c r="B2479" s="252">
        <v>43889</v>
      </c>
      <c r="C2479" s="251">
        <v>128.94999999999999</v>
      </c>
      <c r="D2479" s="251">
        <f t="shared" si="79"/>
        <v>-0.30051532411174403</v>
      </c>
      <c r="E2479" s="251">
        <v>-0.11222030981067134</v>
      </c>
      <c r="G2479" s="251">
        <v>2470</v>
      </c>
      <c r="H2479" s="251">
        <f t="shared" ca="1" si="80"/>
        <v>-4.5543268699021623E-2</v>
      </c>
    </row>
    <row r="2480" spans="2:8">
      <c r="B2480" s="252">
        <v>43382</v>
      </c>
      <c r="C2480" s="251">
        <v>184.35</v>
      </c>
      <c r="D2480" s="251">
        <f t="shared" si="79"/>
        <v>1.7847432024169183</v>
      </c>
      <c r="E2480" s="251">
        <v>-0.13185778196373912</v>
      </c>
      <c r="G2480" s="251">
        <v>2471</v>
      </c>
      <c r="H2480" s="251">
        <f t="shared" ca="1" si="80"/>
        <v>3.1711454241389762E-2</v>
      </c>
    </row>
    <row r="2481" spans="2:8">
      <c r="B2481" s="252">
        <v>43913</v>
      </c>
      <c r="C2481" s="251">
        <v>66.2</v>
      </c>
      <c r="D2481" s="251">
        <f t="shared" si="79"/>
        <v>-0.56071665560716655</v>
      </c>
      <c r="E2481" s="251">
        <v>-0.1435963777490297</v>
      </c>
      <c r="G2481" s="251">
        <v>2472</v>
      </c>
      <c r="H2481" s="251">
        <f t="shared" ca="1" si="80"/>
        <v>-1.5386721347516796E-2</v>
      </c>
    </row>
    <row r="2482" spans="2:8">
      <c r="B2482" s="252">
        <v>43504</v>
      </c>
      <c r="C2482" s="251">
        <v>150.69999999999999</v>
      </c>
      <c r="D2482" s="251" t="e">
        <f t="shared" si="79"/>
        <v>#DIV/0!</v>
      </c>
      <c r="E2482" s="251">
        <v>-0.17582718074924805</v>
      </c>
      <c r="G2482" s="251">
        <v>2473</v>
      </c>
      <c r="H2482" s="251">
        <f t="shared" ca="1" si="80"/>
        <v>-8.6851221871232006E-3</v>
      </c>
    </row>
    <row r="2483" spans="2:8">
      <c r="B2483" s="252"/>
      <c r="C2483" s="268"/>
    </row>
    <row r="2484" spans="2:8">
      <c r="B2484" s="252"/>
      <c r="C2484" s="268"/>
    </row>
    <row r="2485" spans="2:8">
      <c r="B2485" s="252"/>
      <c r="C2485" s="268"/>
    </row>
    <row r="2486" spans="2:8">
      <c r="B2486" s="252"/>
      <c r="C2486" s="268"/>
    </row>
    <row r="2487" spans="2:8">
      <c r="B2487" s="252"/>
      <c r="C2487" s="268"/>
    </row>
    <row r="2488" spans="2:8">
      <c r="B2488" s="252"/>
      <c r="C2488" s="268"/>
    </row>
    <row r="2489" spans="2:8">
      <c r="B2489" s="252"/>
      <c r="C2489" s="268"/>
    </row>
    <row r="2490" spans="2:8">
      <c r="B2490" s="252"/>
      <c r="C2490" s="268"/>
    </row>
    <row r="2491" spans="2:8">
      <c r="B2491" s="252"/>
      <c r="C2491" s="268"/>
    </row>
    <row r="2492" spans="2:8">
      <c r="B2492" s="252"/>
      <c r="C2492" s="268"/>
    </row>
    <row r="2493" spans="2:8">
      <c r="B2493" s="252"/>
      <c r="C2493" s="268"/>
    </row>
    <row r="2494" spans="2:8">
      <c r="B2494" s="252"/>
      <c r="C2494" s="268"/>
    </row>
    <row r="2495" spans="2:8">
      <c r="B2495" s="252"/>
      <c r="C2495" s="268"/>
    </row>
    <row r="2496" spans="2:8">
      <c r="B2496" s="252"/>
      <c r="C2496" s="268"/>
    </row>
    <row r="2497" spans="2:3">
      <c r="B2497" s="252"/>
      <c r="C2497" s="268"/>
    </row>
    <row r="2498" spans="2:3">
      <c r="B2498" s="252"/>
      <c r="C2498" s="268"/>
    </row>
    <row r="2499" spans="2:3">
      <c r="B2499" s="252"/>
      <c r="C2499" s="268"/>
    </row>
    <row r="2500" spans="2:3">
      <c r="B2500" s="252"/>
      <c r="C2500" s="268"/>
    </row>
    <row r="2501" spans="2:3">
      <c r="B2501" s="252"/>
      <c r="C2501" s="268"/>
    </row>
    <row r="2502" spans="2:3">
      <c r="B2502" s="252"/>
      <c r="C2502" s="268"/>
    </row>
    <row r="2503" spans="2:3">
      <c r="B2503" s="252"/>
      <c r="C2503" s="268"/>
    </row>
    <row r="2504" spans="2:3">
      <c r="B2504" s="252"/>
      <c r="C2504" s="268"/>
    </row>
    <row r="2505" spans="2:3">
      <c r="B2505" s="252"/>
      <c r="C2505" s="268"/>
    </row>
    <row r="2506" spans="2:3">
      <c r="B2506" s="252"/>
      <c r="C2506" s="268"/>
    </row>
    <row r="2507" spans="2:3">
      <c r="B2507" s="252"/>
      <c r="C2507" s="268"/>
    </row>
    <row r="2508" spans="2:3">
      <c r="B2508" s="252"/>
      <c r="C2508" s="268"/>
    </row>
    <row r="2509" spans="2:3">
      <c r="B2509" s="252"/>
      <c r="C2509" s="268"/>
    </row>
    <row r="2510" spans="2:3">
      <c r="B2510" s="252"/>
      <c r="C2510" s="268"/>
    </row>
    <row r="2511" spans="2:3">
      <c r="B2511" s="252"/>
      <c r="C2511" s="268"/>
    </row>
    <row r="2512" spans="2:3">
      <c r="B2512" s="252"/>
      <c r="C2512" s="268"/>
    </row>
    <row r="2513" spans="2:3">
      <c r="B2513" s="252"/>
      <c r="C2513" s="268"/>
    </row>
    <row r="2514" spans="2:3">
      <c r="B2514" s="252"/>
      <c r="C2514" s="268"/>
    </row>
    <row r="2515" spans="2:3">
      <c r="B2515" s="252"/>
      <c r="C2515" s="268"/>
    </row>
    <row r="2516" spans="2:3">
      <c r="B2516" s="252"/>
      <c r="C2516" s="268"/>
    </row>
    <row r="2517" spans="2:3">
      <c r="B2517" s="252"/>
      <c r="C2517" s="268"/>
    </row>
    <row r="2518" spans="2:3">
      <c r="B2518" s="252"/>
      <c r="C2518" s="268"/>
    </row>
    <row r="2519" spans="2:3">
      <c r="B2519" s="252"/>
      <c r="C2519" s="268"/>
    </row>
    <row r="2520" spans="2:3">
      <c r="B2520" s="252"/>
      <c r="C2520" s="268"/>
    </row>
    <row r="2521" spans="2:3">
      <c r="B2521" s="252"/>
      <c r="C2521" s="268"/>
    </row>
    <row r="2522" spans="2:3">
      <c r="B2522" s="252"/>
      <c r="C2522" s="268"/>
    </row>
    <row r="2523" spans="2:3">
      <c r="B2523" s="252"/>
      <c r="C2523" s="268"/>
    </row>
    <row r="2524" spans="2:3">
      <c r="B2524" s="252"/>
      <c r="C2524" s="268"/>
    </row>
    <row r="2525" spans="2:3">
      <c r="B2525" s="252"/>
      <c r="C2525" s="268"/>
    </row>
    <row r="2526" spans="2:3">
      <c r="B2526" s="252"/>
      <c r="C2526" s="268"/>
    </row>
    <row r="2527" spans="2:3">
      <c r="B2527" s="252"/>
      <c r="C2527" s="268"/>
    </row>
    <row r="2528" spans="2:3">
      <c r="B2528" s="252"/>
      <c r="C2528" s="268"/>
    </row>
    <row r="2529" spans="2:3">
      <c r="B2529" s="252"/>
      <c r="C2529" s="268"/>
    </row>
    <row r="2530" spans="2:3">
      <c r="B2530" s="252"/>
      <c r="C2530" s="268"/>
    </row>
    <row r="2531" spans="2:3">
      <c r="B2531" s="252"/>
      <c r="C2531" s="268"/>
    </row>
    <row r="2532" spans="2:3">
      <c r="B2532" s="252"/>
      <c r="C2532" s="268"/>
    </row>
    <row r="2533" spans="2:3">
      <c r="B2533" s="252"/>
      <c r="C2533" s="268"/>
    </row>
    <row r="2534" spans="2:3">
      <c r="B2534" s="252"/>
      <c r="C2534" s="268"/>
    </row>
    <row r="2535" spans="2:3">
      <c r="B2535" s="252"/>
      <c r="C2535" s="268"/>
    </row>
    <row r="2536" spans="2:3">
      <c r="B2536" s="252"/>
      <c r="C2536" s="268"/>
    </row>
    <row r="2537" spans="2:3">
      <c r="B2537" s="252"/>
      <c r="C2537" s="268"/>
    </row>
    <row r="2538" spans="2:3">
      <c r="B2538" s="252"/>
      <c r="C2538" s="268"/>
    </row>
    <row r="2539" spans="2:3">
      <c r="B2539" s="252"/>
      <c r="C2539" s="268"/>
    </row>
    <row r="2540" spans="2:3">
      <c r="B2540" s="252"/>
      <c r="C2540" s="268"/>
    </row>
    <row r="2541" spans="2:3">
      <c r="B2541" s="252"/>
      <c r="C2541" s="268"/>
    </row>
    <row r="2542" spans="2:3">
      <c r="B2542" s="252"/>
      <c r="C2542" s="268"/>
    </row>
    <row r="2543" spans="2:3">
      <c r="B2543" s="252"/>
      <c r="C2543" s="268"/>
    </row>
    <row r="2544" spans="2:3">
      <c r="B2544" s="252"/>
      <c r="C2544" s="268"/>
    </row>
    <row r="2545" spans="2:3">
      <c r="B2545" s="252"/>
      <c r="C2545" s="268"/>
    </row>
    <row r="2546" spans="2:3">
      <c r="B2546" s="252"/>
      <c r="C2546" s="268"/>
    </row>
    <row r="2547" spans="2:3">
      <c r="B2547" s="252"/>
      <c r="C2547" s="268"/>
    </row>
    <row r="2548" spans="2:3">
      <c r="B2548" s="252"/>
      <c r="C2548" s="268"/>
    </row>
    <row r="2549" spans="2:3">
      <c r="B2549" s="252"/>
      <c r="C2549" s="268"/>
    </row>
    <row r="2550" spans="2:3">
      <c r="B2550" s="252"/>
      <c r="C2550" s="268"/>
    </row>
    <row r="2551" spans="2:3">
      <c r="B2551" s="252"/>
      <c r="C2551" s="268"/>
    </row>
    <row r="2552" spans="2:3">
      <c r="B2552" s="252"/>
      <c r="C2552" s="268"/>
    </row>
    <row r="2553" spans="2:3">
      <c r="B2553" s="252"/>
      <c r="C2553" s="268"/>
    </row>
    <row r="2554" spans="2:3">
      <c r="B2554" s="252"/>
      <c r="C2554" s="268"/>
    </row>
    <row r="2555" spans="2:3">
      <c r="B2555" s="252"/>
      <c r="C2555" s="268"/>
    </row>
    <row r="2556" spans="2:3">
      <c r="B2556" s="252"/>
      <c r="C2556" s="268"/>
    </row>
    <row r="2557" spans="2:3">
      <c r="B2557" s="252"/>
      <c r="C2557" s="268"/>
    </row>
    <row r="2558" spans="2:3">
      <c r="B2558" s="252"/>
      <c r="C2558" s="268"/>
    </row>
    <row r="2559" spans="2:3">
      <c r="B2559" s="252"/>
      <c r="C2559" s="268"/>
    </row>
    <row r="2560" spans="2:3">
      <c r="B2560" s="252"/>
      <c r="C2560" s="268"/>
    </row>
    <row r="2561" spans="2:3">
      <c r="B2561" s="252"/>
      <c r="C2561" s="268"/>
    </row>
    <row r="2562" spans="2:3">
      <c r="B2562" s="252"/>
      <c r="C2562" s="268"/>
    </row>
    <row r="2563" spans="2:3">
      <c r="B2563" s="252"/>
      <c r="C2563" s="268"/>
    </row>
    <row r="2564" spans="2:3">
      <c r="B2564" s="252"/>
      <c r="C2564" s="268"/>
    </row>
    <row r="2565" spans="2:3">
      <c r="B2565" s="252"/>
      <c r="C2565" s="268"/>
    </row>
    <row r="2566" spans="2:3">
      <c r="B2566" s="252"/>
      <c r="C2566" s="268"/>
    </row>
    <row r="2567" spans="2:3">
      <c r="B2567" s="252"/>
      <c r="C2567" s="268"/>
    </row>
    <row r="2568" spans="2:3">
      <c r="B2568" s="252"/>
      <c r="C2568" s="268"/>
    </row>
    <row r="2569" spans="2:3">
      <c r="B2569" s="252"/>
      <c r="C2569" s="268"/>
    </row>
    <row r="2570" spans="2:3">
      <c r="B2570" s="252"/>
      <c r="C2570" s="268"/>
    </row>
    <row r="2571" spans="2:3">
      <c r="B2571" s="252"/>
      <c r="C2571" s="268"/>
    </row>
    <row r="2572" spans="2:3">
      <c r="B2572" s="252"/>
      <c r="C2572" s="268"/>
    </row>
    <row r="2573" spans="2:3">
      <c r="B2573" s="252"/>
      <c r="C2573" s="268"/>
    </row>
    <row r="2574" spans="2:3">
      <c r="B2574" s="252"/>
      <c r="C2574" s="268"/>
    </row>
    <row r="2575" spans="2:3">
      <c r="B2575" s="252"/>
      <c r="C2575" s="268"/>
    </row>
    <row r="2576" spans="2:3">
      <c r="B2576" s="252"/>
      <c r="C2576" s="268"/>
    </row>
    <row r="2577" spans="2:3">
      <c r="B2577" s="252"/>
      <c r="C2577" s="268"/>
    </row>
    <row r="2578" spans="2:3">
      <c r="B2578" s="252"/>
      <c r="C2578" s="268"/>
    </row>
    <row r="2579" spans="2:3">
      <c r="B2579" s="252"/>
      <c r="C2579" s="268"/>
    </row>
    <row r="2580" spans="2:3">
      <c r="B2580" s="252"/>
      <c r="C2580" s="268"/>
    </row>
    <row r="2581" spans="2:3">
      <c r="B2581" s="252"/>
      <c r="C2581" s="268"/>
    </row>
    <row r="2582" spans="2:3">
      <c r="B2582" s="252"/>
      <c r="C2582" s="268"/>
    </row>
    <row r="2583" spans="2:3">
      <c r="B2583" s="252"/>
      <c r="C2583" s="268"/>
    </row>
    <row r="2584" spans="2:3">
      <c r="B2584" s="252"/>
      <c r="C2584" s="268"/>
    </row>
    <row r="2585" spans="2:3">
      <c r="B2585" s="252"/>
      <c r="C2585" s="268"/>
    </row>
    <row r="2586" spans="2:3">
      <c r="B2586" s="252"/>
      <c r="C2586" s="268"/>
    </row>
    <row r="2587" spans="2:3">
      <c r="B2587" s="252"/>
      <c r="C2587" s="268"/>
    </row>
    <row r="2588" spans="2:3">
      <c r="B2588" s="252"/>
      <c r="C2588" s="268"/>
    </row>
    <row r="2589" spans="2:3">
      <c r="B2589" s="252"/>
      <c r="C2589" s="268"/>
    </row>
    <row r="2590" spans="2:3">
      <c r="B2590" s="252"/>
      <c r="C2590" s="268"/>
    </row>
    <row r="2591" spans="2:3">
      <c r="B2591" s="252"/>
      <c r="C2591" s="268"/>
    </row>
    <row r="2592" spans="2:3">
      <c r="B2592" s="252"/>
      <c r="C2592" s="268"/>
    </row>
    <row r="2593" spans="2:3">
      <c r="B2593" s="252"/>
      <c r="C2593" s="268"/>
    </row>
    <row r="2594" spans="2:3">
      <c r="B2594" s="252"/>
      <c r="C2594" s="268"/>
    </row>
    <row r="2595" spans="2:3">
      <c r="B2595" s="252"/>
      <c r="C2595" s="268"/>
    </row>
    <row r="2596" spans="2:3">
      <c r="B2596" s="252"/>
      <c r="C2596" s="268"/>
    </row>
    <row r="2597" spans="2:3">
      <c r="B2597" s="252"/>
      <c r="C2597" s="268"/>
    </row>
    <row r="2598" spans="2:3">
      <c r="B2598" s="252"/>
      <c r="C2598" s="268"/>
    </row>
    <row r="2599" spans="2:3">
      <c r="B2599" s="252"/>
      <c r="C2599" s="268"/>
    </row>
    <row r="2600" spans="2:3">
      <c r="B2600" s="252"/>
      <c r="C2600" s="268"/>
    </row>
    <row r="2601" spans="2:3">
      <c r="B2601" s="252"/>
      <c r="C2601" s="268"/>
    </row>
    <row r="2602" spans="2:3">
      <c r="B2602" s="252"/>
      <c r="C2602" s="268"/>
    </row>
    <row r="2603" spans="2:3">
      <c r="B2603" s="252"/>
      <c r="C2603" s="268"/>
    </row>
    <row r="2604" spans="2:3">
      <c r="B2604" s="252"/>
      <c r="C2604" s="268"/>
    </row>
    <row r="2605" spans="2:3">
      <c r="B2605" s="252"/>
      <c r="C2605" s="268"/>
    </row>
    <row r="2606" spans="2:3">
      <c r="B2606" s="252"/>
      <c r="C2606" s="268"/>
    </row>
    <row r="2607" spans="2:3">
      <c r="B2607" s="252"/>
      <c r="C2607" s="268"/>
    </row>
    <row r="2608" spans="2:3">
      <c r="B2608" s="252"/>
      <c r="C2608" s="268"/>
    </row>
    <row r="2609" spans="2:3">
      <c r="B2609" s="252"/>
      <c r="C2609" s="268"/>
    </row>
    <row r="2610" spans="2:3">
      <c r="B2610" s="252"/>
      <c r="C2610" s="268"/>
    </row>
    <row r="2611" spans="2:3">
      <c r="B2611" s="252"/>
      <c r="C2611" s="268"/>
    </row>
    <row r="2612" spans="2:3">
      <c r="B2612" s="252"/>
      <c r="C2612" s="268"/>
    </row>
    <row r="2613" spans="2:3">
      <c r="B2613" s="252"/>
      <c r="C2613" s="268"/>
    </row>
    <row r="2614" spans="2:3">
      <c r="B2614" s="252"/>
      <c r="C2614" s="268"/>
    </row>
    <row r="2615" spans="2:3">
      <c r="B2615" s="252"/>
      <c r="C2615" s="268"/>
    </row>
    <row r="2616" spans="2:3">
      <c r="B2616" s="252"/>
      <c r="C2616" s="268"/>
    </row>
    <row r="2617" spans="2:3">
      <c r="B2617" s="252"/>
      <c r="C2617" s="268"/>
    </row>
    <row r="2618" spans="2:3">
      <c r="B2618" s="252"/>
      <c r="C2618" s="268"/>
    </row>
    <row r="2619" spans="2:3">
      <c r="B2619" s="252"/>
      <c r="C2619" s="268"/>
    </row>
    <row r="2620" spans="2:3">
      <c r="B2620" s="252"/>
      <c r="C2620" s="268"/>
    </row>
    <row r="2621" spans="2:3">
      <c r="B2621" s="252"/>
      <c r="C2621" s="268"/>
    </row>
    <row r="2622" spans="2:3">
      <c r="B2622" s="252"/>
      <c r="C2622" s="268"/>
    </row>
    <row r="2623" spans="2:3">
      <c r="B2623" s="252"/>
      <c r="C2623" s="268"/>
    </row>
    <row r="2624" spans="2:3">
      <c r="B2624" s="252"/>
      <c r="C2624" s="268"/>
    </row>
    <row r="2625" spans="2:3">
      <c r="B2625" s="252"/>
      <c r="C2625" s="268"/>
    </row>
    <row r="2626" spans="2:3">
      <c r="B2626" s="252"/>
      <c r="C2626" s="268"/>
    </row>
    <row r="2627" spans="2:3">
      <c r="B2627" s="252"/>
      <c r="C2627" s="268"/>
    </row>
    <row r="2628" spans="2:3">
      <c r="B2628" s="252"/>
      <c r="C2628" s="268"/>
    </row>
    <row r="2629" spans="2:3">
      <c r="B2629" s="252"/>
      <c r="C2629" s="268"/>
    </row>
    <row r="2630" spans="2:3">
      <c r="B2630" s="252"/>
      <c r="C2630" s="268"/>
    </row>
    <row r="2631" spans="2:3">
      <c r="B2631" s="252"/>
      <c r="C2631" s="268"/>
    </row>
    <row r="2632" spans="2:3">
      <c r="B2632" s="252"/>
      <c r="C2632" s="268"/>
    </row>
    <row r="2633" spans="2:3">
      <c r="B2633" s="252"/>
      <c r="C2633" s="268"/>
    </row>
    <row r="2634" spans="2:3">
      <c r="B2634" s="252"/>
      <c r="C2634" s="268"/>
    </row>
    <row r="2635" spans="2:3">
      <c r="B2635" s="252"/>
      <c r="C2635" s="268"/>
    </row>
    <row r="2636" spans="2:3">
      <c r="B2636" s="252"/>
      <c r="C2636" s="268"/>
    </row>
    <row r="2637" spans="2:3">
      <c r="B2637" s="252"/>
      <c r="C2637" s="268"/>
    </row>
    <row r="2638" spans="2:3">
      <c r="B2638" s="252"/>
      <c r="C2638" s="268"/>
    </row>
    <row r="2639" spans="2:3">
      <c r="B2639" s="252"/>
      <c r="C2639" s="268"/>
    </row>
    <row r="2640" spans="2:3">
      <c r="B2640" s="252"/>
      <c r="C2640" s="268"/>
    </row>
    <row r="2641" spans="2:3">
      <c r="B2641" s="252"/>
      <c r="C2641" s="268"/>
    </row>
    <row r="2642" spans="2:3">
      <c r="B2642" s="252"/>
      <c r="C2642" s="268"/>
    </row>
    <row r="2643" spans="2:3">
      <c r="B2643" s="252"/>
      <c r="C2643" s="268"/>
    </row>
    <row r="2644" spans="2:3">
      <c r="B2644" s="252"/>
      <c r="C2644" s="268"/>
    </row>
    <row r="2645" spans="2:3">
      <c r="B2645" s="252"/>
      <c r="C2645" s="268"/>
    </row>
    <row r="2646" spans="2:3">
      <c r="B2646" s="252"/>
      <c r="C2646" s="268"/>
    </row>
    <row r="2647" spans="2:3">
      <c r="B2647" s="252"/>
      <c r="C2647" s="268"/>
    </row>
    <row r="2648" spans="2:3">
      <c r="B2648" s="252"/>
      <c r="C2648" s="268"/>
    </row>
    <row r="2649" spans="2:3">
      <c r="B2649" s="252"/>
      <c r="C2649" s="268"/>
    </row>
    <row r="2650" spans="2:3">
      <c r="B2650" s="252"/>
      <c r="C2650" s="268"/>
    </row>
    <row r="2651" spans="2:3">
      <c r="B2651" s="252"/>
      <c r="C2651" s="268"/>
    </row>
    <row r="2652" spans="2:3">
      <c r="B2652" s="252"/>
      <c r="C2652" s="268"/>
    </row>
    <row r="2653" spans="2:3">
      <c r="B2653" s="252"/>
      <c r="C2653" s="268"/>
    </row>
    <row r="2654" spans="2:3">
      <c r="B2654" s="252"/>
      <c r="C2654" s="268"/>
    </row>
    <row r="2655" spans="2:3">
      <c r="B2655" s="252"/>
      <c r="C2655" s="268"/>
    </row>
    <row r="2656" spans="2:3">
      <c r="B2656" s="252"/>
      <c r="C2656" s="268"/>
    </row>
    <row r="2657" spans="2:3">
      <c r="B2657" s="252"/>
      <c r="C2657" s="268"/>
    </row>
    <row r="2658" spans="2:3">
      <c r="B2658" s="252"/>
      <c r="C2658" s="268"/>
    </row>
    <row r="2659" spans="2:3">
      <c r="B2659" s="252"/>
      <c r="C2659" s="268"/>
    </row>
    <row r="2660" spans="2:3">
      <c r="B2660" s="252"/>
      <c r="C2660" s="268"/>
    </row>
    <row r="2661" spans="2:3">
      <c r="B2661" s="252"/>
      <c r="C2661" s="268"/>
    </row>
    <row r="2662" spans="2:3">
      <c r="B2662" s="252"/>
      <c r="C2662" s="268"/>
    </row>
    <row r="2663" spans="2:3">
      <c r="B2663" s="252"/>
      <c r="C2663" s="268"/>
    </row>
    <row r="2664" spans="2:3">
      <c r="B2664" s="252"/>
      <c r="C2664" s="268"/>
    </row>
    <row r="2665" spans="2:3">
      <c r="B2665" s="252"/>
      <c r="C2665" s="268"/>
    </row>
    <row r="2666" spans="2:3">
      <c r="B2666" s="252"/>
      <c r="C2666" s="268"/>
    </row>
    <row r="2667" spans="2:3">
      <c r="B2667" s="252"/>
      <c r="C2667" s="268"/>
    </row>
    <row r="2668" spans="2:3">
      <c r="B2668" s="252"/>
      <c r="C2668" s="268"/>
    </row>
    <row r="2669" spans="2:3">
      <c r="B2669" s="252"/>
      <c r="C2669" s="268"/>
    </row>
    <row r="2670" spans="2:3">
      <c r="B2670" s="252"/>
      <c r="C2670" s="268"/>
    </row>
    <row r="2671" spans="2:3">
      <c r="B2671" s="252"/>
      <c r="C2671" s="268"/>
    </row>
    <row r="2672" spans="2:3">
      <c r="B2672" s="252"/>
      <c r="C2672" s="268"/>
    </row>
    <row r="2673" spans="2:3">
      <c r="B2673" s="252"/>
      <c r="C2673" s="268"/>
    </row>
    <row r="2674" spans="2:3">
      <c r="B2674" s="252"/>
      <c r="C2674" s="268"/>
    </row>
    <row r="2675" spans="2:3">
      <c r="B2675" s="252"/>
      <c r="C2675" s="268"/>
    </row>
    <row r="2676" spans="2:3">
      <c r="B2676" s="252"/>
      <c r="C2676" s="268"/>
    </row>
    <row r="2677" spans="2:3">
      <c r="B2677" s="252"/>
      <c r="C2677" s="268"/>
    </row>
    <row r="2678" spans="2:3">
      <c r="B2678" s="252"/>
      <c r="C2678" s="268"/>
    </row>
    <row r="2679" spans="2:3">
      <c r="B2679" s="252"/>
      <c r="C2679" s="268"/>
    </row>
    <row r="2680" spans="2:3">
      <c r="B2680" s="252"/>
      <c r="C2680" s="268"/>
    </row>
    <row r="2681" spans="2:3">
      <c r="B2681" s="252"/>
      <c r="C2681" s="268"/>
    </row>
    <row r="2682" spans="2:3">
      <c r="B2682" s="252"/>
      <c r="C2682" s="268"/>
    </row>
    <row r="2683" spans="2:3">
      <c r="B2683" s="252"/>
      <c r="C2683" s="268"/>
    </row>
    <row r="2684" spans="2:3">
      <c r="B2684" s="252"/>
      <c r="C2684" s="268"/>
    </row>
    <row r="2685" spans="2:3">
      <c r="B2685" s="252"/>
      <c r="C2685" s="268"/>
    </row>
    <row r="2686" spans="2:3">
      <c r="B2686" s="252"/>
      <c r="C2686" s="268"/>
    </row>
    <row r="2687" spans="2:3">
      <c r="B2687" s="252"/>
      <c r="C2687" s="268"/>
    </row>
    <row r="2688" spans="2:3">
      <c r="B2688" s="252"/>
      <c r="C2688" s="268"/>
    </row>
    <row r="2689" spans="2:3">
      <c r="B2689" s="252"/>
      <c r="C2689" s="268"/>
    </row>
    <row r="2690" spans="2:3">
      <c r="B2690" s="252"/>
      <c r="C2690" s="268"/>
    </row>
    <row r="2691" spans="2:3">
      <c r="B2691" s="252"/>
      <c r="C2691" s="268"/>
    </row>
    <row r="2692" spans="2:3">
      <c r="B2692" s="252"/>
      <c r="C2692" s="268"/>
    </row>
    <row r="2693" spans="2:3">
      <c r="B2693" s="252"/>
      <c r="C2693" s="268"/>
    </row>
    <row r="2694" spans="2:3">
      <c r="B2694" s="252"/>
      <c r="C2694" s="268"/>
    </row>
    <row r="2695" spans="2:3">
      <c r="B2695" s="252"/>
      <c r="C2695" s="268"/>
    </row>
    <row r="2696" spans="2:3">
      <c r="B2696" s="252"/>
      <c r="C2696" s="268"/>
    </row>
    <row r="2697" spans="2:3">
      <c r="B2697" s="252"/>
      <c r="C2697" s="268"/>
    </row>
    <row r="2698" spans="2:3">
      <c r="B2698" s="252"/>
      <c r="C2698" s="268"/>
    </row>
    <row r="2699" spans="2:3">
      <c r="B2699" s="252"/>
      <c r="C2699" s="268"/>
    </row>
    <row r="2700" spans="2:3">
      <c r="B2700" s="252"/>
      <c r="C2700" s="268"/>
    </row>
    <row r="2701" spans="2:3">
      <c r="B2701" s="252"/>
      <c r="C2701" s="268"/>
    </row>
    <row r="2702" spans="2:3">
      <c r="B2702" s="252"/>
      <c r="C2702" s="268"/>
    </row>
    <row r="2703" spans="2:3">
      <c r="B2703" s="252"/>
      <c r="C2703" s="268"/>
    </row>
    <row r="2704" spans="2:3">
      <c r="B2704" s="252"/>
      <c r="C2704" s="268"/>
    </row>
    <row r="2705" spans="2:3">
      <c r="B2705" s="252"/>
      <c r="C2705" s="268"/>
    </row>
    <row r="2706" spans="2:3">
      <c r="B2706" s="252"/>
      <c r="C2706" s="268"/>
    </row>
    <row r="2707" spans="2:3">
      <c r="B2707" s="252"/>
      <c r="C2707" s="268"/>
    </row>
    <row r="2708" spans="2:3">
      <c r="B2708" s="252"/>
      <c r="C2708" s="268"/>
    </row>
    <row r="2709" spans="2:3">
      <c r="B2709" s="252"/>
      <c r="C2709" s="268"/>
    </row>
    <row r="2710" spans="2:3">
      <c r="B2710" s="252"/>
      <c r="C2710" s="268"/>
    </row>
    <row r="2711" spans="2:3">
      <c r="B2711" s="252"/>
      <c r="C2711" s="268"/>
    </row>
    <row r="2712" spans="2:3">
      <c r="B2712" s="252"/>
      <c r="C2712" s="268"/>
    </row>
    <row r="2713" spans="2:3">
      <c r="B2713" s="252"/>
      <c r="C2713" s="268"/>
    </row>
    <row r="2714" spans="2:3">
      <c r="B2714" s="252"/>
      <c r="C2714" s="268"/>
    </row>
    <row r="2715" spans="2:3">
      <c r="B2715" s="252"/>
      <c r="C2715" s="268"/>
    </row>
    <row r="2716" spans="2:3">
      <c r="B2716" s="252"/>
      <c r="C2716" s="268"/>
    </row>
    <row r="2717" spans="2:3">
      <c r="B2717" s="252"/>
      <c r="C2717" s="268"/>
    </row>
    <row r="2718" spans="2:3">
      <c r="B2718" s="252"/>
      <c r="C2718" s="268"/>
    </row>
    <row r="2719" spans="2:3">
      <c r="B2719" s="252"/>
      <c r="C2719" s="268"/>
    </row>
    <row r="2720" spans="2:3">
      <c r="B2720" s="252"/>
      <c r="C2720" s="268"/>
    </row>
    <row r="2721" spans="2:3">
      <c r="B2721" s="252"/>
      <c r="C2721" s="268"/>
    </row>
    <row r="2722" spans="2:3">
      <c r="B2722" s="252"/>
      <c r="C2722" s="268"/>
    </row>
    <row r="2723" spans="2:3">
      <c r="B2723" s="252"/>
      <c r="C2723" s="268"/>
    </row>
    <row r="2724" spans="2:3">
      <c r="B2724" s="252"/>
      <c r="C2724" s="268"/>
    </row>
    <row r="2725" spans="2:3">
      <c r="B2725" s="252"/>
      <c r="C2725" s="268"/>
    </row>
    <row r="2726" spans="2:3">
      <c r="B2726" s="252"/>
      <c r="C2726" s="268"/>
    </row>
    <row r="2727" spans="2:3">
      <c r="B2727" s="252"/>
      <c r="C2727" s="268"/>
    </row>
    <row r="2728" spans="2:3">
      <c r="B2728" s="252"/>
      <c r="C2728" s="268"/>
    </row>
    <row r="2729" spans="2:3">
      <c r="B2729" s="252"/>
      <c r="C2729" s="268"/>
    </row>
    <row r="2730" spans="2:3">
      <c r="B2730" s="252"/>
      <c r="C2730" s="268"/>
    </row>
    <row r="2731" spans="2:3">
      <c r="B2731" s="252"/>
      <c r="C2731" s="268"/>
    </row>
    <row r="2732" spans="2:3">
      <c r="B2732" s="252"/>
      <c r="C2732" s="268"/>
    </row>
    <row r="2733" spans="2:3">
      <c r="B2733" s="252"/>
      <c r="C2733" s="268"/>
    </row>
    <row r="2734" spans="2:3">
      <c r="B2734" s="252"/>
      <c r="C2734" s="268"/>
    </row>
    <row r="2735" spans="2:3">
      <c r="B2735" s="252"/>
      <c r="C2735" s="268"/>
    </row>
    <row r="2736" spans="2:3">
      <c r="B2736" s="252"/>
      <c r="C2736" s="268"/>
    </row>
    <row r="2737" spans="2:3">
      <c r="B2737" s="252"/>
      <c r="C2737" s="268"/>
    </row>
    <row r="2738" spans="2:3">
      <c r="B2738" s="252"/>
      <c r="C2738" s="268"/>
    </row>
    <row r="2739" spans="2:3">
      <c r="B2739" s="252"/>
      <c r="C2739" s="268"/>
    </row>
    <row r="2740" spans="2:3">
      <c r="B2740" s="252"/>
      <c r="C2740" s="268"/>
    </row>
    <row r="2741" spans="2:3">
      <c r="B2741" s="252"/>
      <c r="C2741" s="268"/>
    </row>
    <row r="2742" spans="2:3">
      <c r="B2742" s="252"/>
      <c r="C2742" s="268"/>
    </row>
    <row r="2743" spans="2:3">
      <c r="B2743" s="252"/>
      <c r="C2743" s="268"/>
    </row>
    <row r="2744" spans="2:3">
      <c r="B2744" s="252"/>
      <c r="C2744" s="268"/>
    </row>
    <row r="2745" spans="2:3">
      <c r="B2745" s="252"/>
      <c r="C2745" s="268"/>
    </row>
    <row r="2746" spans="2:3">
      <c r="B2746" s="252"/>
      <c r="C2746" s="268"/>
    </row>
    <row r="2747" spans="2:3">
      <c r="B2747" s="252"/>
      <c r="C2747" s="268"/>
    </row>
    <row r="2748" spans="2:3">
      <c r="B2748" s="252"/>
      <c r="C2748" s="268"/>
    </row>
    <row r="2749" spans="2:3">
      <c r="B2749" s="252"/>
      <c r="C2749" s="268"/>
    </row>
    <row r="2750" spans="2:3">
      <c r="B2750" s="252"/>
      <c r="C2750" s="268"/>
    </row>
    <row r="2751" spans="2:3">
      <c r="B2751" s="252"/>
      <c r="C2751" s="268"/>
    </row>
    <row r="2752" spans="2:3">
      <c r="B2752" s="252"/>
      <c r="C2752" s="268"/>
    </row>
    <row r="2753" spans="2:3">
      <c r="B2753" s="252"/>
      <c r="C2753" s="268"/>
    </row>
    <row r="2754" spans="2:3">
      <c r="B2754" s="252"/>
      <c r="C2754" s="268"/>
    </row>
    <row r="2755" spans="2:3">
      <c r="B2755" s="252"/>
      <c r="C2755" s="268"/>
    </row>
    <row r="2756" spans="2:3">
      <c r="B2756" s="252"/>
      <c r="C2756" s="268"/>
    </row>
    <row r="2757" spans="2:3">
      <c r="B2757" s="252"/>
      <c r="C2757" s="268"/>
    </row>
    <row r="2758" spans="2:3">
      <c r="B2758" s="252"/>
      <c r="C2758" s="268"/>
    </row>
    <row r="2759" spans="2:3">
      <c r="B2759" s="252"/>
      <c r="C2759" s="268"/>
    </row>
    <row r="2760" spans="2:3">
      <c r="B2760" s="252"/>
      <c r="C2760" s="268"/>
    </row>
    <row r="2761" spans="2:3">
      <c r="B2761" s="252"/>
      <c r="C2761" s="268"/>
    </row>
    <row r="2762" spans="2:3">
      <c r="B2762" s="252"/>
      <c r="C2762" s="268"/>
    </row>
    <row r="2763" spans="2:3">
      <c r="B2763" s="252"/>
      <c r="C2763" s="268"/>
    </row>
    <row r="2764" spans="2:3">
      <c r="B2764" s="252"/>
      <c r="C2764" s="268"/>
    </row>
    <row r="2765" spans="2:3">
      <c r="B2765" s="252"/>
      <c r="C2765" s="268"/>
    </row>
    <row r="2766" spans="2:3">
      <c r="B2766" s="252"/>
      <c r="C2766" s="268"/>
    </row>
    <row r="2767" spans="2:3">
      <c r="B2767" s="252"/>
      <c r="C2767" s="268"/>
    </row>
    <row r="2768" spans="2:3">
      <c r="B2768" s="252"/>
      <c r="C2768" s="268"/>
    </row>
    <row r="2769" spans="2:3">
      <c r="B2769" s="252"/>
      <c r="C2769" s="268"/>
    </row>
    <row r="2770" spans="2:3">
      <c r="B2770" s="252"/>
      <c r="C2770" s="268"/>
    </row>
    <row r="2771" spans="2:3">
      <c r="B2771" s="252"/>
      <c r="C2771" s="268"/>
    </row>
    <row r="2772" spans="2:3">
      <c r="B2772" s="252"/>
      <c r="C2772" s="268"/>
    </row>
    <row r="2773" spans="2:3">
      <c r="B2773" s="252"/>
      <c r="C2773" s="268"/>
    </row>
    <row r="2774" spans="2:3">
      <c r="B2774" s="252"/>
      <c r="C2774" s="268"/>
    </row>
    <row r="2775" spans="2:3">
      <c r="B2775" s="252"/>
      <c r="C2775" s="268"/>
    </row>
    <row r="2776" spans="2:3">
      <c r="B2776" s="252"/>
      <c r="C2776" s="268"/>
    </row>
    <row r="2777" spans="2:3">
      <c r="B2777" s="252"/>
      <c r="C2777" s="268"/>
    </row>
    <row r="2778" spans="2:3">
      <c r="B2778" s="252"/>
      <c r="C2778" s="268"/>
    </row>
    <row r="2779" spans="2:3">
      <c r="B2779" s="252"/>
      <c r="C2779" s="268"/>
    </row>
    <row r="2780" spans="2:3">
      <c r="B2780" s="252"/>
      <c r="C2780" s="268"/>
    </row>
    <row r="2781" spans="2:3">
      <c r="B2781" s="252"/>
      <c r="C2781" s="268"/>
    </row>
    <row r="2782" spans="2:3">
      <c r="B2782" s="252"/>
      <c r="C2782" s="268"/>
    </row>
    <row r="2783" spans="2:3">
      <c r="B2783" s="252"/>
      <c r="C2783" s="268"/>
    </row>
    <row r="2784" spans="2:3">
      <c r="B2784" s="252"/>
      <c r="C2784" s="268"/>
    </row>
    <row r="2785" spans="2:3">
      <c r="B2785" s="252"/>
      <c r="C2785" s="268"/>
    </row>
    <row r="2786" spans="2:3">
      <c r="B2786" s="252"/>
      <c r="C2786" s="268"/>
    </row>
    <row r="2787" spans="2:3">
      <c r="B2787" s="252"/>
      <c r="C2787" s="268"/>
    </row>
    <row r="2788" spans="2:3">
      <c r="B2788" s="252"/>
      <c r="C2788" s="268"/>
    </row>
    <row r="2789" spans="2:3">
      <c r="B2789" s="252"/>
      <c r="C2789" s="268"/>
    </row>
    <row r="2790" spans="2:3">
      <c r="B2790" s="252"/>
      <c r="C2790" s="268"/>
    </row>
    <row r="2791" spans="2:3">
      <c r="B2791" s="252"/>
      <c r="C2791" s="268"/>
    </row>
    <row r="2792" spans="2:3">
      <c r="B2792" s="252"/>
      <c r="C2792" s="268"/>
    </row>
    <row r="2793" spans="2:3">
      <c r="B2793" s="252"/>
      <c r="C2793" s="268"/>
    </row>
    <row r="2794" spans="2:3">
      <c r="B2794" s="252"/>
      <c r="C2794" s="268"/>
    </row>
    <row r="2795" spans="2:3">
      <c r="B2795" s="252"/>
      <c r="C2795" s="268"/>
    </row>
    <row r="2796" spans="2:3">
      <c r="B2796" s="252"/>
      <c r="C2796" s="268"/>
    </row>
    <row r="2797" spans="2:3">
      <c r="B2797" s="252"/>
      <c r="C2797" s="268"/>
    </row>
    <row r="2798" spans="2:3">
      <c r="B2798" s="252"/>
      <c r="C2798" s="268"/>
    </row>
    <row r="2799" spans="2:3">
      <c r="B2799" s="252"/>
      <c r="C2799" s="268"/>
    </row>
    <row r="2800" spans="2:3">
      <c r="B2800" s="252"/>
      <c r="C2800" s="268"/>
    </row>
    <row r="2801" spans="2:3">
      <c r="B2801" s="252"/>
      <c r="C2801" s="268"/>
    </row>
    <row r="2802" spans="2:3">
      <c r="B2802" s="252"/>
      <c r="C2802" s="268"/>
    </row>
    <row r="2803" spans="2:3">
      <c r="B2803" s="252"/>
      <c r="C2803" s="268"/>
    </row>
    <row r="2804" spans="2:3">
      <c r="B2804" s="252"/>
      <c r="C2804" s="268"/>
    </row>
    <row r="2805" spans="2:3">
      <c r="B2805" s="252"/>
      <c r="C2805" s="268"/>
    </row>
    <row r="2806" spans="2:3">
      <c r="B2806" s="252"/>
      <c r="C2806" s="268"/>
    </row>
    <row r="2807" spans="2:3">
      <c r="B2807" s="252"/>
      <c r="C2807" s="268"/>
    </row>
    <row r="2808" spans="2:3">
      <c r="B2808" s="252"/>
      <c r="C2808" s="268"/>
    </row>
    <row r="2809" spans="2:3">
      <c r="B2809" s="252"/>
      <c r="C2809" s="268"/>
    </row>
    <row r="2810" spans="2:3">
      <c r="B2810" s="252"/>
      <c r="C2810" s="268"/>
    </row>
    <row r="2811" spans="2:3">
      <c r="B2811" s="252"/>
      <c r="C2811" s="268"/>
    </row>
    <row r="2812" spans="2:3">
      <c r="B2812" s="252"/>
      <c r="C2812" s="268"/>
    </row>
    <row r="2813" spans="2:3">
      <c r="B2813" s="252"/>
      <c r="C2813" s="268"/>
    </row>
    <row r="2814" spans="2:3">
      <c r="B2814" s="252"/>
      <c r="C2814" s="268"/>
    </row>
    <row r="2815" spans="2:3">
      <c r="B2815" s="252"/>
      <c r="C2815" s="268"/>
    </row>
    <row r="2816" spans="2:3">
      <c r="B2816" s="252"/>
      <c r="C2816" s="268"/>
    </row>
    <row r="2817" spans="2:3">
      <c r="B2817" s="252"/>
      <c r="C2817" s="268"/>
    </row>
    <row r="2818" spans="2:3">
      <c r="B2818" s="252"/>
      <c r="C2818" s="268"/>
    </row>
    <row r="2819" spans="2:3">
      <c r="B2819" s="252"/>
      <c r="C2819" s="268"/>
    </row>
    <row r="2820" spans="2:3">
      <c r="B2820" s="252"/>
      <c r="C2820" s="268"/>
    </row>
    <row r="2821" spans="2:3">
      <c r="B2821" s="252"/>
      <c r="C2821" s="268"/>
    </row>
    <row r="2822" spans="2:3">
      <c r="B2822" s="252"/>
      <c r="C2822" s="268"/>
    </row>
    <row r="2823" spans="2:3">
      <c r="B2823" s="252"/>
      <c r="C2823" s="268"/>
    </row>
    <row r="2824" spans="2:3">
      <c r="B2824" s="252"/>
      <c r="C2824" s="268"/>
    </row>
    <row r="2825" spans="2:3">
      <c r="B2825" s="252"/>
      <c r="C2825" s="268"/>
    </row>
    <row r="2826" spans="2:3">
      <c r="B2826" s="252"/>
      <c r="C2826" s="268"/>
    </row>
    <row r="2827" spans="2:3">
      <c r="B2827" s="252"/>
      <c r="C2827" s="268"/>
    </row>
    <row r="2828" spans="2:3">
      <c r="B2828" s="252"/>
      <c r="C2828" s="268"/>
    </row>
    <row r="2829" spans="2:3">
      <c r="B2829" s="252"/>
      <c r="C2829" s="268"/>
    </row>
    <row r="2830" spans="2:3">
      <c r="B2830" s="252"/>
      <c r="C2830" s="268"/>
    </row>
    <row r="2831" spans="2:3">
      <c r="B2831" s="252"/>
      <c r="C2831" s="268"/>
    </row>
    <row r="2832" spans="2:3">
      <c r="B2832" s="252"/>
      <c r="C2832" s="268"/>
    </row>
    <row r="2833" spans="2:3">
      <c r="B2833" s="252"/>
      <c r="C2833" s="268"/>
    </row>
    <row r="2834" spans="2:3">
      <c r="B2834" s="252"/>
      <c r="C2834" s="268"/>
    </row>
    <row r="2835" spans="2:3">
      <c r="B2835" s="252"/>
      <c r="C2835" s="268"/>
    </row>
    <row r="2836" spans="2:3">
      <c r="B2836" s="252"/>
      <c r="C2836" s="268"/>
    </row>
    <row r="2837" spans="2:3">
      <c r="B2837" s="252"/>
      <c r="C2837" s="268"/>
    </row>
    <row r="2838" spans="2:3">
      <c r="B2838" s="252"/>
      <c r="C2838" s="268"/>
    </row>
    <row r="2839" spans="2:3">
      <c r="B2839" s="252"/>
      <c r="C2839" s="268"/>
    </row>
    <row r="2840" spans="2:3">
      <c r="B2840" s="252"/>
      <c r="C2840" s="268"/>
    </row>
    <row r="2841" spans="2:3">
      <c r="B2841" s="252"/>
      <c r="C2841" s="268"/>
    </row>
    <row r="2842" spans="2:3">
      <c r="B2842" s="252"/>
      <c r="C2842" s="268"/>
    </row>
    <row r="2843" spans="2:3">
      <c r="B2843" s="252"/>
      <c r="C2843" s="268"/>
    </row>
    <row r="2844" spans="2:3">
      <c r="B2844" s="252"/>
      <c r="C2844" s="268"/>
    </row>
    <row r="2845" spans="2:3">
      <c r="B2845" s="252"/>
      <c r="C2845" s="268"/>
    </row>
    <row r="2846" spans="2:3">
      <c r="B2846" s="252"/>
      <c r="C2846" s="268"/>
    </row>
    <row r="2847" spans="2:3">
      <c r="B2847" s="252"/>
      <c r="C2847" s="268"/>
    </row>
    <row r="2848" spans="2:3">
      <c r="B2848" s="252"/>
      <c r="C2848" s="268"/>
    </row>
    <row r="2849" spans="2:3">
      <c r="B2849" s="252"/>
      <c r="C2849" s="268"/>
    </row>
    <row r="2850" spans="2:3">
      <c r="B2850" s="252"/>
      <c r="C2850" s="268"/>
    </row>
    <row r="2851" spans="2:3">
      <c r="B2851" s="252"/>
      <c r="C2851" s="268"/>
    </row>
    <row r="2852" spans="2:3">
      <c r="B2852" s="252"/>
      <c r="C2852" s="268"/>
    </row>
    <row r="2853" spans="2:3">
      <c r="B2853" s="252"/>
      <c r="C2853" s="268"/>
    </row>
    <row r="2854" spans="2:3">
      <c r="B2854" s="252"/>
      <c r="C2854" s="268"/>
    </row>
    <row r="2855" spans="2:3">
      <c r="B2855" s="252"/>
      <c r="C2855" s="268"/>
    </row>
    <row r="2856" spans="2:3">
      <c r="B2856" s="252"/>
      <c r="C2856" s="268"/>
    </row>
    <row r="2857" spans="2:3">
      <c r="B2857" s="252"/>
      <c r="C2857" s="268"/>
    </row>
    <row r="2858" spans="2:3">
      <c r="B2858" s="252"/>
      <c r="C2858" s="268"/>
    </row>
    <row r="2859" spans="2:3">
      <c r="B2859" s="252"/>
      <c r="C2859" s="268"/>
    </row>
    <row r="2860" spans="2:3">
      <c r="B2860" s="252"/>
      <c r="C2860" s="268"/>
    </row>
    <row r="2861" spans="2:3">
      <c r="B2861" s="252"/>
      <c r="C2861" s="268"/>
    </row>
    <row r="2862" spans="2:3">
      <c r="B2862" s="252"/>
      <c r="C2862" s="268"/>
    </row>
    <row r="2863" spans="2:3">
      <c r="B2863" s="252"/>
      <c r="C2863" s="268"/>
    </row>
    <row r="2864" spans="2:3">
      <c r="B2864" s="252"/>
      <c r="C2864" s="268"/>
    </row>
    <row r="2865" spans="2:3">
      <c r="B2865" s="252"/>
      <c r="C2865" s="268"/>
    </row>
    <row r="2866" spans="2:3">
      <c r="B2866" s="252"/>
      <c r="C2866" s="268"/>
    </row>
    <row r="2867" spans="2:3">
      <c r="B2867" s="252"/>
      <c r="C2867" s="268"/>
    </row>
    <row r="2868" spans="2:3">
      <c r="B2868" s="252"/>
      <c r="C2868" s="268"/>
    </row>
    <row r="2869" spans="2:3">
      <c r="B2869" s="252"/>
      <c r="C2869" s="268"/>
    </row>
    <row r="2870" spans="2:3">
      <c r="B2870" s="252"/>
      <c r="C2870" s="268"/>
    </row>
    <row r="2871" spans="2:3">
      <c r="B2871" s="252"/>
      <c r="C2871" s="268"/>
    </row>
    <row r="2872" spans="2:3">
      <c r="B2872" s="252"/>
      <c r="C2872" s="268"/>
    </row>
    <row r="2873" spans="2:3">
      <c r="B2873" s="252"/>
      <c r="C2873" s="268"/>
    </row>
    <row r="2874" spans="2:3">
      <c r="B2874" s="252"/>
      <c r="C2874" s="268"/>
    </row>
    <row r="2875" spans="2:3">
      <c r="B2875" s="252"/>
      <c r="C2875" s="268"/>
    </row>
    <row r="2876" spans="2:3">
      <c r="B2876" s="252"/>
      <c r="C2876" s="268"/>
    </row>
    <row r="2877" spans="2:3">
      <c r="B2877" s="252"/>
      <c r="C2877" s="268"/>
    </row>
    <row r="2878" spans="2:3">
      <c r="B2878" s="252"/>
      <c r="C2878" s="268"/>
    </row>
    <row r="2879" spans="2:3">
      <c r="B2879" s="252"/>
      <c r="C2879" s="268"/>
    </row>
    <row r="2880" spans="2:3">
      <c r="B2880" s="252"/>
      <c r="C2880" s="268"/>
    </row>
    <row r="2881" spans="2:3">
      <c r="B2881" s="252"/>
      <c r="C2881" s="268"/>
    </row>
    <row r="2882" spans="2:3">
      <c r="B2882" s="252"/>
      <c r="C2882" s="268"/>
    </row>
    <row r="2883" spans="2:3">
      <c r="B2883" s="252"/>
      <c r="C2883" s="268"/>
    </row>
    <row r="2884" spans="2:3">
      <c r="B2884" s="252"/>
      <c r="C2884" s="268"/>
    </row>
    <row r="2885" spans="2:3">
      <c r="B2885" s="252"/>
      <c r="C2885" s="268"/>
    </row>
    <row r="2886" spans="2:3">
      <c r="B2886" s="252"/>
      <c r="C2886" s="268"/>
    </row>
    <row r="2887" spans="2:3">
      <c r="B2887" s="252"/>
      <c r="C2887" s="268"/>
    </row>
    <row r="2888" spans="2:3">
      <c r="B2888" s="252"/>
      <c r="C2888" s="268"/>
    </row>
    <row r="2889" spans="2:3">
      <c r="B2889" s="252"/>
      <c r="C2889" s="268"/>
    </row>
    <row r="2890" spans="2:3">
      <c r="B2890" s="252"/>
      <c r="C2890" s="268"/>
    </row>
    <row r="2891" spans="2:3">
      <c r="B2891" s="252"/>
      <c r="C2891" s="268"/>
    </row>
    <row r="2892" spans="2:3">
      <c r="B2892" s="252"/>
      <c r="C2892" s="268"/>
    </row>
    <row r="2893" spans="2:3">
      <c r="B2893" s="252"/>
      <c r="C2893" s="268"/>
    </row>
    <row r="2894" spans="2:3">
      <c r="B2894" s="252"/>
      <c r="C2894" s="268"/>
    </row>
    <row r="2895" spans="2:3">
      <c r="B2895" s="252"/>
      <c r="C2895" s="268"/>
    </row>
    <row r="2896" spans="2:3">
      <c r="B2896" s="252"/>
      <c r="C2896" s="268"/>
    </row>
    <row r="2897" spans="2:3">
      <c r="B2897" s="252"/>
      <c r="C2897" s="268"/>
    </row>
    <row r="2898" spans="2:3">
      <c r="B2898" s="252"/>
      <c r="C2898" s="268"/>
    </row>
    <row r="2899" spans="2:3">
      <c r="B2899" s="252"/>
      <c r="C2899" s="268"/>
    </row>
    <row r="2900" spans="2:3">
      <c r="B2900" s="252"/>
      <c r="C2900" s="268"/>
    </row>
    <row r="2901" spans="2:3">
      <c r="B2901" s="252"/>
      <c r="C2901" s="268"/>
    </row>
    <row r="2902" spans="2:3">
      <c r="B2902" s="252"/>
      <c r="C2902" s="268"/>
    </row>
    <row r="2903" spans="2:3">
      <c r="B2903" s="252"/>
      <c r="C2903" s="268"/>
    </row>
    <row r="2904" spans="2:3">
      <c r="B2904" s="252"/>
      <c r="C2904" s="268"/>
    </row>
    <row r="2905" spans="2:3">
      <c r="B2905" s="252"/>
      <c r="C2905" s="268"/>
    </row>
    <row r="2906" spans="2:3">
      <c r="B2906" s="252"/>
      <c r="C2906" s="268"/>
    </row>
    <row r="2907" spans="2:3">
      <c r="B2907" s="252"/>
      <c r="C2907" s="268"/>
    </row>
    <row r="2908" spans="2:3">
      <c r="B2908" s="252"/>
      <c r="C2908" s="268"/>
    </row>
    <row r="2909" spans="2:3">
      <c r="B2909" s="252"/>
      <c r="C2909" s="268"/>
    </row>
    <row r="2910" spans="2:3">
      <c r="B2910" s="252"/>
      <c r="C2910" s="268"/>
    </row>
    <row r="2911" spans="2:3">
      <c r="B2911" s="252"/>
      <c r="C2911" s="268"/>
    </row>
    <row r="2912" spans="2:3">
      <c r="B2912" s="252"/>
      <c r="C2912" s="268"/>
    </row>
    <row r="2913" spans="2:3">
      <c r="B2913" s="252"/>
      <c r="C2913" s="268"/>
    </row>
    <row r="2914" spans="2:3">
      <c r="B2914" s="252"/>
      <c r="C2914" s="268"/>
    </row>
    <row r="2915" spans="2:3">
      <c r="B2915" s="252"/>
      <c r="C2915" s="268"/>
    </row>
    <row r="2916" spans="2:3">
      <c r="B2916" s="252"/>
      <c r="C2916" s="268"/>
    </row>
    <row r="2917" spans="2:3">
      <c r="B2917" s="252"/>
      <c r="C2917" s="268"/>
    </row>
    <row r="2918" spans="2:3">
      <c r="B2918" s="252"/>
      <c r="C2918" s="268"/>
    </row>
    <row r="2919" spans="2:3">
      <c r="B2919" s="252"/>
      <c r="C2919" s="268"/>
    </row>
    <row r="2920" spans="2:3">
      <c r="B2920" s="252"/>
      <c r="C2920" s="268"/>
    </row>
    <row r="2921" spans="2:3">
      <c r="B2921" s="252"/>
      <c r="C2921" s="268"/>
    </row>
    <row r="2922" spans="2:3">
      <c r="B2922" s="252"/>
      <c r="C2922" s="268"/>
    </row>
    <row r="2923" spans="2:3">
      <c r="B2923" s="252"/>
      <c r="C2923" s="268"/>
    </row>
    <row r="2924" spans="2:3">
      <c r="B2924" s="252"/>
      <c r="C2924" s="268"/>
    </row>
    <row r="2925" spans="2:3">
      <c r="B2925" s="252"/>
      <c r="C2925" s="268"/>
    </row>
    <row r="2926" spans="2:3">
      <c r="B2926" s="252"/>
      <c r="C2926" s="268"/>
    </row>
    <row r="2927" spans="2:3">
      <c r="B2927" s="252"/>
      <c r="C2927" s="268"/>
    </row>
    <row r="2928" spans="2:3">
      <c r="B2928" s="252"/>
      <c r="C2928" s="268"/>
    </row>
    <row r="2929" spans="2:3">
      <c r="B2929" s="252"/>
      <c r="C2929" s="268"/>
    </row>
    <row r="2930" spans="2:3">
      <c r="B2930" s="252"/>
      <c r="C2930" s="268"/>
    </row>
    <row r="2931" spans="2:3">
      <c r="B2931" s="252"/>
      <c r="C2931" s="268"/>
    </row>
    <row r="2932" spans="2:3">
      <c r="B2932" s="252"/>
      <c r="C2932" s="268"/>
    </row>
    <row r="2933" spans="2:3">
      <c r="B2933" s="252"/>
      <c r="C2933" s="268"/>
    </row>
    <row r="2934" spans="2:3">
      <c r="B2934" s="252"/>
      <c r="C2934" s="268"/>
    </row>
    <row r="2935" spans="2:3">
      <c r="B2935" s="252"/>
      <c r="C2935" s="268"/>
    </row>
    <row r="2936" spans="2:3">
      <c r="B2936" s="252"/>
      <c r="C2936" s="268"/>
    </row>
    <row r="2937" spans="2:3">
      <c r="B2937" s="252"/>
      <c r="C2937" s="268"/>
    </row>
    <row r="2938" spans="2:3">
      <c r="B2938" s="252"/>
      <c r="C2938" s="268"/>
    </row>
    <row r="2939" spans="2:3">
      <c r="B2939" s="252"/>
      <c r="C2939" s="268"/>
    </row>
    <row r="2940" spans="2:3">
      <c r="B2940" s="252"/>
      <c r="C2940" s="268"/>
    </row>
    <row r="2941" spans="2:3">
      <c r="B2941" s="252"/>
      <c r="C2941" s="268"/>
    </row>
    <row r="2942" spans="2:3">
      <c r="B2942" s="252"/>
      <c r="C2942" s="268"/>
    </row>
    <row r="2943" spans="2:3">
      <c r="B2943" s="252"/>
      <c r="C2943" s="268"/>
    </row>
    <row r="2944" spans="2:3">
      <c r="B2944" s="252"/>
      <c r="C2944" s="268"/>
    </row>
    <row r="2945" spans="2:3">
      <c r="B2945" s="252"/>
      <c r="C2945" s="268"/>
    </row>
    <row r="2946" spans="2:3">
      <c r="B2946" s="252"/>
      <c r="C2946" s="268"/>
    </row>
    <row r="2947" spans="2:3">
      <c r="B2947" s="252"/>
      <c r="C2947" s="268"/>
    </row>
    <row r="2948" spans="2:3">
      <c r="B2948" s="252"/>
      <c r="C2948" s="268"/>
    </row>
    <row r="2949" spans="2:3">
      <c r="B2949" s="252"/>
      <c r="C2949" s="268"/>
    </row>
    <row r="2950" spans="2:3">
      <c r="B2950" s="252"/>
      <c r="C2950" s="268"/>
    </row>
    <row r="2951" spans="2:3">
      <c r="B2951" s="252"/>
      <c r="C2951" s="268"/>
    </row>
    <row r="2952" spans="2:3">
      <c r="B2952" s="252"/>
      <c r="C2952" s="268"/>
    </row>
    <row r="2953" spans="2:3">
      <c r="B2953" s="252"/>
      <c r="C2953" s="268"/>
    </row>
    <row r="2954" spans="2:3">
      <c r="B2954" s="252"/>
      <c r="C2954" s="268"/>
    </row>
    <row r="2955" spans="2:3">
      <c r="B2955" s="252"/>
      <c r="C2955" s="268"/>
    </row>
    <row r="2956" spans="2:3">
      <c r="B2956" s="252"/>
      <c r="C2956" s="268"/>
    </row>
    <row r="2957" spans="2:3">
      <c r="B2957" s="252"/>
      <c r="C2957" s="268"/>
    </row>
    <row r="2958" spans="2:3">
      <c r="B2958" s="252"/>
      <c r="C2958" s="268"/>
    </row>
    <row r="2959" spans="2:3">
      <c r="B2959" s="252"/>
      <c r="C2959" s="268"/>
    </row>
    <row r="2960" spans="2:3">
      <c r="B2960" s="252"/>
      <c r="C2960" s="268"/>
    </row>
    <row r="2961" spans="2:3">
      <c r="B2961" s="252"/>
      <c r="C2961" s="268"/>
    </row>
    <row r="2962" spans="2:3">
      <c r="B2962" s="252"/>
      <c r="C2962" s="268"/>
    </row>
    <row r="2963" spans="2:3">
      <c r="B2963" s="252"/>
      <c r="C2963" s="268"/>
    </row>
    <row r="2964" spans="2:3">
      <c r="B2964" s="252"/>
      <c r="C2964" s="268"/>
    </row>
    <row r="2965" spans="2:3">
      <c r="B2965" s="252"/>
      <c r="C2965" s="268"/>
    </row>
    <row r="2966" spans="2:3">
      <c r="B2966" s="252"/>
      <c r="C2966" s="268"/>
    </row>
    <row r="2967" spans="2:3">
      <c r="B2967" s="252"/>
      <c r="C2967" s="268"/>
    </row>
    <row r="2968" spans="2:3">
      <c r="B2968" s="252"/>
      <c r="C2968" s="268"/>
    </row>
    <row r="2969" spans="2:3">
      <c r="B2969" s="252"/>
      <c r="C2969" s="268"/>
    </row>
    <row r="2970" spans="2:3">
      <c r="B2970" s="252"/>
      <c r="C2970" s="268"/>
    </row>
    <row r="2971" spans="2:3">
      <c r="B2971" s="252"/>
      <c r="C2971" s="268"/>
    </row>
    <row r="2972" spans="2:3">
      <c r="B2972" s="252"/>
      <c r="C2972" s="268"/>
    </row>
    <row r="2973" spans="2:3">
      <c r="B2973" s="252"/>
      <c r="C2973" s="268"/>
    </row>
    <row r="2974" spans="2:3">
      <c r="B2974" s="252"/>
      <c r="C2974" s="268"/>
    </row>
    <row r="2975" spans="2:3">
      <c r="B2975" s="252"/>
      <c r="C2975" s="268"/>
    </row>
    <row r="2976" spans="2:3">
      <c r="B2976" s="252"/>
      <c r="C2976" s="268"/>
    </row>
    <row r="2977" spans="2:3">
      <c r="B2977" s="252"/>
      <c r="C2977" s="268"/>
    </row>
    <row r="2978" spans="2:3">
      <c r="B2978" s="252"/>
      <c r="C2978" s="268"/>
    </row>
    <row r="2979" spans="2:3">
      <c r="B2979" s="252"/>
      <c r="C2979" s="268"/>
    </row>
    <row r="2980" spans="2:3">
      <c r="B2980" s="252"/>
      <c r="C2980" s="268"/>
    </row>
    <row r="2981" spans="2:3">
      <c r="B2981" s="252"/>
      <c r="C2981" s="268"/>
    </row>
    <row r="2982" spans="2:3">
      <c r="B2982" s="252"/>
      <c r="C2982" s="268"/>
    </row>
    <row r="2983" spans="2:3">
      <c r="B2983" s="252"/>
      <c r="C2983" s="268"/>
    </row>
    <row r="2984" spans="2:3">
      <c r="B2984" s="252"/>
      <c r="C2984" s="268"/>
    </row>
    <row r="2985" spans="2:3">
      <c r="B2985" s="252"/>
      <c r="C2985" s="268"/>
    </row>
    <row r="2986" spans="2:3">
      <c r="B2986" s="252"/>
      <c r="C2986" s="268"/>
    </row>
    <row r="2987" spans="2:3">
      <c r="B2987" s="252"/>
      <c r="C2987" s="268"/>
    </row>
    <row r="2988" spans="2:3">
      <c r="B2988" s="252"/>
      <c r="C2988" s="268"/>
    </row>
    <row r="2989" spans="2:3">
      <c r="B2989" s="252"/>
      <c r="C2989" s="268"/>
    </row>
    <row r="2990" spans="2:3">
      <c r="B2990" s="252"/>
      <c r="C2990" s="268"/>
    </row>
    <row r="2991" spans="2:3">
      <c r="B2991" s="252"/>
      <c r="C2991" s="268"/>
    </row>
    <row r="2992" spans="2:3">
      <c r="B2992" s="252"/>
      <c r="C2992" s="268"/>
    </row>
    <row r="2993" spans="2:3">
      <c r="B2993" s="252"/>
      <c r="C2993" s="268"/>
    </row>
    <row r="2994" spans="2:3">
      <c r="B2994" s="252"/>
      <c r="C2994" s="268"/>
    </row>
    <row r="2995" spans="2:3">
      <c r="B2995" s="252"/>
      <c r="C2995" s="268"/>
    </row>
    <row r="2996" spans="2:3">
      <c r="B2996" s="252"/>
      <c r="C2996" s="268"/>
    </row>
    <row r="2997" spans="2:3">
      <c r="B2997" s="252"/>
      <c r="C2997" s="268"/>
    </row>
    <row r="2998" spans="2:3">
      <c r="B2998" s="252"/>
      <c r="C2998" s="268"/>
    </row>
    <row r="2999" spans="2:3">
      <c r="B2999" s="252"/>
      <c r="C2999" s="268"/>
    </row>
    <row r="3000" spans="2:3">
      <c r="B3000" s="252"/>
      <c r="C3000" s="268"/>
    </row>
    <row r="3001" spans="2:3">
      <c r="B3001" s="252"/>
      <c r="C3001" s="268"/>
    </row>
    <row r="3002" spans="2:3">
      <c r="B3002" s="252"/>
      <c r="C3002" s="268"/>
    </row>
    <row r="3003" spans="2:3">
      <c r="B3003" s="252"/>
      <c r="C3003" s="268"/>
    </row>
    <row r="3004" spans="2:3">
      <c r="B3004" s="252"/>
      <c r="C3004" s="268"/>
    </row>
    <row r="3005" spans="2:3">
      <c r="B3005" s="252"/>
      <c r="C3005" s="268"/>
    </row>
    <row r="3006" spans="2:3">
      <c r="B3006" s="252"/>
      <c r="C3006" s="268"/>
    </row>
    <row r="3007" spans="2:3">
      <c r="B3007" s="252"/>
      <c r="C3007" s="268"/>
    </row>
    <row r="3008" spans="2:3">
      <c r="B3008" s="252"/>
      <c r="C3008" s="268"/>
    </row>
    <row r="3009" spans="2:3">
      <c r="B3009" s="252"/>
      <c r="C3009" s="268"/>
    </row>
    <row r="3010" spans="2:3">
      <c r="B3010" s="252"/>
      <c r="C3010" s="268"/>
    </row>
    <row r="3011" spans="2:3">
      <c r="B3011" s="252"/>
      <c r="C3011" s="268"/>
    </row>
    <row r="3012" spans="2:3">
      <c r="B3012" s="252"/>
      <c r="C3012" s="268"/>
    </row>
    <row r="3013" spans="2:3">
      <c r="B3013" s="252"/>
      <c r="C3013" s="268"/>
    </row>
    <row r="3014" spans="2:3">
      <c r="B3014" s="252"/>
      <c r="C3014" s="268"/>
    </row>
    <row r="3015" spans="2:3">
      <c r="B3015" s="252"/>
      <c r="C3015" s="268"/>
    </row>
    <row r="3016" spans="2:3">
      <c r="B3016" s="252"/>
      <c r="C3016" s="268"/>
    </row>
    <row r="3017" spans="2:3">
      <c r="B3017" s="252"/>
      <c r="C3017" s="268"/>
    </row>
    <row r="3018" spans="2:3">
      <c r="B3018" s="252"/>
      <c r="C3018" s="268"/>
    </row>
    <row r="3019" spans="2:3">
      <c r="B3019" s="252"/>
      <c r="C3019" s="268"/>
    </row>
    <row r="3020" spans="2:3">
      <c r="B3020" s="252"/>
      <c r="C3020" s="268"/>
    </row>
    <row r="3021" spans="2:3">
      <c r="B3021" s="252"/>
      <c r="C3021" s="268"/>
    </row>
    <row r="3022" spans="2:3">
      <c r="B3022" s="252"/>
      <c r="C3022" s="268"/>
    </row>
    <row r="3023" spans="2:3">
      <c r="B3023" s="252"/>
      <c r="C3023" s="268"/>
    </row>
    <row r="3024" spans="2:3">
      <c r="B3024" s="252"/>
      <c r="C3024" s="268"/>
    </row>
    <row r="3025" spans="2:3">
      <c r="B3025" s="252"/>
      <c r="C3025" s="268"/>
    </row>
    <row r="3026" spans="2:3">
      <c r="B3026" s="252"/>
      <c r="C3026" s="268"/>
    </row>
    <row r="3027" spans="2:3">
      <c r="B3027" s="252"/>
      <c r="C3027" s="268"/>
    </row>
    <row r="3028" spans="2:3">
      <c r="B3028" s="252"/>
      <c r="C3028" s="268"/>
    </row>
    <row r="3029" spans="2:3">
      <c r="B3029" s="252"/>
      <c r="C3029" s="268"/>
    </row>
    <row r="3030" spans="2:3">
      <c r="B3030" s="252"/>
      <c r="C3030" s="268"/>
    </row>
    <row r="3031" spans="2:3">
      <c r="B3031" s="252"/>
      <c r="C3031" s="268"/>
    </row>
    <row r="3032" spans="2:3">
      <c r="B3032" s="252"/>
      <c r="C3032" s="268"/>
    </row>
    <row r="3033" spans="2:3">
      <c r="B3033" s="252"/>
      <c r="C3033" s="268"/>
    </row>
    <row r="3034" spans="2:3">
      <c r="B3034" s="252"/>
      <c r="C3034" s="268"/>
    </row>
    <row r="3035" spans="2:3">
      <c r="B3035" s="252"/>
      <c r="C3035" s="268"/>
    </row>
    <row r="3036" spans="2:3">
      <c r="B3036" s="252"/>
      <c r="C3036" s="268"/>
    </row>
    <row r="3037" spans="2:3">
      <c r="B3037" s="252"/>
      <c r="C3037" s="268"/>
    </row>
    <row r="3038" spans="2:3">
      <c r="B3038" s="252"/>
      <c r="C3038" s="268"/>
    </row>
    <row r="3039" spans="2:3">
      <c r="B3039" s="252"/>
      <c r="C3039" s="268"/>
    </row>
    <row r="3040" spans="2:3">
      <c r="B3040" s="252"/>
      <c r="C3040" s="268"/>
    </row>
    <row r="3041" spans="2:3">
      <c r="B3041" s="252"/>
      <c r="C3041" s="268"/>
    </row>
    <row r="3042" spans="2:3">
      <c r="B3042" s="252"/>
      <c r="C3042" s="268"/>
    </row>
    <row r="3043" spans="2:3">
      <c r="B3043" s="252"/>
      <c r="C3043" s="268"/>
    </row>
    <row r="3044" spans="2:3">
      <c r="B3044" s="252"/>
      <c r="C3044" s="268"/>
    </row>
    <row r="3045" spans="2:3">
      <c r="B3045" s="252"/>
      <c r="C3045" s="268"/>
    </row>
    <row r="3046" spans="2:3">
      <c r="B3046" s="252"/>
      <c r="C3046" s="268"/>
    </row>
    <row r="3047" spans="2:3">
      <c r="B3047" s="252"/>
      <c r="C3047" s="268"/>
    </row>
    <row r="3048" spans="2:3">
      <c r="B3048" s="252"/>
      <c r="C3048" s="268"/>
    </row>
    <row r="3049" spans="2:3">
      <c r="B3049" s="252"/>
      <c r="C3049" s="268"/>
    </row>
    <row r="3050" spans="2:3">
      <c r="B3050" s="252"/>
      <c r="C3050" s="268"/>
    </row>
    <row r="3051" spans="2:3">
      <c r="B3051" s="252"/>
      <c r="C3051" s="268"/>
    </row>
    <row r="3052" spans="2:3">
      <c r="B3052" s="252"/>
      <c r="C3052" s="268"/>
    </row>
    <row r="3053" spans="2:3">
      <c r="B3053" s="252"/>
      <c r="C3053" s="268"/>
    </row>
    <row r="3054" spans="2:3">
      <c r="B3054" s="252"/>
      <c r="C3054" s="268"/>
    </row>
    <row r="3055" spans="2:3">
      <c r="B3055" s="252"/>
      <c r="C3055" s="268"/>
    </row>
    <row r="3056" spans="2:3">
      <c r="B3056" s="252"/>
      <c r="C3056" s="268"/>
    </row>
    <row r="3057" spans="2:3">
      <c r="B3057" s="252"/>
      <c r="C3057" s="268"/>
    </row>
    <row r="3058" spans="2:3">
      <c r="B3058" s="252"/>
      <c r="C3058" s="268"/>
    </row>
    <row r="3059" spans="2:3">
      <c r="B3059" s="252"/>
      <c r="C3059" s="268"/>
    </row>
    <row r="3060" spans="2:3">
      <c r="B3060" s="252"/>
      <c r="C3060" s="268"/>
    </row>
    <row r="3061" spans="2:3">
      <c r="B3061" s="252"/>
      <c r="C3061" s="268"/>
    </row>
    <row r="3062" spans="2:3">
      <c r="B3062" s="252"/>
      <c r="C3062" s="268"/>
    </row>
    <row r="3063" spans="2:3">
      <c r="B3063" s="252"/>
      <c r="C3063" s="268"/>
    </row>
    <row r="3064" spans="2:3">
      <c r="B3064" s="252"/>
      <c r="C3064" s="268"/>
    </row>
    <row r="3065" spans="2:3">
      <c r="B3065" s="252"/>
      <c r="C3065" s="268"/>
    </row>
    <row r="3066" spans="2:3">
      <c r="B3066" s="252"/>
      <c r="C3066" s="268"/>
    </row>
    <row r="3067" spans="2:3">
      <c r="B3067" s="252"/>
      <c r="C3067" s="268"/>
    </row>
    <row r="3068" spans="2:3">
      <c r="B3068" s="252"/>
      <c r="C3068" s="268"/>
    </row>
    <row r="3069" spans="2:3">
      <c r="B3069" s="252"/>
      <c r="C3069" s="268"/>
    </row>
    <row r="3070" spans="2:3">
      <c r="B3070" s="252"/>
      <c r="C3070" s="268"/>
    </row>
    <row r="3071" spans="2:3">
      <c r="B3071" s="252"/>
      <c r="C3071" s="268"/>
    </row>
    <row r="3072" spans="2:3">
      <c r="B3072" s="252"/>
      <c r="C3072" s="268"/>
    </row>
    <row r="3073" spans="2:3">
      <c r="B3073" s="252"/>
      <c r="C3073" s="268"/>
    </row>
    <row r="3074" spans="2:3">
      <c r="B3074" s="252"/>
      <c r="C3074" s="268"/>
    </row>
    <row r="3075" spans="2:3">
      <c r="B3075" s="252"/>
      <c r="C3075" s="268"/>
    </row>
    <row r="3076" spans="2:3">
      <c r="B3076" s="252"/>
      <c r="C3076" s="268"/>
    </row>
    <row r="3077" spans="2:3">
      <c r="B3077" s="252"/>
      <c r="C3077" s="268"/>
    </row>
    <row r="3078" spans="2:3">
      <c r="B3078" s="252"/>
      <c r="C3078" s="268"/>
    </row>
    <row r="3079" spans="2:3">
      <c r="B3079" s="252"/>
      <c r="C3079" s="268"/>
    </row>
    <row r="3080" spans="2:3">
      <c r="B3080" s="252"/>
      <c r="C3080" s="268"/>
    </row>
    <row r="3081" spans="2:3">
      <c r="B3081" s="252"/>
      <c r="C3081" s="268"/>
    </row>
    <row r="3082" spans="2:3">
      <c r="B3082" s="252"/>
      <c r="C3082" s="268"/>
    </row>
    <row r="3083" spans="2:3">
      <c r="B3083" s="252"/>
      <c r="C3083" s="268"/>
    </row>
    <row r="3084" spans="2:3">
      <c r="B3084" s="252"/>
      <c r="C3084" s="268"/>
    </row>
    <row r="3085" spans="2:3">
      <c r="B3085" s="252"/>
      <c r="C3085" s="268"/>
    </row>
    <row r="3086" spans="2:3">
      <c r="B3086" s="252"/>
      <c r="C3086" s="268"/>
    </row>
    <row r="3087" spans="2:3">
      <c r="B3087" s="252"/>
      <c r="C3087" s="268"/>
    </row>
    <row r="3088" spans="2:3">
      <c r="B3088" s="252"/>
      <c r="C3088" s="268"/>
    </row>
    <row r="3089" spans="2:3">
      <c r="B3089" s="252"/>
      <c r="C3089" s="268"/>
    </row>
    <row r="3090" spans="2:3">
      <c r="B3090" s="252"/>
      <c r="C3090" s="268"/>
    </row>
    <row r="3091" spans="2:3">
      <c r="B3091" s="252"/>
      <c r="C3091" s="268"/>
    </row>
    <row r="3092" spans="2:3">
      <c r="B3092" s="252"/>
      <c r="C3092" s="268"/>
    </row>
    <row r="3093" spans="2:3">
      <c r="B3093" s="252"/>
      <c r="C3093" s="268"/>
    </row>
    <row r="3094" spans="2:3">
      <c r="B3094" s="252"/>
      <c r="C3094" s="268"/>
    </row>
    <row r="3095" spans="2:3">
      <c r="B3095" s="252"/>
      <c r="C3095" s="268"/>
    </row>
    <row r="3096" spans="2:3">
      <c r="B3096" s="252"/>
      <c r="C3096" s="268"/>
    </row>
    <row r="3097" spans="2:3">
      <c r="B3097" s="252"/>
      <c r="C3097" s="268"/>
    </row>
    <row r="3098" spans="2:3">
      <c r="B3098" s="252"/>
      <c r="C3098" s="268"/>
    </row>
    <row r="3099" spans="2:3">
      <c r="B3099" s="252"/>
      <c r="C3099" s="268"/>
    </row>
    <row r="3100" spans="2:3">
      <c r="B3100" s="252"/>
      <c r="C3100" s="268"/>
    </row>
    <row r="3101" spans="2:3">
      <c r="B3101" s="252"/>
      <c r="C3101" s="268"/>
    </row>
    <row r="3102" spans="2:3">
      <c r="B3102" s="252"/>
      <c r="C3102" s="268"/>
    </row>
    <row r="3103" spans="2:3">
      <c r="B3103" s="252"/>
      <c r="C3103" s="268"/>
    </row>
    <row r="3104" spans="2:3">
      <c r="B3104" s="252"/>
      <c r="C3104" s="268"/>
    </row>
    <row r="3105" spans="2:3">
      <c r="B3105" s="252"/>
      <c r="C3105" s="268"/>
    </row>
    <row r="3106" spans="2:3">
      <c r="B3106" s="252"/>
      <c r="C3106" s="268"/>
    </row>
    <row r="3107" spans="2:3">
      <c r="B3107" s="252"/>
      <c r="C3107" s="268"/>
    </row>
    <row r="3108" spans="2:3">
      <c r="B3108" s="252"/>
      <c r="C3108" s="268"/>
    </row>
    <row r="3109" spans="2:3">
      <c r="B3109" s="252"/>
      <c r="C3109" s="268"/>
    </row>
    <row r="3110" spans="2:3">
      <c r="B3110" s="252"/>
      <c r="C3110" s="268"/>
    </row>
    <row r="3111" spans="2:3">
      <c r="B3111" s="252"/>
      <c r="C3111" s="268"/>
    </row>
    <row r="3112" spans="2:3">
      <c r="B3112" s="252"/>
      <c r="C3112" s="268"/>
    </row>
    <row r="3113" spans="2:3">
      <c r="B3113" s="252"/>
      <c r="C3113" s="268"/>
    </row>
    <row r="3114" spans="2:3">
      <c r="B3114" s="252"/>
      <c r="C3114" s="268"/>
    </row>
    <row r="3115" spans="2:3">
      <c r="B3115" s="252"/>
      <c r="C3115" s="268"/>
    </row>
    <row r="3116" spans="2:3">
      <c r="B3116" s="252"/>
      <c r="C3116" s="268"/>
    </row>
    <row r="3117" spans="2:3">
      <c r="B3117" s="252"/>
      <c r="C3117" s="268"/>
    </row>
    <row r="3118" spans="2:3">
      <c r="B3118" s="252"/>
      <c r="C3118" s="268"/>
    </row>
    <row r="3119" spans="2:3">
      <c r="B3119" s="252"/>
      <c r="C3119" s="268"/>
    </row>
    <row r="3120" spans="2:3">
      <c r="B3120" s="252"/>
      <c r="C3120" s="268"/>
    </row>
    <row r="3121" spans="2:3">
      <c r="B3121" s="252"/>
      <c r="C3121" s="268"/>
    </row>
    <row r="3122" spans="2:3">
      <c r="B3122" s="252"/>
      <c r="C3122" s="268"/>
    </row>
    <row r="3123" spans="2:3">
      <c r="B3123" s="252"/>
      <c r="C3123" s="268"/>
    </row>
    <row r="3124" spans="2:3">
      <c r="B3124" s="252"/>
      <c r="C3124" s="268"/>
    </row>
    <row r="3125" spans="2:3">
      <c r="B3125" s="252"/>
      <c r="C3125" s="268"/>
    </row>
    <row r="3126" spans="2:3">
      <c r="B3126" s="252"/>
      <c r="C3126" s="268"/>
    </row>
    <row r="3127" spans="2:3">
      <c r="B3127" s="252"/>
      <c r="C3127" s="268"/>
    </row>
    <row r="3128" spans="2:3">
      <c r="B3128" s="252"/>
      <c r="C3128" s="268"/>
    </row>
    <row r="3129" spans="2:3">
      <c r="B3129" s="252"/>
      <c r="C3129" s="268"/>
    </row>
    <row r="3130" spans="2:3">
      <c r="B3130" s="252"/>
      <c r="C3130" s="268"/>
    </row>
    <row r="3131" spans="2:3">
      <c r="B3131" s="252"/>
      <c r="C3131" s="268"/>
    </row>
    <row r="3132" spans="2:3">
      <c r="B3132" s="252"/>
      <c r="C3132" s="268"/>
    </row>
    <row r="3133" spans="2:3">
      <c r="B3133" s="252"/>
      <c r="C3133" s="268"/>
    </row>
    <row r="3134" spans="2:3">
      <c r="B3134" s="252"/>
      <c r="C3134" s="268"/>
    </row>
    <row r="3135" spans="2:3">
      <c r="B3135" s="252"/>
      <c r="C3135" s="268"/>
    </row>
    <row r="3136" spans="2:3">
      <c r="B3136" s="252"/>
      <c r="C3136" s="268"/>
    </row>
    <row r="3137" spans="2:3">
      <c r="B3137" s="252"/>
      <c r="C3137" s="268"/>
    </row>
    <row r="3138" spans="2:3">
      <c r="B3138" s="252"/>
      <c r="C3138" s="268"/>
    </row>
    <row r="3139" spans="2:3">
      <c r="B3139" s="252"/>
      <c r="C3139" s="268"/>
    </row>
    <row r="3140" spans="2:3">
      <c r="B3140" s="252"/>
      <c r="C3140" s="268"/>
    </row>
    <row r="3141" spans="2:3">
      <c r="B3141" s="252"/>
      <c r="C3141" s="268"/>
    </row>
    <row r="3142" spans="2:3">
      <c r="B3142" s="252"/>
      <c r="C3142" s="268"/>
    </row>
    <row r="3143" spans="2:3">
      <c r="B3143" s="252"/>
      <c r="C3143" s="268"/>
    </row>
    <row r="3144" spans="2:3">
      <c r="B3144" s="252"/>
      <c r="C3144" s="268"/>
    </row>
    <row r="3145" spans="2:3">
      <c r="B3145" s="252"/>
      <c r="C3145" s="268"/>
    </row>
    <row r="3146" spans="2:3">
      <c r="B3146" s="252"/>
      <c r="C3146" s="268"/>
    </row>
    <row r="3147" spans="2:3">
      <c r="B3147" s="252"/>
      <c r="C3147" s="268"/>
    </row>
    <row r="3148" spans="2:3">
      <c r="B3148" s="252"/>
      <c r="C3148" s="268"/>
    </row>
    <row r="3149" spans="2:3">
      <c r="B3149" s="252"/>
      <c r="C3149" s="268"/>
    </row>
    <row r="3150" spans="2:3">
      <c r="B3150" s="252"/>
      <c r="C3150" s="268"/>
    </row>
    <row r="3151" spans="2:3">
      <c r="B3151" s="252"/>
      <c r="C3151" s="268"/>
    </row>
    <row r="3152" spans="2:3">
      <c r="B3152" s="252"/>
      <c r="C3152" s="268"/>
    </row>
    <row r="3153" spans="2:3">
      <c r="B3153" s="252"/>
      <c r="C3153" s="268"/>
    </row>
    <row r="3154" spans="2:3">
      <c r="B3154" s="252"/>
      <c r="C3154" s="268"/>
    </row>
    <row r="3155" spans="2:3">
      <c r="B3155" s="252"/>
      <c r="C3155" s="268"/>
    </row>
    <row r="3156" spans="2:3">
      <c r="B3156" s="252"/>
      <c r="C3156" s="268"/>
    </row>
    <row r="3157" spans="2:3">
      <c r="B3157" s="252"/>
      <c r="C3157" s="268"/>
    </row>
    <row r="3158" spans="2:3">
      <c r="B3158" s="252"/>
      <c r="C3158" s="268"/>
    </row>
    <row r="3159" spans="2:3">
      <c r="B3159" s="252"/>
      <c r="C3159" s="268"/>
    </row>
    <row r="3160" spans="2:3">
      <c r="B3160" s="252"/>
      <c r="C3160" s="268"/>
    </row>
    <row r="3161" spans="2:3">
      <c r="B3161" s="252"/>
      <c r="C3161" s="268"/>
    </row>
    <row r="3162" spans="2:3">
      <c r="B3162" s="252"/>
      <c r="C3162" s="268"/>
    </row>
    <row r="3163" spans="2:3">
      <c r="B3163" s="252"/>
      <c r="C3163" s="268"/>
    </row>
    <row r="3164" spans="2:3">
      <c r="B3164" s="252"/>
      <c r="C3164" s="268"/>
    </row>
    <row r="3165" spans="2:3">
      <c r="B3165" s="252"/>
      <c r="C3165" s="268"/>
    </row>
    <row r="3166" spans="2:3">
      <c r="B3166" s="252"/>
      <c r="C3166" s="268"/>
    </row>
    <row r="3167" spans="2:3">
      <c r="B3167" s="252"/>
      <c r="C3167" s="268"/>
    </row>
    <row r="3168" spans="2:3">
      <c r="B3168" s="252"/>
      <c r="C3168" s="268"/>
    </row>
    <row r="3169" spans="2:3">
      <c r="B3169" s="252"/>
      <c r="C3169" s="268"/>
    </row>
    <row r="3170" spans="2:3">
      <c r="B3170" s="252"/>
      <c r="C3170" s="268"/>
    </row>
    <row r="3171" spans="2:3">
      <c r="B3171" s="252"/>
      <c r="C3171" s="268"/>
    </row>
    <row r="3172" spans="2:3">
      <c r="B3172" s="252"/>
      <c r="C3172" s="268"/>
    </row>
    <row r="3173" spans="2:3">
      <c r="B3173" s="252"/>
      <c r="C3173" s="268"/>
    </row>
    <row r="3174" spans="2:3">
      <c r="B3174" s="252"/>
      <c r="C3174" s="268"/>
    </row>
    <row r="3175" spans="2:3">
      <c r="B3175" s="252"/>
      <c r="C3175" s="268"/>
    </row>
    <row r="3176" spans="2:3">
      <c r="B3176" s="252"/>
      <c r="C3176" s="268"/>
    </row>
    <row r="3177" spans="2:3">
      <c r="B3177" s="252"/>
      <c r="C3177" s="268"/>
    </row>
    <row r="3178" spans="2:3">
      <c r="B3178" s="252"/>
      <c r="C3178" s="268"/>
    </row>
    <row r="3179" spans="2:3">
      <c r="B3179" s="252"/>
      <c r="C3179" s="268"/>
    </row>
    <row r="3180" spans="2:3">
      <c r="B3180" s="252"/>
      <c r="C3180" s="268"/>
    </row>
    <row r="3181" spans="2:3">
      <c r="B3181" s="252"/>
      <c r="C3181" s="268"/>
    </row>
    <row r="3182" spans="2:3">
      <c r="B3182" s="252"/>
      <c r="C3182" s="268"/>
    </row>
    <row r="3183" spans="2:3">
      <c r="B3183" s="252"/>
      <c r="C3183" s="268"/>
    </row>
    <row r="3184" spans="2:3">
      <c r="B3184" s="252"/>
      <c r="C3184" s="268"/>
    </row>
    <row r="3185" spans="2:3">
      <c r="B3185" s="252"/>
      <c r="C3185" s="268"/>
    </row>
    <row r="3186" spans="2:3">
      <c r="B3186" s="252"/>
      <c r="C3186" s="268"/>
    </row>
    <row r="3187" spans="2:3">
      <c r="B3187" s="252"/>
      <c r="C3187" s="268"/>
    </row>
    <row r="3188" spans="2:3">
      <c r="B3188" s="252"/>
      <c r="C3188" s="268"/>
    </row>
    <row r="3189" spans="2:3">
      <c r="B3189" s="252"/>
      <c r="C3189" s="268"/>
    </row>
    <row r="3190" spans="2:3">
      <c r="B3190" s="252"/>
      <c r="C3190" s="268"/>
    </row>
    <row r="3191" spans="2:3">
      <c r="B3191" s="252"/>
      <c r="C3191" s="268"/>
    </row>
    <row r="3192" spans="2:3">
      <c r="B3192" s="252"/>
      <c r="C3192" s="268"/>
    </row>
    <row r="3193" spans="2:3">
      <c r="B3193" s="252"/>
      <c r="C3193" s="268"/>
    </row>
    <row r="3194" spans="2:3">
      <c r="B3194" s="252"/>
      <c r="C3194" s="268"/>
    </row>
    <row r="3195" spans="2:3">
      <c r="B3195" s="252"/>
      <c r="C3195" s="268"/>
    </row>
    <row r="3196" spans="2:3">
      <c r="B3196" s="252"/>
      <c r="C3196" s="268"/>
    </row>
    <row r="3197" spans="2:3">
      <c r="B3197" s="252"/>
      <c r="C3197" s="268"/>
    </row>
    <row r="3198" spans="2:3">
      <c r="B3198" s="252"/>
      <c r="C3198" s="268"/>
    </row>
    <row r="3199" spans="2:3">
      <c r="B3199" s="252"/>
      <c r="C3199" s="268"/>
    </row>
    <row r="3200" spans="2:3">
      <c r="B3200" s="252"/>
      <c r="C3200" s="268"/>
    </row>
    <row r="3201" spans="2:3">
      <c r="B3201" s="252"/>
      <c r="C3201" s="268"/>
    </row>
    <row r="3202" spans="2:3">
      <c r="B3202" s="252"/>
      <c r="C3202" s="268"/>
    </row>
    <row r="3203" spans="2:3">
      <c r="B3203" s="252"/>
      <c r="C3203" s="268"/>
    </row>
    <row r="3204" spans="2:3">
      <c r="B3204" s="252"/>
      <c r="C3204" s="268"/>
    </row>
    <row r="3205" spans="2:3">
      <c r="B3205" s="252"/>
      <c r="C3205" s="268"/>
    </row>
    <row r="3206" spans="2:3">
      <c r="B3206" s="252"/>
      <c r="C3206" s="268"/>
    </row>
    <row r="3207" spans="2:3">
      <c r="B3207" s="252"/>
      <c r="C3207" s="268"/>
    </row>
    <row r="3208" spans="2:3">
      <c r="B3208" s="252"/>
      <c r="C3208" s="268"/>
    </row>
    <row r="3209" spans="2:3">
      <c r="B3209" s="252"/>
      <c r="C3209" s="268"/>
    </row>
    <row r="3210" spans="2:3">
      <c r="B3210" s="252"/>
      <c r="C3210" s="268"/>
    </row>
    <row r="3211" spans="2:3">
      <c r="B3211" s="252"/>
      <c r="C3211" s="268"/>
    </row>
    <row r="3212" spans="2:3">
      <c r="B3212" s="252"/>
      <c r="C3212" s="268"/>
    </row>
    <row r="3213" spans="2:3">
      <c r="B3213" s="252"/>
      <c r="C3213" s="268"/>
    </row>
    <row r="3214" spans="2:3">
      <c r="B3214" s="252"/>
      <c r="C3214" s="268"/>
    </row>
    <row r="3215" spans="2:3">
      <c r="B3215" s="252"/>
      <c r="C3215" s="268"/>
    </row>
    <row r="3216" spans="2:3">
      <c r="B3216" s="252"/>
      <c r="C3216" s="268"/>
    </row>
    <row r="3217" spans="2:3">
      <c r="B3217" s="252"/>
      <c r="C3217" s="268"/>
    </row>
    <row r="3218" spans="2:3">
      <c r="B3218" s="252"/>
      <c r="C3218" s="268"/>
    </row>
    <row r="3219" spans="2:3">
      <c r="B3219" s="252"/>
      <c r="C3219" s="268"/>
    </row>
    <row r="3220" spans="2:3">
      <c r="B3220" s="252"/>
      <c r="C3220" s="268"/>
    </row>
    <row r="3221" spans="2:3">
      <c r="B3221" s="252"/>
      <c r="C3221" s="268"/>
    </row>
    <row r="3222" spans="2:3">
      <c r="B3222" s="252"/>
      <c r="C3222" s="268"/>
    </row>
    <row r="3223" spans="2:3">
      <c r="B3223" s="252"/>
      <c r="C3223" s="268"/>
    </row>
    <row r="3224" spans="2:3">
      <c r="B3224" s="252"/>
      <c r="C3224" s="268"/>
    </row>
    <row r="3225" spans="2:3">
      <c r="B3225" s="252"/>
      <c r="C3225" s="268"/>
    </row>
    <row r="3226" spans="2:3">
      <c r="B3226" s="252"/>
      <c r="C3226" s="268"/>
    </row>
    <row r="3227" spans="2:3">
      <c r="B3227" s="252"/>
      <c r="C3227" s="268"/>
    </row>
    <row r="3228" spans="2:3">
      <c r="B3228" s="252"/>
      <c r="C3228" s="268"/>
    </row>
    <row r="3229" spans="2:3">
      <c r="B3229" s="252"/>
      <c r="C3229" s="268"/>
    </row>
    <row r="3230" spans="2:3">
      <c r="B3230" s="252"/>
      <c r="C3230" s="268"/>
    </row>
    <row r="3231" spans="2:3">
      <c r="B3231" s="252"/>
      <c r="C3231" s="268"/>
    </row>
    <row r="3232" spans="2:3">
      <c r="B3232" s="252"/>
      <c r="C3232" s="268"/>
    </row>
    <row r="3233" spans="2:3">
      <c r="B3233" s="252"/>
      <c r="C3233" s="268"/>
    </row>
    <row r="3234" spans="2:3">
      <c r="B3234" s="252"/>
      <c r="C3234" s="268"/>
    </row>
    <row r="3235" spans="2:3">
      <c r="B3235" s="252"/>
      <c r="C3235" s="268"/>
    </row>
    <row r="3236" spans="2:3">
      <c r="B3236" s="252"/>
      <c r="C3236" s="268"/>
    </row>
    <row r="3237" spans="2:3">
      <c r="B3237" s="252"/>
      <c r="C3237" s="268"/>
    </row>
    <row r="3238" spans="2:3">
      <c r="B3238" s="252"/>
      <c r="C3238" s="268"/>
    </row>
    <row r="3239" spans="2:3">
      <c r="B3239" s="252"/>
      <c r="C3239" s="268"/>
    </row>
    <row r="3240" spans="2:3">
      <c r="B3240" s="252"/>
      <c r="C3240" s="268"/>
    </row>
    <row r="3241" spans="2:3">
      <c r="B3241" s="252"/>
      <c r="C3241" s="268"/>
    </row>
    <row r="3242" spans="2:3">
      <c r="B3242" s="252"/>
      <c r="C3242" s="268"/>
    </row>
    <row r="3243" spans="2:3">
      <c r="B3243" s="252"/>
      <c r="C3243" s="268"/>
    </row>
    <row r="3244" spans="2:3">
      <c r="B3244" s="252"/>
      <c r="C3244" s="268"/>
    </row>
    <row r="3245" spans="2:3">
      <c r="B3245" s="252"/>
      <c r="C3245" s="268"/>
    </row>
    <row r="3246" spans="2:3">
      <c r="B3246" s="252"/>
      <c r="C3246" s="268"/>
    </row>
    <row r="3247" spans="2:3">
      <c r="B3247" s="252"/>
      <c r="C3247" s="268"/>
    </row>
    <row r="3248" spans="2:3">
      <c r="B3248" s="252"/>
      <c r="C3248" s="268"/>
    </row>
    <row r="3249" spans="2:3">
      <c r="B3249" s="252"/>
      <c r="C3249" s="268"/>
    </row>
    <row r="3250" spans="2:3">
      <c r="B3250" s="252"/>
      <c r="C3250" s="268"/>
    </row>
    <row r="3251" spans="2:3">
      <c r="B3251" s="252"/>
      <c r="C3251" s="268"/>
    </row>
    <row r="3252" spans="2:3">
      <c r="B3252" s="252"/>
      <c r="C3252" s="268"/>
    </row>
    <row r="3253" spans="2:3">
      <c r="B3253" s="252"/>
      <c r="C3253" s="268"/>
    </row>
    <row r="3254" spans="2:3">
      <c r="B3254" s="252"/>
      <c r="C3254" s="268"/>
    </row>
    <row r="3255" spans="2:3">
      <c r="B3255" s="252"/>
      <c r="C3255" s="268"/>
    </row>
    <row r="3256" spans="2:3">
      <c r="B3256" s="252"/>
      <c r="C3256" s="268"/>
    </row>
    <row r="3257" spans="2:3">
      <c r="B3257" s="252"/>
      <c r="C3257" s="268"/>
    </row>
    <row r="3258" spans="2:3">
      <c r="B3258" s="252"/>
      <c r="C3258" s="268"/>
    </row>
    <row r="3259" spans="2:3">
      <c r="B3259" s="252"/>
      <c r="C3259" s="268"/>
    </row>
    <row r="3260" spans="2:3">
      <c r="B3260" s="252"/>
      <c r="C3260" s="268"/>
    </row>
    <row r="3261" spans="2:3">
      <c r="B3261" s="252"/>
      <c r="C3261" s="268"/>
    </row>
    <row r="3262" spans="2:3">
      <c r="B3262" s="252"/>
      <c r="C3262" s="268"/>
    </row>
    <row r="3263" spans="2:3">
      <c r="B3263" s="252"/>
      <c r="C3263" s="268"/>
    </row>
    <row r="3264" spans="2:3">
      <c r="B3264" s="252"/>
      <c r="C3264" s="268"/>
    </row>
    <row r="3265" spans="2:3">
      <c r="B3265" s="252"/>
      <c r="C3265" s="268"/>
    </row>
    <row r="3266" spans="2:3">
      <c r="B3266" s="252"/>
      <c r="C3266" s="268"/>
    </row>
    <row r="3267" spans="2:3">
      <c r="B3267" s="252"/>
      <c r="C3267" s="268"/>
    </row>
    <row r="3268" spans="2:3">
      <c r="B3268" s="252"/>
      <c r="C3268" s="268"/>
    </row>
    <row r="3269" spans="2:3">
      <c r="B3269" s="252"/>
      <c r="C3269" s="268"/>
    </row>
    <row r="3270" spans="2:3">
      <c r="B3270" s="252"/>
      <c r="C3270" s="268"/>
    </row>
    <row r="3271" spans="2:3">
      <c r="B3271" s="252"/>
      <c r="C3271" s="268"/>
    </row>
    <row r="3272" spans="2:3">
      <c r="B3272" s="252"/>
      <c r="C3272" s="268"/>
    </row>
    <row r="3273" spans="2:3">
      <c r="B3273" s="252"/>
      <c r="C3273" s="268"/>
    </row>
    <row r="3274" spans="2:3">
      <c r="B3274" s="252"/>
      <c r="C3274" s="268"/>
    </row>
    <row r="3275" spans="2:3">
      <c r="B3275" s="252"/>
      <c r="C3275" s="268"/>
    </row>
    <row r="3276" spans="2:3">
      <c r="B3276" s="252"/>
      <c r="C3276" s="268"/>
    </row>
    <row r="3277" spans="2:3">
      <c r="B3277" s="252"/>
      <c r="C3277" s="268"/>
    </row>
    <row r="3278" spans="2:3">
      <c r="B3278" s="252"/>
      <c r="C3278" s="268"/>
    </row>
    <row r="3279" spans="2:3">
      <c r="B3279" s="252"/>
      <c r="C3279" s="268"/>
    </row>
    <row r="3280" spans="2:3">
      <c r="B3280" s="252"/>
      <c r="C3280" s="268"/>
    </row>
    <row r="3281" spans="2:3">
      <c r="B3281" s="252"/>
      <c r="C3281" s="268"/>
    </row>
    <row r="3282" spans="2:3">
      <c r="B3282" s="252"/>
      <c r="C3282" s="268"/>
    </row>
    <row r="3283" spans="2:3">
      <c r="B3283" s="252"/>
      <c r="C3283" s="268"/>
    </row>
    <row r="3284" spans="2:3">
      <c r="B3284" s="252"/>
      <c r="C3284" s="268"/>
    </row>
    <row r="3285" spans="2:3">
      <c r="B3285" s="252"/>
      <c r="C3285" s="268"/>
    </row>
    <row r="3286" spans="2:3">
      <c r="B3286" s="252"/>
      <c r="C3286" s="268"/>
    </row>
    <row r="3287" spans="2:3">
      <c r="B3287" s="252"/>
      <c r="C3287" s="268"/>
    </row>
    <row r="3288" spans="2:3">
      <c r="B3288" s="252"/>
      <c r="C3288" s="268"/>
    </row>
    <row r="3289" spans="2:3">
      <c r="B3289" s="252"/>
      <c r="C3289" s="268"/>
    </row>
    <row r="3290" spans="2:3">
      <c r="B3290" s="252"/>
      <c r="C3290" s="268"/>
    </row>
    <row r="3291" spans="2:3">
      <c r="B3291" s="252"/>
      <c r="C3291" s="268"/>
    </row>
    <row r="3292" spans="2:3">
      <c r="B3292" s="252"/>
      <c r="C3292" s="268"/>
    </row>
    <row r="3293" spans="2:3">
      <c r="B3293" s="252"/>
      <c r="C3293" s="268"/>
    </row>
    <row r="3294" spans="2:3">
      <c r="B3294" s="252"/>
      <c r="C3294" s="268"/>
    </row>
    <row r="3295" spans="2:3">
      <c r="B3295" s="252"/>
      <c r="C3295" s="268"/>
    </row>
    <row r="3296" spans="2:3">
      <c r="B3296" s="252"/>
      <c r="C3296" s="268"/>
    </row>
    <row r="3297" spans="2:3">
      <c r="B3297" s="252"/>
      <c r="C3297" s="268"/>
    </row>
    <row r="3298" spans="2:3">
      <c r="B3298" s="252"/>
      <c r="C3298" s="268"/>
    </row>
    <row r="3299" spans="2:3">
      <c r="B3299" s="252"/>
      <c r="C3299" s="268"/>
    </row>
    <row r="3300" spans="2:3">
      <c r="B3300" s="252"/>
      <c r="C3300" s="268"/>
    </row>
    <row r="3301" spans="2:3">
      <c r="B3301" s="252"/>
      <c r="C3301" s="268"/>
    </row>
    <row r="3302" spans="2:3">
      <c r="B3302" s="252"/>
      <c r="C3302" s="268"/>
    </row>
    <row r="3303" spans="2:3">
      <c r="B3303" s="252"/>
      <c r="C3303" s="268"/>
    </row>
    <row r="3304" spans="2:3">
      <c r="B3304" s="252"/>
      <c r="C3304" s="268"/>
    </row>
    <row r="3305" spans="2:3">
      <c r="B3305" s="252"/>
      <c r="C3305" s="268"/>
    </row>
    <row r="3306" spans="2:3">
      <c r="B3306" s="252"/>
      <c r="C3306" s="268"/>
    </row>
    <row r="3307" spans="2:3">
      <c r="B3307" s="252"/>
      <c r="C3307" s="268"/>
    </row>
    <row r="3308" spans="2:3">
      <c r="B3308" s="252"/>
      <c r="C3308" s="268"/>
    </row>
    <row r="3309" spans="2:3">
      <c r="B3309" s="252"/>
      <c r="C3309" s="268"/>
    </row>
    <row r="3310" spans="2:3">
      <c r="B3310" s="252"/>
      <c r="C3310" s="268"/>
    </row>
    <row r="3311" spans="2:3">
      <c r="B3311" s="252"/>
      <c r="C3311" s="268"/>
    </row>
    <row r="3312" spans="2:3">
      <c r="B3312" s="252"/>
      <c r="C3312" s="268"/>
    </row>
    <row r="3313" spans="2:3">
      <c r="B3313" s="252"/>
      <c r="C3313" s="268"/>
    </row>
    <row r="3314" spans="2:3">
      <c r="B3314" s="252"/>
      <c r="C3314" s="268"/>
    </row>
    <row r="3315" spans="2:3">
      <c r="B3315" s="252"/>
      <c r="C3315" s="268"/>
    </row>
    <row r="3316" spans="2:3">
      <c r="B3316" s="252"/>
      <c r="C3316" s="268"/>
    </row>
    <row r="3317" spans="2:3">
      <c r="B3317" s="252"/>
      <c r="C3317" s="268"/>
    </row>
    <row r="3318" spans="2:3">
      <c r="B3318" s="252"/>
      <c r="C3318" s="268"/>
    </row>
    <row r="3319" spans="2:3">
      <c r="B3319" s="252"/>
      <c r="C3319" s="268"/>
    </row>
    <row r="3320" spans="2:3">
      <c r="B3320" s="252"/>
      <c r="C3320" s="268"/>
    </row>
    <row r="3321" spans="2:3">
      <c r="B3321" s="252"/>
      <c r="C3321" s="268"/>
    </row>
    <row r="3322" spans="2:3">
      <c r="B3322" s="252"/>
      <c r="C3322" s="268"/>
    </row>
    <row r="3323" spans="2:3">
      <c r="B3323" s="252"/>
      <c r="C3323" s="268"/>
    </row>
    <row r="3324" spans="2:3">
      <c r="B3324" s="252"/>
      <c r="C3324" s="268"/>
    </row>
    <row r="3325" spans="2:3">
      <c r="B3325" s="252"/>
      <c r="C3325" s="268"/>
    </row>
    <row r="3326" spans="2:3">
      <c r="B3326" s="252"/>
      <c r="C3326" s="268"/>
    </row>
    <row r="3327" spans="2:3">
      <c r="B3327" s="252"/>
      <c r="C3327" s="268"/>
    </row>
    <row r="3328" spans="2:3">
      <c r="B3328" s="252"/>
      <c r="C3328" s="268"/>
    </row>
    <row r="3329" spans="2:3">
      <c r="B3329" s="252"/>
      <c r="C3329" s="268"/>
    </row>
    <row r="3330" spans="2:3">
      <c r="B3330" s="252"/>
      <c r="C3330" s="268"/>
    </row>
    <row r="3331" spans="2:3">
      <c r="B3331" s="252"/>
      <c r="C3331" s="268"/>
    </row>
    <row r="3332" spans="2:3">
      <c r="B3332" s="252"/>
      <c r="C3332" s="268"/>
    </row>
    <row r="3333" spans="2:3">
      <c r="B3333" s="252"/>
      <c r="C3333" s="268"/>
    </row>
    <row r="3334" spans="2:3">
      <c r="B3334" s="252"/>
      <c r="C3334" s="268"/>
    </row>
    <row r="3335" spans="2:3">
      <c r="B3335" s="252"/>
      <c r="C3335" s="268"/>
    </row>
    <row r="3336" spans="2:3">
      <c r="B3336" s="252"/>
      <c r="C3336" s="268"/>
    </row>
    <row r="3337" spans="2:3">
      <c r="B3337" s="252"/>
      <c r="C3337" s="268"/>
    </row>
    <row r="3338" spans="2:3">
      <c r="B3338" s="252"/>
      <c r="C3338" s="268"/>
    </row>
    <row r="3339" spans="2:3">
      <c r="B3339" s="252"/>
      <c r="C3339" s="268"/>
    </row>
    <row r="3340" spans="2:3">
      <c r="B3340" s="252"/>
      <c r="C3340" s="268"/>
    </row>
    <row r="3341" spans="2:3">
      <c r="B3341" s="252"/>
      <c r="C3341" s="268"/>
    </row>
    <row r="3342" spans="2:3">
      <c r="B3342" s="252"/>
      <c r="C3342" s="268"/>
    </row>
    <row r="3343" spans="2:3">
      <c r="B3343" s="252"/>
      <c r="C3343" s="268"/>
    </row>
    <row r="3344" spans="2:3">
      <c r="B3344" s="252"/>
      <c r="C3344" s="268"/>
    </row>
    <row r="3345" spans="2:3">
      <c r="B3345" s="252"/>
      <c r="C3345" s="268"/>
    </row>
    <row r="3346" spans="2:3">
      <c r="B3346" s="252"/>
      <c r="C3346" s="268"/>
    </row>
    <row r="3347" spans="2:3">
      <c r="B3347" s="252"/>
      <c r="C3347" s="268"/>
    </row>
    <row r="3348" spans="2:3">
      <c r="B3348" s="252"/>
      <c r="C3348" s="268"/>
    </row>
    <row r="3349" spans="2:3">
      <c r="B3349" s="252"/>
      <c r="C3349" s="268"/>
    </row>
    <row r="3350" spans="2:3">
      <c r="B3350" s="252"/>
      <c r="C3350" s="268"/>
    </row>
    <row r="3351" spans="2:3">
      <c r="B3351" s="252"/>
      <c r="C3351" s="268"/>
    </row>
    <row r="3352" spans="2:3">
      <c r="B3352" s="252"/>
      <c r="C3352" s="268"/>
    </row>
    <row r="3353" spans="2:3">
      <c r="B3353" s="252"/>
      <c r="C3353" s="268"/>
    </row>
    <row r="3354" spans="2:3">
      <c r="B3354" s="252"/>
      <c r="C3354" s="268"/>
    </row>
    <row r="3355" spans="2:3">
      <c r="B3355" s="252"/>
      <c r="C3355" s="268"/>
    </row>
    <row r="3356" spans="2:3">
      <c r="B3356" s="252"/>
      <c r="C3356" s="268"/>
    </row>
    <row r="3357" spans="2:3">
      <c r="B3357" s="252"/>
      <c r="C3357" s="268"/>
    </row>
    <row r="3358" spans="2:3">
      <c r="B3358" s="252"/>
      <c r="C3358" s="268"/>
    </row>
    <row r="3359" spans="2:3">
      <c r="B3359" s="252"/>
      <c r="C3359" s="268"/>
    </row>
    <row r="3360" spans="2:3">
      <c r="B3360" s="252"/>
      <c r="C3360" s="268"/>
    </row>
    <row r="3361" spans="2:3">
      <c r="B3361" s="252"/>
      <c r="C3361" s="268"/>
    </row>
    <row r="3362" spans="2:3">
      <c r="B3362" s="252"/>
      <c r="C3362" s="268"/>
    </row>
    <row r="3363" spans="2:3">
      <c r="B3363" s="252"/>
      <c r="C3363" s="268"/>
    </row>
    <row r="3364" spans="2:3">
      <c r="B3364" s="252"/>
      <c r="C3364" s="268"/>
    </row>
    <row r="3365" spans="2:3">
      <c r="B3365" s="252"/>
      <c r="C3365" s="268"/>
    </row>
    <row r="3366" spans="2:3">
      <c r="B3366" s="252"/>
      <c r="C3366" s="268"/>
    </row>
    <row r="3367" spans="2:3">
      <c r="B3367" s="252"/>
      <c r="C3367" s="268"/>
    </row>
    <row r="3368" spans="2:3">
      <c r="B3368" s="252"/>
      <c r="C3368" s="268"/>
    </row>
    <row r="3369" spans="2:3">
      <c r="B3369" s="252"/>
      <c r="C3369" s="268"/>
    </row>
    <row r="3370" spans="2:3">
      <c r="B3370" s="252"/>
      <c r="C3370" s="268"/>
    </row>
    <row r="3371" spans="2:3">
      <c r="B3371" s="252"/>
      <c r="C3371" s="268"/>
    </row>
    <row r="3372" spans="2:3">
      <c r="B3372" s="252"/>
      <c r="C3372" s="268"/>
    </row>
    <row r="3373" spans="2:3">
      <c r="B3373" s="252"/>
      <c r="C3373" s="268"/>
    </row>
    <row r="3374" spans="2:3">
      <c r="B3374" s="252"/>
      <c r="C3374" s="268"/>
    </row>
    <row r="3375" spans="2:3">
      <c r="B3375" s="252"/>
      <c r="C3375" s="268"/>
    </row>
    <row r="3376" spans="2:3">
      <c r="B3376" s="252"/>
      <c r="C3376" s="268"/>
    </row>
    <row r="3377" spans="2:3">
      <c r="B3377" s="252"/>
      <c r="C3377" s="268"/>
    </row>
    <row r="3378" spans="2:3">
      <c r="B3378" s="252"/>
      <c r="C3378" s="268"/>
    </row>
    <row r="3379" spans="2:3">
      <c r="B3379" s="252"/>
      <c r="C3379" s="268"/>
    </row>
    <row r="3380" spans="2:3">
      <c r="B3380" s="252"/>
      <c r="C3380" s="268"/>
    </row>
    <row r="3381" spans="2:3">
      <c r="B3381" s="252"/>
      <c r="C3381" s="268"/>
    </row>
    <row r="3382" spans="2:3">
      <c r="B3382" s="252"/>
      <c r="C3382" s="268"/>
    </row>
    <row r="3383" spans="2:3">
      <c r="B3383" s="252"/>
      <c r="C3383" s="268"/>
    </row>
    <row r="3384" spans="2:3">
      <c r="B3384" s="252"/>
      <c r="C3384" s="268"/>
    </row>
    <row r="3385" spans="2:3">
      <c r="B3385" s="252"/>
      <c r="C3385" s="268"/>
    </row>
    <row r="3386" spans="2:3">
      <c r="B3386" s="252"/>
      <c r="C3386" s="268"/>
    </row>
    <row r="3387" spans="2:3">
      <c r="B3387" s="252"/>
      <c r="C3387" s="268"/>
    </row>
    <row r="3388" spans="2:3">
      <c r="B3388" s="252"/>
      <c r="C3388" s="268"/>
    </row>
    <row r="3389" spans="2:3">
      <c r="B3389" s="252"/>
      <c r="C3389" s="268"/>
    </row>
    <row r="3390" spans="2:3">
      <c r="B3390" s="252"/>
      <c r="C3390" s="268"/>
    </row>
    <row r="3391" spans="2:3">
      <c r="B3391" s="252"/>
      <c r="C3391" s="268"/>
    </row>
    <row r="3392" spans="2:3">
      <c r="B3392" s="252"/>
      <c r="C3392" s="268"/>
    </row>
    <row r="3393" spans="2:3">
      <c r="B3393" s="252"/>
      <c r="C3393" s="268"/>
    </row>
    <row r="3394" spans="2:3">
      <c r="B3394" s="252"/>
      <c r="C3394" s="268"/>
    </row>
    <row r="3395" spans="2:3">
      <c r="B3395" s="252"/>
      <c r="C3395" s="268"/>
    </row>
    <row r="3396" spans="2:3">
      <c r="B3396" s="252"/>
      <c r="C3396" s="268"/>
    </row>
    <row r="3397" spans="2:3">
      <c r="B3397" s="252"/>
      <c r="C3397" s="268"/>
    </row>
    <row r="3398" spans="2:3">
      <c r="B3398" s="252"/>
      <c r="C3398" s="268"/>
    </row>
    <row r="3399" spans="2:3">
      <c r="B3399" s="252"/>
      <c r="C3399" s="268"/>
    </row>
    <row r="3400" spans="2:3">
      <c r="B3400" s="252"/>
      <c r="C3400" s="268"/>
    </row>
    <row r="3401" spans="2:3">
      <c r="B3401" s="252"/>
      <c r="C3401" s="268"/>
    </row>
    <row r="3402" spans="2:3">
      <c r="B3402" s="252"/>
      <c r="C3402" s="268"/>
    </row>
    <row r="3403" spans="2:3">
      <c r="B3403" s="252"/>
      <c r="C3403" s="268"/>
    </row>
    <row r="3404" spans="2:3">
      <c r="B3404" s="252"/>
      <c r="C3404" s="268"/>
    </row>
    <row r="3405" spans="2:3">
      <c r="B3405" s="252"/>
      <c r="C3405" s="268"/>
    </row>
    <row r="3406" spans="2:3">
      <c r="B3406" s="252"/>
      <c r="C3406" s="268"/>
    </row>
    <row r="3407" spans="2:3">
      <c r="B3407" s="252"/>
      <c r="C3407" s="268"/>
    </row>
    <row r="3408" spans="2:3">
      <c r="B3408" s="252"/>
      <c r="C3408" s="268"/>
    </row>
    <row r="3409" spans="2:3">
      <c r="B3409" s="252"/>
      <c r="C3409" s="268"/>
    </row>
    <row r="3410" spans="2:3">
      <c r="B3410" s="252"/>
      <c r="C3410" s="268"/>
    </row>
    <row r="3411" spans="2:3">
      <c r="B3411" s="252"/>
      <c r="C3411" s="268"/>
    </row>
    <row r="3412" spans="2:3">
      <c r="B3412" s="252"/>
      <c r="C3412" s="268"/>
    </row>
    <row r="3413" spans="2:3">
      <c r="B3413" s="252"/>
      <c r="C3413" s="268"/>
    </row>
    <row r="3414" spans="2:3">
      <c r="B3414" s="252"/>
      <c r="C3414" s="268"/>
    </row>
    <row r="3415" spans="2:3">
      <c r="B3415" s="252"/>
      <c r="C3415" s="268"/>
    </row>
    <row r="3416" spans="2:3">
      <c r="B3416" s="252"/>
      <c r="C3416" s="268"/>
    </row>
    <row r="3417" spans="2:3">
      <c r="B3417" s="252"/>
      <c r="C3417" s="268"/>
    </row>
    <row r="3418" spans="2:3">
      <c r="B3418" s="252"/>
      <c r="C3418" s="268"/>
    </row>
    <row r="3419" spans="2:3">
      <c r="B3419" s="252"/>
      <c r="C3419" s="268"/>
    </row>
    <row r="3420" spans="2:3">
      <c r="B3420" s="252"/>
      <c r="C3420" s="268"/>
    </row>
    <row r="3421" spans="2:3">
      <c r="B3421" s="252"/>
      <c r="C3421" s="268"/>
    </row>
    <row r="3422" spans="2:3">
      <c r="B3422" s="252"/>
      <c r="C3422" s="268"/>
    </row>
    <row r="3423" spans="2:3">
      <c r="B3423" s="252"/>
      <c r="C3423" s="268"/>
    </row>
    <row r="3424" spans="2:3">
      <c r="B3424" s="252"/>
      <c r="C3424" s="268"/>
    </row>
    <row r="3425" spans="2:3">
      <c r="B3425" s="252"/>
      <c r="C3425" s="268"/>
    </row>
    <row r="3426" spans="2:3">
      <c r="B3426" s="252"/>
      <c r="C3426" s="268"/>
    </row>
    <row r="3427" spans="2:3">
      <c r="B3427" s="252"/>
      <c r="C3427" s="268"/>
    </row>
    <row r="3428" spans="2:3">
      <c r="B3428" s="252"/>
      <c r="C3428" s="268"/>
    </row>
    <row r="3429" spans="2:3">
      <c r="B3429" s="252"/>
      <c r="C3429" s="268"/>
    </row>
    <row r="3430" spans="2:3">
      <c r="B3430" s="252"/>
      <c r="C3430" s="268"/>
    </row>
    <row r="3431" spans="2:3">
      <c r="B3431" s="252"/>
      <c r="C3431" s="268"/>
    </row>
    <row r="3432" spans="2:3">
      <c r="B3432" s="252"/>
      <c r="C3432" s="268"/>
    </row>
    <row r="3433" spans="2:3">
      <c r="B3433" s="252"/>
      <c r="C3433" s="268"/>
    </row>
    <row r="3434" spans="2:3">
      <c r="B3434" s="252"/>
      <c r="C3434" s="268"/>
    </row>
    <row r="3435" spans="2:3">
      <c r="B3435" s="252"/>
      <c r="C3435" s="268"/>
    </row>
    <row r="3436" spans="2:3">
      <c r="B3436" s="252"/>
      <c r="C3436" s="268"/>
    </row>
    <row r="3437" spans="2:3">
      <c r="B3437" s="252"/>
      <c r="C3437" s="268"/>
    </row>
    <row r="3438" spans="2:3">
      <c r="B3438" s="252"/>
      <c r="C3438" s="268"/>
    </row>
    <row r="3439" spans="2:3">
      <c r="B3439" s="252"/>
      <c r="C3439" s="268"/>
    </row>
    <row r="3440" spans="2:3">
      <c r="B3440" s="252"/>
      <c r="C3440" s="268"/>
    </row>
    <row r="3441" spans="2:3">
      <c r="B3441" s="252"/>
      <c r="C3441" s="268"/>
    </row>
    <row r="3442" spans="2:3">
      <c r="B3442" s="252"/>
      <c r="C3442" s="268"/>
    </row>
    <row r="3443" spans="2:3">
      <c r="B3443" s="252"/>
      <c r="C3443" s="268"/>
    </row>
    <row r="3444" spans="2:3">
      <c r="B3444" s="252"/>
      <c r="C3444" s="268"/>
    </row>
    <row r="3445" spans="2:3">
      <c r="B3445" s="252"/>
      <c r="C3445" s="268"/>
    </row>
    <row r="3446" spans="2:3">
      <c r="B3446" s="252"/>
      <c r="C3446" s="268"/>
    </row>
    <row r="3447" spans="2:3">
      <c r="B3447" s="252"/>
      <c r="C3447" s="268"/>
    </row>
    <row r="3448" spans="2:3">
      <c r="B3448" s="252"/>
      <c r="C3448" s="268"/>
    </row>
    <row r="3449" spans="2:3">
      <c r="B3449" s="252"/>
      <c r="C3449" s="268"/>
    </row>
    <row r="3450" spans="2:3">
      <c r="B3450" s="252"/>
      <c r="C3450" s="268"/>
    </row>
    <row r="3451" spans="2:3">
      <c r="B3451" s="252"/>
      <c r="C3451" s="268"/>
    </row>
    <row r="3452" spans="2:3">
      <c r="B3452" s="252"/>
      <c r="C3452" s="268"/>
    </row>
    <row r="3453" spans="2:3">
      <c r="B3453" s="252"/>
      <c r="C3453" s="268"/>
    </row>
    <row r="3454" spans="2:3">
      <c r="B3454" s="252"/>
      <c r="C3454" s="268"/>
    </row>
    <row r="3455" spans="2:3">
      <c r="B3455" s="252"/>
      <c r="C3455" s="268"/>
    </row>
    <row r="3456" spans="2:3">
      <c r="B3456" s="252"/>
      <c r="C3456" s="268"/>
    </row>
    <row r="3457" spans="2:3">
      <c r="B3457" s="252"/>
      <c r="C3457" s="268"/>
    </row>
    <row r="3458" spans="2:3">
      <c r="B3458" s="252"/>
      <c r="C3458" s="268"/>
    </row>
    <row r="3459" spans="2:3">
      <c r="B3459" s="252"/>
      <c r="C3459" s="268"/>
    </row>
    <row r="3460" spans="2:3">
      <c r="B3460" s="252"/>
      <c r="C3460" s="268"/>
    </row>
    <row r="3461" spans="2:3">
      <c r="B3461" s="252"/>
      <c r="C3461" s="268"/>
    </row>
    <row r="3462" spans="2:3">
      <c r="B3462" s="252"/>
      <c r="C3462" s="268"/>
    </row>
    <row r="3463" spans="2:3">
      <c r="B3463" s="252"/>
      <c r="C3463" s="268"/>
    </row>
    <row r="3464" spans="2:3">
      <c r="B3464" s="252"/>
      <c r="C3464" s="268"/>
    </row>
    <row r="3465" spans="2:3">
      <c r="B3465" s="252"/>
      <c r="C3465" s="268"/>
    </row>
    <row r="3466" spans="2:3">
      <c r="B3466" s="252"/>
      <c r="C3466" s="268"/>
    </row>
    <row r="3467" spans="2:3">
      <c r="B3467" s="252"/>
      <c r="C3467" s="268"/>
    </row>
    <row r="3468" spans="2:3">
      <c r="B3468" s="252"/>
      <c r="C3468" s="268"/>
    </row>
    <row r="3469" spans="2:3">
      <c r="B3469" s="252"/>
      <c r="C3469" s="268"/>
    </row>
    <row r="3470" spans="2:3">
      <c r="B3470" s="252"/>
      <c r="C3470" s="268"/>
    </row>
    <row r="3471" spans="2:3">
      <c r="B3471" s="252"/>
      <c r="C3471" s="268"/>
    </row>
    <row r="3472" spans="2:3">
      <c r="B3472" s="252"/>
      <c r="C3472" s="268"/>
    </row>
    <row r="3473" spans="2:3">
      <c r="B3473" s="252"/>
      <c r="C3473" s="268"/>
    </row>
    <row r="3474" spans="2:3">
      <c r="B3474" s="252"/>
      <c r="C3474" s="268"/>
    </row>
    <row r="3475" spans="2:3">
      <c r="B3475" s="252"/>
      <c r="C3475" s="268"/>
    </row>
    <row r="3476" spans="2:3">
      <c r="B3476" s="252"/>
      <c r="C3476" s="268"/>
    </row>
    <row r="3477" spans="2:3">
      <c r="B3477" s="252"/>
      <c r="C3477" s="268"/>
    </row>
    <row r="3478" spans="2:3">
      <c r="B3478" s="252"/>
      <c r="C3478" s="268"/>
    </row>
    <row r="3479" spans="2:3">
      <c r="B3479" s="252"/>
      <c r="C3479" s="268"/>
    </row>
    <row r="3480" spans="2:3">
      <c r="B3480" s="252"/>
      <c r="C3480" s="268"/>
    </row>
    <row r="3481" spans="2:3">
      <c r="B3481" s="252"/>
      <c r="C3481" s="268"/>
    </row>
    <row r="3482" spans="2:3">
      <c r="B3482" s="252"/>
      <c r="C3482" s="268"/>
    </row>
    <row r="3483" spans="2:3">
      <c r="B3483" s="252"/>
      <c r="C3483" s="268"/>
    </row>
    <row r="3484" spans="2:3">
      <c r="B3484" s="252"/>
      <c r="C3484" s="268"/>
    </row>
    <row r="3485" spans="2:3">
      <c r="B3485" s="252"/>
      <c r="C3485" s="268"/>
    </row>
    <row r="3486" spans="2:3">
      <c r="B3486" s="252"/>
      <c r="C3486" s="268"/>
    </row>
    <row r="3487" spans="2:3">
      <c r="B3487" s="252"/>
      <c r="C3487" s="268"/>
    </row>
    <row r="3488" spans="2:3">
      <c r="B3488" s="252"/>
      <c r="C3488" s="268"/>
    </row>
    <row r="3489" spans="2:3">
      <c r="B3489" s="252"/>
      <c r="C3489" s="268"/>
    </row>
    <row r="3490" spans="2:3">
      <c r="B3490" s="252"/>
      <c r="C3490" s="268"/>
    </row>
    <row r="3491" spans="2:3">
      <c r="B3491" s="252"/>
      <c r="C3491" s="268"/>
    </row>
    <row r="3492" spans="2:3">
      <c r="B3492" s="252"/>
      <c r="C3492" s="268"/>
    </row>
    <row r="3493" spans="2:3">
      <c r="B3493" s="252"/>
      <c r="C3493" s="268"/>
    </row>
    <row r="3494" spans="2:3">
      <c r="B3494" s="252"/>
      <c r="C3494" s="268"/>
    </row>
    <row r="3495" spans="2:3">
      <c r="B3495" s="252"/>
      <c r="C3495" s="268"/>
    </row>
    <row r="3496" spans="2:3">
      <c r="B3496" s="252"/>
      <c r="C3496" s="268"/>
    </row>
    <row r="3497" spans="2:3">
      <c r="B3497" s="252"/>
      <c r="C3497" s="268"/>
    </row>
    <row r="3498" spans="2:3">
      <c r="B3498" s="252"/>
      <c r="C3498" s="268"/>
    </row>
    <row r="3499" spans="2:3">
      <c r="B3499" s="252"/>
      <c r="C3499" s="268"/>
    </row>
    <row r="3500" spans="2:3">
      <c r="B3500" s="252"/>
      <c r="C3500" s="268"/>
    </row>
    <row r="3501" spans="2:3">
      <c r="B3501" s="252"/>
      <c r="C3501" s="268"/>
    </row>
    <row r="3502" spans="2:3">
      <c r="B3502" s="252"/>
      <c r="C3502" s="268"/>
    </row>
    <row r="3503" spans="2:3">
      <c r="B3503" s="252"/>
      <c r="C3503" s="268"/>
    </row>
    <row r="3504" spans="2:3">
      <c r="B3504" s="252"/>
      <c r="C3504" s="268"/>
    </row>
    <row r="3505" spans="2:3">
      <c r="B3505" s="252"/>
      <c r="C3505" s="268"/>
    </row>
    <row r="3506" spans="2:3">
      <c r="B3506" s="252"/>
      <c r="C3506" s="268"/>
    </row>
    <row r="3507" spans="2:3">
      <c r="B3507" s="252"/>
      <c r="C3507" s="268"/>
    </row>
    <row r="3508" spans="2:3">
      <c r="B3508" s="252"/>
      <c r="C3508" s="268"/>
    </row>
    <row r="3509" spans="2:3">
      <c r="B3509" s="252"/>
      <c r="C3509" s="268"/>
    </row>
    <row r="3510" spans="2:3">
      <c r="B3510" s="252"/>
      <c r="C3510" s="268"/>
    </row>
    <row r="3511" spans="2:3">
      <c r="B3511" s="252"/>
      <c r="C3511" s="268"/>
    </row>
    <row r="3512" spans="2:3">
      <c r="B3512" s="252"/>
      <c r="C3512" s="268"/>
    </row>
    <row r="3513" spans="2:3">
      <c r="B3513" s="252"/>
      <c r="C3513" s="268"/>
    </row>
    <row r="3514" spans="2:3">
      <c r="B3514" s="252"/>
      <c r="C3514" s="268"/>
    </row>
    <row r="3515" spans="2:3">
      <c r="B3515" s="252"/>
      <c r="C3515" s="268"/>
    </row>
    <row r="3516" spans="2:3">
      <c r="B3516" s="252"/>
      <c r="C3516" s="268"/>
    </row>
    <row r="3517" spans="2:3">
      <c r="B3517" s="252"/>
      <c r="C3517" s="268"/>
    </row>
    <row r="3518" spans="2:3">
      <c r="B3518" s="252"/>
      <c r="C3518" s="268"/>
    </row>
    <row r="3519" spans="2:3">
      <c r="B3519" s="252"/>
      <c r="C3519" s="268"/>
    </row>
    <row r="3520" spans="2:3">
      <c r="B3520" s="252"/>
      <c r="C3520" s="268"/>
    </row>
    <row r="3521" spans="2:3">
      <c r="B3521" s="252"/>
      <c r="C3521" s="268"/>
    </row>
    <row r="3522" spans="2:3">
      <c r="B3522" s="252"/>
      <c r="C3522" s="268"/>
    </row>
    <row r="3523" spans="2:3">
      <c r="B3523" s="252"/>
      <c r="C3523" s="268"/>
    </row>
    <row r="3524" spans="2:3">
      <c r="B3524" s="252"/>
      <c r="C3524" s="268"/>
    </row>
    <row r="3525" spans="2:3">
      <c r="B3525" s="252"/>
      <c r="C3525" s="268"/>
    </row>
    <row r="3526" spans="2:3">
      <c r="B3526" s="252"/>
      <c r="C3526" s="268"/>
    </row>
    <row r="3527" spans="2:3">
      <c r="B3527" s="252"/>
      <c r="C3527" s="268"/>
    </row>
    <row r="3528" spans="2:3">
      <c r="B3528" s="252"/>
      <c r="C3528" s="268"/>
    </row>
    <row r="3529" spans="2:3">
      <c r="B3529" s="252"/>
      <c r="C3529" s="268"/>
    </row>
    <row r="3530" spans="2:3">
      <c r="B3530" s="252"/>
      <c r="C3530" s="268"/>
    </row>
    <row r="3531" spans="2:3">
      <c r="B3531" s="252"/>
      <c r="C3531" s="268"/>
    </row>
    <row r="3532" spans="2:3">
      <c r="B3532" s="252"/>
      <c r="C3532" s="268"/>
    </row>
    <row r="3533" spans="2:3">
      <c r="B3533" s="252"/>
      <c r="C3533" s="268"/>
    </row>
    <row r="3534" spans="2:3">
      <c r="B3534" s="252"/>
      <c r="C3534" s="268"/>
    </row>
    <row r="3535" spans="2:3">
      <c r="B3535" s="252"/>
      <c r="C3535" s="268"/>
    </row>
    <row r="3536" spans="2:3">
      <c r="B3536" s="252"/>
      <c r="C3536" s="268"/>
    </row>
    <row r="3537" spans="2:3">
      <c r="B3537" s="252"/>
      <c r="C3537" s="268"/>
    </row>
    <row r="3538" spans="2:3">
      <c r="B3538" s="252"/>
      <c r="C3538" s="268"/>
    </row>
    <row r="3539" spans="2:3">
      <c r="B3539" s="252"/>
      <c r="C3539" s="268"/>
    </row>
    <row r="3540" spans="2:3">
      <c r="B3540" s="252"/>
      <c r="C3540" s="268"/>
    </row>
    <row r="3541" spans="2:3">
      <c r="B3541" s="252"/>
      <c r="C3541" s="268"/>
    </row>
    <row r="3542" spans="2:3">
      <c r="B3542" s="252"/>
      <c r="C3542" s="268"/>
    </row>
    <row r="3543" spans="2:3">
      <c r="B3543" s="252"/>
      <c r="C3543" s="268"/>
    </row>
    <row r="3544" spans="2:3">
      <c r="B3544" s="252"/>
      <c r="C3544" s="268"/>
    </row>
    <row r="3545" spans="2:3">
      <c r="B3545" s="252"/>
      <c r="C3545" s="268"/>
    </row>
    <row r="3546" spans="2:3">
      <c r="B3546" s="252"/>
      <c r="C3546" s="268"/>
    </row>
    <row r="3547" spans="2:3">
      <c r="B3547" s="252"/>
      <c r="C3547" s="268"/>
    </row>
    <row r="3548" spans="2:3">
      <c r="B3548" s="252"/>
      <c r="C3548" s="268"/>
    </row>
    <row r="3549" spans="2:3">
      <c r="B3549" s="252"/>
      <c r="C3549" s="268"/>
    </row>
    <row r="3550" spans="2:3">
      <c r="B3550" s="252"/>
      <c r="C3550" s="268"/>
    </row>
    <row r="3551" spans="2:3">
      <c r="B3551" s="252"/>
      <c r="C3551" s="268"/>
    </row>
    <row r="3552" spans="2:3">
      <c r="B3552" s="252"/>
      <c r="C3552" s="268"/>
    </row>
    <row r="3553" spans="2:3">
      <c r="B3553" s="252"/>
      <c r="C3553" s="268"/>
    </row>
    <row r="3554" spans="2:3">
      <c r="B3554" s="252"/>
      <c r="C3554" s="268"/>
    </row>
    <row r="3555" spans="2:3">
      <c r="B3555" s="252"/>
      <c r="C3555" s="268"/>
    </row>
    <row r="3556" spans="2:3">
      <c r="B3556" s="252"/>
      <c r="C3556" s="268"/>
    </row>
    <row r="3557" spans="2:3">
      <c r="B3557" s="252"/>
      <c r="C3557" s="268"/>
    </row>
    <row r="3558" spans="2:3">
      <c r="B3558" s="252"/>
      <c r="C3558" s="268"/>
    </row>
    <row r="3559" spans="2:3">
      <c r="B3559" s="252"/>
      <c r="C3559" s="268"/>
    </row>
    <row r="3560" spans="2:3">
      <c r="B3560" s="252"/>
      <c r="C3560" s="268"/>
    </row>
    <row r="3561" spans="2:3">
      <c r="B3561" s="252"/>
      <c r="C3561" s="268"/>
    </row>
    <row r="3562" spans="2:3">
      <c r="B3562" s="252"/>
      <c r="C3562" s="268"/>
    </row>
    <row r="3563" spans="2:3">
      <c r="B3563" s="252"/>
      <c r="C3563" s="268"/>
    </row>
    <row r="3564" spans="2:3">
      <c r="B3564" s="252"/>
      <c r="C3564" s="268"/>
    </row>
    <row r="3565" spans="2:3">
      <c r="B3565" s="252"/>
      <c r="C3565" s="268"/>
    </row>
    <row r="3566" spans="2:3">
      <c r="B3566" s="252"/>
      <c r="C3566" s="268"/>
    </row>
    <row r="3567" spans="2:3">
      <c r="B3567" s="252"/>
      <c r="C3567" s="268"/>
    </row>
    <row r="3568" spans="2:3">
      <c r="B3568" s="252"/>
      <c r="C3568" s="268"/>
    </row>
    <row r="3569" spans="2:3">
      <c r="B3569" s="252"/>
      <c r="C3569" s="268"/>
    </row>
    <row r="3570" spans="2:3">
      <c r="B3570" s="252"/>
      <c r="C3570" s="268"/>
    </row>
    <row r="3571" spans="2:3">
      <c r="B3571" s="252"/>
      <c r="C3571" s="268"/>
    </row>
    <row r="3572" spans="2:3">
      <c r="B3572" s="252"/>
      <c r="C3572" s="268"/>
    </row>
    <row r="3573" spans="2:3">
      <c r="B3573" s="252"/>
      <c r="C3573" s="268"/>
    </row>
    <row r="3574" spans="2:3">
      <c r="B3574" s="252"/>
      <c r="C3574" s="268"/>
    </row>
    <row r="3575" spans="2:3">
      <c r="B3575" s="252"/>
      <c r="C3575" s="268"/>
    </row>
    <row r="3576" spans="2:3">
      <c r="B3576" s="252"/>
      <c r="C3576" s="268"/>
    </row>
    <row r="3577" spans="2:3">
      <c r="B3577" s="252"/>
      <c r="C3577" s="268"/>
    </row>
    <row r="3578" spans="2:3">
      <c r="B3578" s="252"/>
      <c r="C3578" s="268"/>
    </row>
    <row r="3579" spans="2:3">
      <c r="B3579" s="252"/>
      <c r="C3579" s="268"/>
    </row>
    <row r="3580" spans="2:3">
      <c r="B3580" s="252"/>
      <c r="C3580" s="268"/>
    </row>
    <row r="3581" spans="2:3">
      <c r="B3581" s="252"/>
      <c r="C3581" s="268"/>
    </row>
    <row r="3582" spans="2:3">
      <c r="B3582" s="252"/>
      <c r="C3582" s="268"/>
    </row>
    <row r="3583" spans="2:3">
      <c r="B3583" s="252"/>
      <c r="C3583" s="268"/>
    </row>
    <row r="3584" spans="2:3">
      <c r="B3584" s="252"/>
      <c r="C3584" s="268"/>
    </row>
    <row r="3585" spans="2:3">
      <c r="B3585" s="252"/>
      <c r="C3585" s="268"/>
    </row>
    <row r="3586" spans="2:3">
      <c r="B3586" s="252"/>
      <c r="C3586" s="268"/>
    </row>
    <row r="3587" spans="2:3">
      <c r="B3587" s="252"/>
      <c r="C3587" s="268"/>
    </row>
    <row r="3588" spans="2:3">
      <c r="B3588" s="252"/>
      <c r="C3588" s="268"/>
    </row>
    <row r="3589" spans="2:3">
      <c r="B3589" s="252"/>
      <c r="C3589" s="268"/>
    </row>
    <row r="3590" spans="2:3">
      <c r="B3590" s="252"/>
      <c r="C3590" s="268"/>
    </row>
    <row r="3591" spans="2:3">
      <c r="B3591" s="252"/>
      <c r="C3591" s="268"/>
    </row>
    <row r="3592" spans="2:3">
      <c r="B3592" s="252"/>
      <c r="C3592" s="268"/>
    </row>
    <row r="3593" spans="2:3">
      <c r="B3593" s="252"/>
      <c r="C3593" s="268"/>
    </row>
    <row r="3594" spans="2:3">
      <c r="B3594" s="252"/>
      <c r="C3594" s="268"/>
    </row>
    <row r="3595" spans="2:3">
      <c r="B3595" s="252"/>
      <c r="C3595" s="268"/>
    </row>
    <row r="3596" spans="2:3">
      <c r="B3596" s="252"/>
      <c r="C3596" s="268"/>
    </row>
    <row r="3597" spans="2:3">
      <c r="B3597" s="252"/>
      <c r="C3597" s="268"/>
    </row>
    <row r="3598" spans="2:3">
      <c r="B3598" s="252"/>
      <c r="C3598" s="268"/>
    </row>
    <row r="3599" spans="2:3">
      <c r="B3599" s="252"/>
      <c r="C3599" s="268"/>
    </row>
    <row r="3600" spans="2:3">
      <c r="B3600" s="252"/>
      <c r="C3600" s="268"/>
    </row>
    <row r="3601" spans="2:3">
      <c r="B3601" s="252"/>
      <c r="C3601" s="268"/>
    </row>
    <row r="3602" spans="2:3">
      <c r="B3602" s="252"/>
      <c r="C3602" s="268"/>
    </row>
    <row r="3603" spans="2:3">
      <c r="B3603" s="252"/>
      <c r="C3603" s="268"/>
    </row>
    <row r="3604" spans="2:3">
      <c r="B3604" s="252"/>
      <c r="C3604" s="268"/>
    </row>
    <row r="3605" spans="2:3">
      <c r="B3605" s="252"/>
      <c r="C3605" s="268"/>
    </row>
    <row r="3606" spans="2:3">
      <c r="B3606" s="252"/>
      <c r="C3606" s="268"/>
    </row>
    <row r="3607" spans="2:3">
      <c r="B3607" s="252"/>
      <c r="C3607" s="268"/>
    </row>
    <row r="3608" spans="2:3">
      <c r="B3608" s="252"/>
      <c r="C3608" s="268"/>
    </row>
    <row r="3609" spans="2:3">
      <c r="B3609" s="252"/>
      <c r="C3609" s="268"/>
    </row>
    <row r="3610" spans="2:3">
      <c r="B3610" s="252"/>
      <c r="C3610" s="268"/>
    </row>
    <row r="3611" spans="2:3">
      <c r="B3611" s="252"/>
      <c r="C3611" s="268"/>
    </row>
    <row r="3612" spans="2:3">
      <c r="B3612" s="252"/>
      <c r="C3612" s="268"/>
    </row>
    <row r="3613" spans="2:3">
      <c r="B3613" s="252"/>
      <c r="C3613" s="268"/>
    </row>
    <row r="3614" spans="2:3">
      <c r="B3614" s="252"/>
      <c r="C3614" s="268"/>
    </row>
    <row r="3615" spans="2:3">
      <c r="B3615" s="252"/>
      <c r="C3615" s="268"/>
    </row>
    <row r="3616" spans="2:3">
      <c r="B3616" s="252"/>
      <c r="C3616" s="268"/>
    </row>
    <row r="3617" spans="2:3">
      <c r="B3617" s="252"/>
      <c r="C3617" s="268"/>
    </row>
    <row r="3618" spans="2:3">
      <c r="B3618" s="252"/>
      <c r="C3618" s="268"/>
    </row>
    <row r="3619" spans="2:3">
      <c r="B3619" s="252"/>
      <c r="C3619" s="268"/>
    </row>
    <row r="3620" spans="2:3">
      <c r="B3620" s="252"/>
      <c r="C3620" s="268"/>
    </row>
    <row r="3621" spans="2:3">
      <c r="B3621" s="252"/>
      <c r="C3621" s="268"/>
    </row>
    <row r="3622" spans="2:3">
      <c r="B3622" s="252"/>
      <c r="C3622" s="268"/>
    </row>
    <row r="3623" spans="2:3">
      <c r="B3623" s="252"/>
      <c r="C3623" s="268"/>
    </row>
    <row r="3624" spans="2:3">
      <c r="B3624" s="252"/>
      <c r="C3624" s="268"/>
    </row>
    <row r="3625" spans="2:3">
      <c r="B3625" s="252"/>
      <c r="C3625" s="268"/>
    </row>
    <row r="3626" spans="2:3">
      <c r="B3626" s="252"/>
      <c r="C3626" s="268"/>
    </row>
    <row r="3627" spans="2:3">
      <c r="B3627" s="252"/>
      <c r="C3627" s="268"/>
    </row>
    <row r="3628" spans="2:3">
      <c r="B3628" s="252"/>
      <c r="C3628" s="268"/>
    </row>
    <row r="3629" spans="2:3">
      <c r="B3629" s="252"/>
      <c r="C3629" s="268"/>
    </row>
    <row r="3630" spans="2:3">
      <c r="B3630" s="252"/>
      <c r="C3630" s="268"/>
    </row>
    <row r="3631" spans="2:3">
      <c r="B3631" s="252"/>
      <c r="C3631" s="268"/>
    </row>
    <row r="3632" spans="2:3">
      <c r="B3632" s="252"/>
      <c r="C3632" s="268"/>
    </row>
    <row r="3633" spans="2:3">
      <c r="B3633" s="252"/>
      <c r="C3633" s="268"/>
    </row>
    <row r="3634" spans="2:3">
      <c r="B3634" s="252"/>
      <c r="C3634" s="268"/>
    </row>
    <row r="3635" spans="2:3">
      <c r="B3635" s="252"/>
      <c r="C3635" s="268"/>
    </row>
    <row r="3636" spans="2:3">
      <c r="B3636" s="252"/>
      <c r="C3636" s="268"/>
    </row>
    <row r="3637" spans="2:3">
      <c r="B3637" s="252"/>
      <c r="C3637" s="268"/>
    </row>
    <row r="3638" spans="2:3">
      <c r="B3638" s="252"/>
      <c r="C3638" s="268"/>
    </row>
    <row r="3639" spans="2:3">
      <c r="B3639" s="252"/>
      <c r="C3639" s="268"/>
    </row>
    <row r="3640" spans="2:3">
      <c r="B3640" s="252"/>
      <c r="C3640" s="268"/>
    </row>
    <row r="3641" spans="2:3">
      <c r="B3641" s="252"/>
      <c r="C3641" s="268"/>
    </row>
    <row r="3642" spans="2:3">
      <c r="B3642" s="252"/>
      <c r="C3642" s="268"/>
    </row>
    <row r="3643" spans="2:3">
      <c r="B3643" s="252"/>
      <c r="C3643" s="268"/>
    </row>
    <row r="3644" spans="2:3">
      <c r="B3644" s="252"/>
      <c r="C3644" s="268"/>
    </row>
    <row r="3645" spans="2:3">
      <c r="B3645" s="252"/>
      <c r="C3645" s="268"/>
    </row>
    <row r="3646" spans="2:3">
      <c r="B3646" s="252"/>
      <c r="C3646" s="268"/>
    </row>
    <row r="3647" spans="2:3">
      <c r="B3647" s="252"/>
      <c r="C3647" s="268"/>
    </row>
    <row r="3648" spans="2:3">
      <c r="B3648" s="252"/>
      <c r="C3648" s="268"/>
    </row>
    <row r="3649" spans="2:3">
      <c r="B3649" s="252"/>
      <c r="C3649" s="268"/>
    </row>
    <row r="3650" spans="2:3">
      <c r="B3650" s="252"/>
      <c r="C3650" s="268"/>
    </row>
    <row r="3651" spans="2:3">
      <c r="B3651" s="252"/>
      <c r="C3651" s="268"/>
    </row>
    <row r="3652" spans="2:3">
      <c r="B3652" s="252"/>
      <c r="C3652" s="268"/>
    </row>
    <row r="3653" spans="2:3">
      <c r="B3653" s="252"/>
      <c r="C3653" s="268"/>
    </row>
    <row r="3654" spans="2:3">
      <c r="B3654" s="252"/>
      <c r="C3654" s="268"/>
    </row>
    <row r="3655" spans="2:3">
      <c r="B3655" s="252"/>
      <c r="C3655" s="268"/>
    </row>
    <row r="3656" spans="2:3">
      <c r="B3656" s="252"/>
      <c r="C3656" s="268"/>
    </row>
    <row r="3657" spans="2:3">
      <c r="B3657" s="252"/>
      <c r="C3657" s="268"/>
    </row>
    <row r="3658" spans="2:3">
      <c r="B3658" s="252"/>
      <c r="C3658" s="268"/>
    </row>
    <row r="3659" spans="2:3">
      <c r="B3659" s="252"/>
      <c r="C3659" s="268"/>
    </row>
    <row r="3660" spans="2:3">
      <c r="B3660" s="252"/>
      <c r="C3660" s="268"/>
    </row>
    <row r="3661" spans="2:3">
      <c r="B3661" s="252"/>
      <c r="C3661" s="268"/>
    </row>
    <row r="3662" spans="2:3">
      <c r="B3662" s="252"/>
      <c r="C3662" s="268"/>
    </row>
    <row r="3663" spans="2:3">
      <c r="B3663" s="252"/>
      <c r="C3663" s="268"/>
    </row>
    <row r="3664" spans="2:3">
      <c r="B3664" s="252"/>
      <c r="C3664" s="268"/>
    </row>
    <row r="3665" spans="2:3">
      <c r="B3665" s="252"/>
      <c r="C3665" s="268"/>
    </row>
    <row r="3666" spans="2:3">
      <c r="B3666" s="252"/>
      <c r="C3666" s="268"/>
    </row>
    <row r="3667" spans="2:3">
      <c r="B3667" s="252"/>
      <c r="C3667" s="268"/>
    </row>
    <row r="3668" spans="2:3">
      <c r="B3668" s="252"/>
      <c r="C3668" s="268"/>
    </row>
    <row r="3669" spans="2:3">
      <c r="B3669" s="252"/>
      <c r="C3669" s="268"/>
    </row>
    <row r="3670" spans="2:3">
      <c r="B3670" s="252"/>
      <c r="C3670" s="268"/>
    </row>
    <row r="3671" spans="2:3">
      <c r="B3671" s="252"/>
      <c r="C3671" s="268"/>
    </row>
    <row r="3672" spans="2:3">
      <c r="B3672" s="252"/>
      <c r="C3672" s="268"/>
    </row>
    <row r="3673" spans="2:3">
      <c r="B3673" s="252"/>
      <c r="C3673" s="268"/>
    </row>
    <row r="3674" spans="2:3">
      <c r="B3674" s="252"/>
      <c r="C3674" s="268"/>
    </row>
    <row r="3675" spans="2:3">
      <c r="B3675" s="252"/>
      <c r="C3675" s="268"/>
    </row>
    <row r="3676" spans="2:3">
      <c r="B3676" s="252"/>
      <c r="C3676" s="268"/>
    </row>
    <row r="3677" spans="2:3">
      <c r="B3677" s="252"/>
      <c r="C3677" s="268"/>
    </row>
    <row r="3678" spans="2:3">
      <c r="B3678" s="252"/>
      <c r="C3678" s="268"/>
    </row>
    <row r="3679" spans="2:3">
      <c r="B3679" s="252"/>
      <c r="C3679" s="268"/>
    </row>
    <row r="3680" spans="2:3">
      <c r="B3680" s="252"/>
      <c r="C3680" s="268"/>
    </row>
    <row r="3681" spans="2:3">
      <c r="B3681" s="252"/>
      <c r="C3681" s="268"/>
    </row>
    <row r="3682" spans="2:3">
      <c r="B3682" s="252"/>
      <c r="C3682" s="268"/>
    </row>
    <row r="3683" spans="2:3">
      <c r="B3683" s="252"/>
      <c r="C3683" s="268"/>
    </row>
    <row r="3684" spans="2:3">
      <c r="B3684" s="252"/>
      <c r="C3684" s="268"/>
    </row>
    <row r="3685" spans="2:3">
      <c r="B3685" s="252"/>
      <c r="C3685" s="268"/>
    </row>
    <row r="3686" spans="2:3">
      <c r="B3686" s="252"/>
      <c r="C3686" s="268"/>
    </row>
    <row r="3687" spans="2:3">
      <c r="B3687" s="252"/>
      <c r="C3687" s="268"/>
    </row>
    <row r="3688" spans="2:3">
      <c r="B3688" s="252"/>
      <c r="C3688" s="268"/>
    </row>
    <row r="3689" spans="2:3">
      <c r="B3689" s="252"/>
      <c r="C3689" s="268"/>
    </row>
    <row r="3690" spans="2:3">
      <c r="B3690" s="252"/>
      <c r="C3690" s="268"/>
    </row>
    <row r="3691" spans="2:3">
      <c r="B3691" s="252"/>
      <c r="C3691" s="268"/>
    </row>
    <row r="3692" spans="2:3">
      <c r="B3692" s="252"/>
      <c r="C3692" s="268"/>
    </row>
    <row r="3693" spans="2:3">
      <c r="B3693" s="252"/>
      <c r="C3693" s="268"/>
    </row>
    <row r="3694" spans="2:3">
      <c r="B3694" s="252"/>
      <c r="C3694" s="268"/>
    </row>
    <row r="3695" spans="2:3">
      <c r="B3695" s="252"/>
      <c r="C3695" s="268"/>
    </row>
    <row r="3696" spans="2:3">
      <c r="B3696" s="252"/>
      <c r="C3696" s="268"/>
    </row>
    <row r="3697" spans="2:3">
      <c r="B3697" s="252"/>
      <c r="C3697" s="268"/>
    </row>
    <row r="3698" spans="2:3">
      <c r="B3698" s="252"/>
      <c r="C3698" s="268"/>
    </row>
    <row r="3699" spans="2:3">
      <c r="B3699" s="252"/>
      <c r="C3699" s="268"/>
    </row>
    <row r="3700" spans="2:3">
      <c r="B3700" s="252"/>
      <c r="C3700" s="268"/>
    </row>
    <row r="3701" spans="2:3">
      <c r="B3701" s="252"/>
      <c r="C3701" s="268"/>
    </row>
    <row r="3702" spans="2:3">
      <c r="B3702" s="252"/>
      <c r="C3702" s="268"/>
    </row>
    <row r="3703" spans="2:3">
      <c r="B3703" s="252"/>
      <c r="C3703" s="268"/>
    </row>
    <row r="3704" spans="2:3">
      <c r="B3704" s="252"/>
      <c r="C3704" s="268"/>
    </row>
    <row r="3705" spans="2:3">
      <c r="B3705" s="252"/>
      <c r="C3705" s="268"/>
    </row>
    <row r="3706" spans="2:3">
      <c r="B3706" s="252"/>
      <c r="C3706" s="268"/>
    </row>
    <row r="3707" spans="2:3">
      <c r="B3707" s="252"/>
      <c r="C3707" s="268"/>
    </row>
    <row r="3708" spans="2:3">
      <c r="B3708" s="252"/>
      <c r="C3708" s="268"/>
    </row>
    <row r="3709" spans="2:3">
      <c r="B3709" s="252"/>
      <c r="C3709" s="268"/>
    </row>
    <row r="3710" spans="2:3">
      <c r="B3710" s="252"/>
      <c r="C3710" s="268"/>
    </row>
    <row r="3711" spans="2:3">
      <c r="B3711" s="252"/>
      <c r="C3711" s="268"/>
    </row>
    <row r="3712" spans="2:3">
      <c r="B3712" s="252"/>
      <c r="C3712" s="268"/>
    </row>
    <row r="3713" spans="2:3">
      <c r="B3713" s="252"/>
      <c r="C3713" s="268"/>
    </row>
    <row r="3714" spans="2:3">
      <c r="B3714" s="252"/>
      <c r="C3714" s="268"/>
    </row>
    <row r="3715" spans="2:3">
      <c r="B3715" s="252"/>
      <c r="C3715" s="268"/>
    </row>
    <row r="3716" spans="2:3">
      <c r="B3716" s="252"/>
      <c r="C3716" s="268"/>
    </row>
    <row r="3717" spans="2:3">
      <c r="B3717" s="252"/>
      <c r="C3717" s="268"/>
    </row>
    <row r="3718" spans="2:3">
      <c r="B3718" s="252"/>
      <c r="C3718" s="268"/>
    </row>
    <row r="3719" spans="2:3">
      <c r="B3719" s="252"/>
      <c r="C3719" s="268"/>
    </row>
    <row r="3720" spans="2:3">
      <c r="B3720" s="252"/>
      <c r="C3720" s="268"/>
    </row>
    <row r="3721" spans="2:3">
      <c r="B3721" s="252"/>
      <c r="C3721" s="268"/>
    </row>
    <row r="3722" spans="2:3">
      <c r="B3722" s="252"/>
      <c r="C3722" s="268"/>
    </row>
    <row r="3723" spans="2:3">
      <c r="B3723" s="252"/>
      <c r="C3723" s="268"/>
    </row>
    <row r="3724" spans="2:3">
      <c r="B3724" s="252"/>
      <c r="C3724" s="268"/>
    </row>
    <row r="3725" spans="2:3">
      <c r="B3725" s="252"/>
      <c r="C3725" s="268"/>
    </row>
    <row r="3726" spans="2:3">
      <c r="B3726" s="252"/>
      <c r="C3726" s="268"/>
    </row>
    <row r="3727" spans="2:3">
      <c r="B3727" s="252"/>
      <c r="C3727" s="268"/>
    </row>
    <row r="3728" spans="2:3">
      <c r="B3728" s="252"/>
      <c r="C3728" s="268"/>
    </row>
    <row r="3729" spans="2:3">
      <c r="B3729" s="252"/>
      <c r="C3729" s="268"/>
    </row>
    <row r="3730" spans="2:3">
      <c r="B3730" s="252"/>
      <c r="C3730" s="268"/>
    </row>
    <row r="3731" spans="2:3">
      <c r="B3731" s="252"/>
      <c r="C3731" s="268"/>
    </row>
    <row r="3732" spans="2:3">
      <c r="B3732" s="252"/>
      <c r="C3732" s="268"/>
    </row>
    <row r="3733" spans="2:3">
      <c r="B3733" s="252"/>
      <c r="C3733" s="268"/>
    </row>
    <row r="3734" spans="2:3">
      <c r="B3734" s="252"/>
      <c r="C3734" s="268"/>
    </row>
    <row r="3735" spans="2:3">
      <c r="B3735" s="252"/>
      <c r="C3735" s="268"/>
    </row>
    <row r="3736" spans="2:3">
      <c r="B3736" s="252"/>
      <c r="C3736" s="268"/>
    </row>
    <row r="3737" spans="2:3">
      <c r="B3737" s="252"/>
      <c r="C3737" s="268"/>
    </row>
    <row r="3738" spans="2:3">
      <c r="B3738" s="252"/>
      <c r="C3738" s="268"/>
    </row>
    <row r="3739" spans="2:3">
      <c r="B3739" s="252"/>
      <c r="C3739" s="268"/>
    </row>
    <row r="3740" spans="2:3">
      <c r="B3740" s="252"/>
      <c r="C3740" s="268"/>
    </row>
    <row r="3741" spans="2:3">
      <c r="B3741" s="252"/>
      <c r="C3741" s="268"/>
    </row>
    <row r="3742" spans="2:3">
      <c r="B3742" s="252"/>
      <c r="C3742" s="268"/>
    </row>
    <row r="3743" spans="2:3">
      <c r="B3743" s="252"/>
      <c r="C3743" s="268"/>
    </row>
    <row r="3744" spans="2:3">
      <c r="B3744" s="252"/>
      <c r="C3744" s="268"/>
    </row>
    <row r="3745" spans="2:3">
      <c r="B3745" s="252"/>
      <c r="C3745" s="268"/>
    </row>
    <row r="3746" spans="2:3">
      <c r="B3746" s="252"/>
      <c r="C3746" s="268"/>
    </row>
    <row r="3747" spans="2:3">
      <c r="B3747" s="252"/>
      <c r="C3747" s="268"/>
    </row>
    <row r="3748" spans="2:3">
      <c r="B3748" s="252"/>
      <c r="C3748" s="268"/>
    </row>
    <row r="3749" spans="2:3">
      <c r="B3749" s="252"/>
      <c r="C3749" s="268"/>
    </row>
    <row r="3750" spans="2:3">
      <c r="B3750" s="252"/>
      <c r="C3750" s="268"/>
    </row>
    <row r="3751" spans="2:3">
      <c r="B3751" s="252"/>
      <c r="C3751" s="268"/>
    </row>
    <row r="3752" spans="2:3">
      <c r="B3752" s="252"/>
      <c r="C3752" s="268"/>
    </row>
    <row r="3753" spans="2:3">
      <c r="B3753" s="252"/>
      <c r="C3753" s="268"/>
    </row>
    <row r="3754" spans="2:3">
      <c r="B3754" s="252"/>
      <c r="C3754" s="268"/>
    </row>
    <row r="3755" spans="2:3">
      <c r="B3755" s="252"/>
      <c r="C3755" s="268"/>
    </row>
    <row r="3756" spans="2:3">
      <c r="B3756" s="252"/>
      <c r="C3756" s="268"/>
    </row>
    <row r="3757" spans="2:3">
      <c r="B3757" s="252"/>
      <c r="C3757" s="268"/>
    </row>
    <row r="3758" spans="2:3">
      <c r="B3758" s="252"/>
      <c r="C3758" s="268"/>
    </row>
    <row r="3759" spans="2:3">
      <c r="B3759" s="252"/>
      <c r="C3759" s="268"/>
    </row>
    <row r="3760" spans="2:3">
      <c r="B3760" s="252"/>
      <c r="C3760" s="268"/>
    </row>
    <row r="3761" spans="2:3">
      <c r="B3761" s="252"/>
      <c r="C3761" s="268"/>
    </row>
    <row r="3762" spans="2:3">
      <c r="B3762" s="252"/>
      <c r="C3762" s="268"/>
    </row>
    <row r="3763" spans="2:3">
      <c r="B3763" s="252"/>
      <c r="C3763" s="268"/>
    </row>
    <row r="3764" spans="2:3">
      <c r="B3764" s="252"/>
      <c r="C3764" s="268"/>
    </row>
    <row r="3765" spans="2:3">
      <c r="B3765" s="252"/>
      <c r="C3765" s="268"/>
    </row>
    <row r="3766" spans="2:3">
      <c r="B3766" s="252"/>
      <c r="C3766" s="268"/>
    </row>
    <row r="3767" spans="2:3">
      <c r="B3767" s="252"/>
      <c r="C3767" s="268"/>
    </row>
    <row r="3768" spans="2:3">
      <c r="B3768" s="252"/>
      <c r="C3768" s="268"/>
    </row>
    <row r="3769" spans="2:3">
      <c r="B3769" s="252"/>
      <c r="C3769" s="268"/>
    </row>
    <row r="3770" spans="2:3">
      <c r="B3770" s="252"/>
      <c r="C3770" s="268"/>
    </row>
    <row r="3771" spans="2:3">
      <c r="B3771" s="252"/>
      <c r="C3771" s="268"/>
    </row>
    <row r="3772" spans="2:3">
      <c r="B3772" s="252"/>
      <c r="C3772" s="268"/>
    </row>
    <row r="3773" spans="2:3">
      <c r="B3773" s="252"/>
      <c r="C3773" s="268"/>
    </row>
    <row r="3774" spans="2:3">
      <c r="B3774" s="252"/>
      <c r="C3774" s="268"/>
    </row>
    <row r="3775" spans="2:3">
      <c r="B3775" s="252"/>
      <c r="C3775" s="268"/>
    </row>
    <row r="3776" spans="2:3">
      <c r="B3776" s="252"/>
      <c r="C3776" s="268"/>
    </row>
    <row r="3777" spans="2:3">
      <c r="B3777" s="252"/>
      <c r="C3777" s="268"/>
    </row>
    <row r="3778" spans="2:3">
      <c r="B3778" s="252"/>
      <c r="C3778" s="268"/>
    </row>
    <row r="3779" spans="2:3">
      <c r="B3779" s="252"/>
      <c r="C3779" s="268"/>
    </row>
    <row r="3780" spans="2:3">
      <c r="B3780" s="252"/>
      <c r="C3780" s="268"/>
    </row>
    <row r="3781" spans="2:3">
      <c r="B3781" s="252"/>
      <c r="C3781" s="268"/>
    </row>
    <row r="3782" spans="2:3">
      <c r="B3782" s="252"/>
      <c r="C3782" s="268"/>
    </row>
    <row r="3783" spans="2:3">
      <c r="B3783" s="252"/>
      <c r="C3783" s="268"/>
    </row>
    <row r="3784" spans="2:3">
      <c r="B3784" s="252"/>
      <c r="C3784" s="268"/>
    </row>
    <row r="3785" spans="2:3">
      <c r="B3785" s="252"/>
      <c r="C3785" s="268"/>
    </row>
    <row r="3786" spans="2:3">
      <c r="B3786" s="252"/>
      <c r="C3786" s="268"/>
    </row>
    <row r="3787" spans="2:3">
      <c r="B3787" s="252"/>
      <c r="C3787" s="268"/>
    </row>
    <row r="3788" spans="2:3">
      <c r="B3788" s="252"/>
      <c r="C3788" s="268"/>
    </row>
    <row r="3789" spans="2:3">
      <c r="B3789" s="252"/>
      <c r="C3789" s="268"/>
    </row>
    <row r="3790" spans="2:3">
      <c r="B3790" s="252"/>
      <c r="C3790" s="268"/>
    </row>
    <row r="3791" spans="2:3">
      <c r="B3791" s="252"/>
      <c r="C3791" s="268"/>
    </row>
    <row r="3792" spans="2:3">
      <c r="B3792" s="252"/>
      <c r="C3792" s="268"/>
    </row>
    <row r="3793" spans="2:3">
      <c r="B3793" s="252"/>
      <c r="C3793" s="268"/>
    </row>
    <row r="3794" spans="2:3">
      <c r="B3794" s="252"/>
      <c r="C3794" s="268"/>
    </row>
    <row r="3795" spans="2:3">
      <c r="B3795" s="252"/>
      <c r="C3795" s="268"/>
    </row>
    <row r="3796" spans="2:3">
      <c r="B3796" s="252"/>
      <c r="C3796" s="268"/>
    </row>
    <row r="3797" spans="2:3">
      <c r="B3797" s="252"/>
      <c r="C3797" s="268"/>
    </row>
    <row r="3798" spans="2:3">
      <c r="B3798" s="252"/>
      <c r="C3798" s="268"/>
    </row>
    <row r="3799" spans="2:3">
      <c r="B3799" s="252"/>
      <c r="C3799" s="268"/>
    </row>
    <row r="3800" spans="2:3">
      <c r="B3800" s="252"/>
      <c r="C3800" s="268"/>
    </row>
    <row r="3801" spans="2:3">
      <c r="B3801" s="252"/>
      <c r="C3801" s="268"/>
    </row>
    <row r="3802" spans="2:3">
      <c r="B3802" s="252"/>
      <c r="C3802" s="268"/>
    </row>
    <row r="3803" spans="2:3">
      <c r="B3803" s="252"/>
      <c r="C3803" s="268"/>
    </row>
    <row r="3804" spans="2:3">
      <c r="B3804" s="252"/>
      <c r="C3804" s="268"/>
    </row>
    <row r="3805" spans="2:3">
      <c r="B3805" s="252"/>
      <c r="C3805" s="268"/>
    </row>
    <row r="3806" spans="2:3">
      <c r="B3806" s="252"/>
      <c r="C3806" s="268"/>
    </row>
    <row r="3807" spans="2:3">
      <c r="B3807" s="252"/>
      <c r="C3807" s="268"/>
    </row>
    <row r="3808" spans="2:3">
      <c r="B3808" s="252"/>
      <c r="C3808" s="268"/>
    </row>
    <row r="3809" spans="2:3">
      <c r="B3809" s="252"/>
      <c r="C3809" s="268"/>
    </row>
    <row r="3810" spans="2:3">
      <c r="B3810" s="252"/>
      <c r="C3810" s="268"/>
    </row>
    <row r="3811" spans="2:3">
      <c r="B3811" s="252"/>
      <c r="C3811" s="268"/>
    </row>
    <row r="3812" spans="2:3">
      <c r="B3812" s="252"/>
      <c r="C3812" s="268"/>
    </row>
    <row r="3813" spans="2:3">
      <c r="B3813" s="252"/>
      <c r="C3813" s="268"/>
    </row>
    <row r="3814" spans="2:3">
      <c r="B3814" s="252"/>
      <c r="C3814" s="268"/>
    </row>
    <row r="3815" spans="2:3">
      <c r="B3815" s="252"/>
      <c r="C3815" s="268"/>
    </row>
    <row r="3816" spans="2:3">
      <c r="B3816" s="252"/>
      <c r="C3816" s="268"/>
    </row>
    <row r="3817" spans="2:3">
      <c r="B3817" s="252"/>
      <c r="C3817" s="268"/>
    </row>
    <row r="3818" spans="2:3">
      <c r="B3818" s="252"/>
      <c r="C3818" s="268"/>
    </row>
    <row r="3819" spans="2:3">
      <c r="B3819" s="252"/>
      <c r="C3819" s="268"/>
    </row>
    <row r="3820" spans="2:3">
      <c r="B3820" s="252"/>
      <c r="C3820" s="268"/>
    </row>
    <row r="3821" spans="2:3">
      <c r="B3821" s="252"/>
      <c r="C3821" s="268"/>
    </row>
    <row r="3822" spans="2:3">
      <c r="B3822" s="252"/>
      <c r="C3822" s="268"/>
    </row>
    <row r="3823" spans="2:3">
      <c r="B3823" s="252"/>
      <c r="C3823" s="268"/>
    </row>
    <row r="3824" spans="2:3">
      <c r="B3824" s="252"/>
      <c r="C3824" s="268"/>
    </row>
    <row r="3825" spans="2:3">
      <c r="B3825" s="252"/>
      <c r="C3825" s="268"/>
    </row>
    <row r="3826" spans="2:3">
      <c r="B3826" s="252"/>
      <c r="C3826" s="268"/>
    </row>
    <row r="3827" spans="2:3">
      <c r="B3827" s="252"/>
      <c r="C3827" s="268"/>
    </row>
    <row r="3828" spans="2:3">
      <c r="B3828" s="252"/>
      <c r="C3828" s="268"/>
    </row>
    <row r="3829" spans="2:3">
      <c r="B3829" s="252"/>
      <c r="C3829" s="268"/>
    </row>
    <row r="3830" spans="2:3">
      <c r="B3830" s="252"/>
      <c r="C3830" s="268"/>
    </row>
    <row r="3831" spans="2:3">
      <c r="B3831" s="252"/>
      <c r="C3831" s="268"/>
    </row>
    <row r="3832" spans="2:3">
      <c r="B3832" s="252"/>
      <c r="C3832" s="268"/>
    </row>
    <row r="3833" spans="2:3">
      <c r="B3833" s="252"/>
      <c r="C3833" s="268"/>
    </row>
    <row r="3834" spans="2:3">
      <c r="B3834" s="252"/>
      <c r="C3834" s="268"/>
    </row>
    <row r="3835" spans="2:3">
      <c r="B3835" s="252"/>
      <c r="C3835" s="268"/>
    </row>
    <row r="3836" spans="2:3">
      <c r="B3836" s="252"/>
      <c r="C3836" s="268"/>
    </row>
    <row r="3837" spans="2:3">
      <c r="B3837" s="252"/>
      <c r="C3837" s="268"/>
    </row>
    <row r="3838" spans="2:3">
      <c r="B3838" s="252"/>
      <c r="C3838" s="268"/>
    </row>
    <row r="3839" spans="2:3">
      <c r="B3839" s="252"/>
      <c r="C3839" s="268"/>
    </row>
    <row r="3840" spans="2:3">
      <c r="B3840" s="252"/>
      <c r="C3840" s="268"/>
    </row>
    <row r="3841" spans="2:3">
      <c r="B3841" s="252"/>
      <c r="C3841" s="268"/>
    </row>
    <row r="3842" spans="2:3">
      <c r="B3842" s="252"/>
      <c r="C3842" s="268"/>
    </row>
    <row r="3843" spans="2:3">
      <c r="B3843" s="252"/>
      <c r="C3843" s="268"/>
    </row>
    <row r="3844" spans="2:3">
      <c r="B3844" s="252"/>
      <c r="C3844" s="268"/>
    </row>
    <row r="3845" spans="2:3">
      <c r="B3845" s="252"/>
      <c r="C3845" s="268"/>
    </row>
    <row r="3846" spans="2:3">
      <c r="B3846" s="252"/>
      <c r="C3846" s="268"/>
    </row>
    <row r="3847" spans="2:3">
      <c r="B3847" s="252"/>
      <c r="C3847" s="268"/>
    </row>
    <row r="3848" spans="2:3">
      <c r="B3848" s="252"/>
      <c r="C3848" s="268"/>
    </row>
    <row r="3849" spans="2:3">
      <c r="B3849" s="252"/>
      <c r="C3849" s="268"/>
    </row>
    <row r="3850" spans="2:3">
      <c r="B3850" s="252"/>
      <c r="C3850" s="268"/>
    </row>
    <row r="3851" spans="2:3">
      <c r="B3851" s="252"/>
      <c r="C3851" s="268"/>
    </row>
    <row r="3852" spans="2:3">
      <c r="B3852" s="252"/>
      <c r="C3852" s="268"/>
    </row>
    <row r="3853" spans="2:3">
      <c r="B3853" s="252"/>
      <c r="C3853" s="268"/>
    </row>
    <row r="3854" spans="2:3">
      <c r="B3854" s="252"/>
      <c r="C3854" s="268"/>
    </row>
    <row r="3855" spans="2:3">
      <c r="B3855" s="252"/>
      <c r="C3855" s="268"/>
    </row>
    <row r="3856" spans="2:3">
      <c r="B3856" s="252"/>
      <c r="C3856" s="268"/>
    </row>
    <row r="3857" spans="2:3">
      <c r="B3857" s="252"/>
      <c r="C3857" s="268"/>
    </row>
    <row r="3858" spans="2:3">
      <c r="B3858" s="252"/>
      <c r="C3858" s="268"/>
    </row>
    <row r="3859" spans="2:3">
      <c r="B3859" s="252"/>
      <c r="C3859" s="268"/>
    </row>
    <row r="3860" spans="2:3">
      <c r="B3860" s="252"/>
      <c r="C3860" s="268"/>
    </row>
    <row r="3861" spans="2:3">
      <c r="B3861" s="252"/>
      <c r="C3861" s="268"/>
    </row>
    <row r="3862" spans="2:3">
      <c r="B3862" s="252"/>
      <c r="C3862" s="268"/>
    </row>
    <row r="3863" spans="2:3">
      <c r="B3863" s="252"/>
      <c r="C3863" s="268"/>
    </row>
    <row r="3864" spans="2:3">
      <c r="B3864" s="252"/>
      <c r="C3864" s="268"/>
    </row>
    <row r="3865" spans="2:3">
      <c r="B3865" s="252"/>
      <c r="C3865" s="268"/>
    </row>
    <row r="3866" spans="2:3">
      <c r="B3866" s="252"/>
      <c r="C3866" s="268"/>
    </row>
    <row r="3867" spans="2:3">
      <c r="B3867" s="252"/>
      <c r="C3867" s="268"/>
    </row>
    <row r="3868" spans="2:3">
      <c r="B3868" s="252"/>
      <c r="C3868" s="268"/>
    </row>
    <row r="3869" spans="2:3">
      <c r="B3869" s="252"/>
      <c r="C3869" s="268"/>
    </row>
    <row r="3870" spans="2:3">
      <c r="B3870" s="252"/>
      <c r="C3870" s="268"/>
    </row>
    <row r="3871" spans="2:3">
      <c r="B3871" s="252"/>
      <c r="C3871" s="268"/>
    </row>
    <row r="3872" spans="2:3">
      <c r="B3872" s="252"/>
      <c r="C3872" s="268"/>
    </row>
    <row r="3873" spans="2:3">
      <c r="B3873" s="252"/>
      <c r="C3873" s="268"/>
    </row>
    <row r="3874" spans="2:3">
      <c r="B3874" s="252"/>
      <c r="C3874" s="268"/>
    </row>
    <row r="3875" spans="2:3">
      <c r="B3875" s="252"/>
      <c r="C3875" s="268"/>
    </row>
    <row r="3876" spans="2:3">
      <c r="B3876" s="252"/>
      <c r="C3876" s="268"/>
    </row>
    <row r="3877" spans="2:3">
      <c r="B3877" s="252"/>
      <c r="C3877" s="268"/>
    </row>
    <row r="3878" spans="2:3">
      <c r="B3878" s="252"/>
      <c r="C3878" s="268"/>
    </row>
    <row r="3879" spans="2:3">
      <c r="B3879" s="252"/>
      <c r="C3879" s="268"/>
    </row>
    <row r="3880" spans="2:3">
      <c r="B3880" s="252"/>
      <c r="C3880" s="268"/>
    </row>
    <row r="3881" spans="2:3">
      <c r="B3881" s="252"/>
      <c r="C3881" s="268"/>
    </row>
    <row r="3882" spans="2:3">
      <c r="B3882" s="252"/>
      <c r="C3882" s="268"/>
    </row>
    <row r="3883" spans="2:3">
      <c r="B3883" s="252"/>
      <c r="C3883" s="268"/>
    </row>
    <row r="3884" spans="2:3">
      <c r="B3884" s="252"/>
      <c r="C3884" s="268"/>
    </row>
    <row r="3885" spans="2:3">
      <c r="B3885" s="252"/>
      <c r="C3885" s="268"/>
    </row>
    <row r="3886" spans="2:3">
      <c r="B3886" s="252"/>
      <c r="C3886" s="268"/>
    </row>
    <row r="3887" spans="2:3">
      <c r="B3887" s="252"/>
      <c r="C3887" s="268"/>
    </row>
    <row r="3888" spans="2:3">
      <c r="B3888" s="252"/>
      <c r="C3888" s="268"/>
    </row>
    <row r="3889" spans="2:3">
      <c r="B3889" s="252"/>
      <c r="C3889" s="268"/>
    </row>
    <row r="3890" spans="2:3">
      <c r="B3890" s="252"/>
      <c r="C3890" s="268"/>
    </row>
    <row r="3891" spans="2:3">
      <c r="B3891" s="252"/>
      <c r="C3891" s="268"/>
    </row>
    <row r="3892" spans="2:3">
      <c r="B3892" s="252"/>
      <c r="C3892" s="268"/>
    </row>
    <row r="3893" spans="2:3">
      <c r="B3893" s="252"/>
      <c r="C3893" s="268"/>
    </row>
    <row r="3894" spans="2:3">
      <c r="B3894" s="252"/>
      <c r="C3894" s="268"/>
    </row>
    <row r="3895" spans="2:3">
      <c r="B3895" s="252"/>
      <c r="C3895" s="268"/>
    </row>
    <row r="3896" spans="2:3">
      <c r="B3896" s="252"/>
      <c r="C3896" s="268"/>
    </row>
    <row r="3897" spans="2:3">
      <c r="B3897" s="252"/>
      <c r="C3897" s="268"/>
    </row>
    <row r="3898" spans="2:3">
      <c r="B3898" s="252"/>
      <c r="C3898" s="268"/>
    </row>
    <row r="3899" spans="2:3">
      <c r="B3899" s="252"/>
      <c r="C3899" s="268"/>
    </row>
    <row r="3900" spans="2:3">
      <c r="B3900" s="252"/>
      <c r="C3900" s="268"/>
    </row>
    <row r="3901" spans="2:3">
      <c r="B3901" s="252"/>
      <c r="C3901" s="268"/>
    </row>
    <row r="3902" spans="2:3">
      <c r="B3902" s="252"/>
      <c r="C3902" s="268"/>
    </row>
    <row r="3903" spans="2:3">
      <c r="B3903" s="252"/>
      <c r="C3903" s="268"/>
    </row>
    <row r="3904" spans="2:3">
      <c r="B3904" s="252"/>
      <c r="C3904" s="268"/>
    </row>
    <row r="3905" spans="2:3">
      <c r="B3905" s="252"/>
      <c r="C3905" s="268"/>
    </row>
    <row r="3906" spans="2:3">
      <c r="B3906" s="252"/>
      <c r="C3906" s="268"/>
    </row>
    <row r="3907" spans="2:3">
      <c r="B3907" s="252"/>
      <c r="C3907" s="268"/>
    </row>
    <row r="3908" spans="2:3">
      <c r="B3908" s="252"/>
      <c r="C3908" s="268"/>
    </row>
    <row r="3909" spans="2:3">
      <c r="B3909" s="252"/>
      <c r="C3909" s="268"/>
    </row>
    <row r="3910" spans="2:3">
      <c r="B3910" s="252"/>
      <c r="C3910" s="268"/>
    </row>
    <row r="3911" spans="2:3">
      <c r="B3911" s="252"/>
      <c r="C3911" s="268"/>
    </row>
    <row r="3912" spans="2:3">
      <c r="B3912" s="252"/>
      <c r="C3912" s="268"/>
    </row>
    <row r="3913" spans="2:3">
      <c r="B3913" s="252"/>
      <c r="C3913" s="268"/>
    </row>
    <row r="3914" spans="2:3">
      <c r="B3914" s="252"/>
      <c r="C3914" s="268"/>
    </row>
    <row r="3915" spans="2:3">
      <c r="B3915" s="252"/>
      <c r="C3915" s="268"/>
    </row>
    <row r="3916" spans="2:3">
      <c r="B3916" s="252"/>
      <c r="C3916" s="268"/>
    </row>
    <row r="3917" spans="2:3">
      <c r="B3917" s="252"/>
      <c r="C3917" s="268"/>
    </row>
    <row r="3918" spans="2:3">
      <c r="B3918" s="252"/>
      <c r="C3918" s="268"/>
    </row>
    <row r="3919" spans="2:3">
      <c r="B3919" s="252"/>
      <c r="C3919" s="268"/>
    </row>
    <row r="3920" spans="2:3">
      <c r="B3920" s="252"/>
      <c r="C3920" s="268"/>
    </row>
    <row r="3921" spans="2:3">
      <c r="B3921" s="252"/>
      <c r="C3921" s="268"/>
    </row>
    <row r="3922" spans="2:3">
      <c r="B3922" s="252"/>
      <c r="C3922" s="268"/>
    </row>
    <row r="3923" spans="2:3">
      <c r="B3923" s="252"/>
      <c r="C3923" s="268"/>
    </row>
    <row r="3924" spans="2:3">
      <c r="B3924" s="252"/>
      <c r="C3924" s="268"/>
    </row>
    <row r="3925" spans="2:3">
      <c r="B3925" s="252"/>
      <c r="C3925" s="268"/>
    </row>
    <row r="3926" spans="2:3">
      <c r="B3926" s="252"/>
      <c r="C3926" s="268"/>
    </row>
    <row r="3927" spans="2:3">
      <c r="B3927" s="252"/>
      <c r="C3927" s="268"/>
    </row>
    <row r="3928" spans="2:3">
      <c r="B3928" s="252"/>
      <c r="C3928" s="268"/>
    </row>
    <row r="3929" spans="2:3">
      <c r="B3929" s="252"/>
      <c r="C3929" s="268"/>
    </row>
    <row r="3930" spans="2:3">
      <c r="B3930" s="252"/>
      <c r="C3930" s="268"/>
    </row>
    <row r="3931" spans="2:3">
      <c r="B3931" s="252"/>
      <c r="C3931" s="268"/>
    </row>
    <row r="3932" spans="2:3">
      <c r="B3932" s="252"/>
      <c r="C3932" s="268"/>
    </row>
    <row r="3933" spans="2:3">
      <c r="B3933" s="252"/>
      <c r="C3933" s="268"/>
    </row>
    <row r="3934" spans="2:3">
      <c r="B3934" s="252"/>
      <c r="C3934" s="268"/>
    </row>
    <row r="3935" spans="2:3">
      <c r="B3935" s="252"/>
      <c r="C3935" s="268"/>
    </row>
    <row r="3936" spans="2:3">
      <c r="B3936" s="252"/>
      <c r="C3936" s="268"/>
    </row>
    <row r="3937" spans="2:3">
      <c r="B3937" s="252"/>
      <c r="C3937" s="268"/>
    </row>
    <row r="3938" spans="2:3">
      <c r="B3938" s="252"/>
      <c r="C3938" s="268"/>
    </row>
    <row r="3939" spans="2:3">
      <c r="B3939" s="252"/>
      <c r="C3939" s="268"/>
    </row>
    <row r="3940" spans="2:3">
      <c r="B3940" s="252"/>
      <c r="C3940" s="268"/>
    </row>
    <row r="3941" spans="2:3">
      <c r="B3941" s="252"/>
      <c r="C3941" s="268"/>
    </row>
    <row r="3942" spans="2:3">
      <c r="B3942" s="252"/>
      <c r="C3942" s="268"/>
    </row>
    <row r="3943" spans="2:3">
      <c r="B3943" s="252"/>
      <c r="C3943" s="268"/>
    </row>
    <row r="3944" spans="2:3">
      <c r="B3944" s="252"/>
      <c r="C3944" s="268"/>
    </row>
    <row r="3945" spans="2:3">
      <c r="B3945" s="252"/>
      <c r="C3945" s="268"/>
    </row>
    <row r="3946" spans="2:3">
      <c r="B3946" s="252"/>
      <c r="C3946" s="268"/>
    </row>
    <row r="3947" spans="2:3">
      <c r="B3947" s="252"/>
      <c r="C3947" s="268"/>
    </row>
    <row r="3948" spans="2:3">
      <c r="B3948" s="252"/>
      <c r="C3948" s="268"/>
    </row>
    <row r="3949" spans="2:3">
      <c r="B3949" s="252"/>
      <c r="C3949" s="268"/>
    </row>
    <row r="3950" spans="2:3">
      <c r="B3950" s="252"/>
      <c r="C3950" s="268"/>
    </row>
    <row r="3951" spans="2:3">
      <c r="B3951" s="252"/>
      <c r="C3951" s="268"/>
    </row>
    <row r="3952" spans="2:3">
      <c r="B3952" s="252"/>
      <c r="C3952" s="268"/>
    </row>
    <row r="3953" spans="2:3">
      <c r="B3953" s="252"/>
      <c r="C3953" s="268"/>
    </row>
    <row r="3954" spans="2:3">
      <c r="B3954" s="252"/>
      <c r="C3954" s="268"/>
    </row>
    <row r="3955" spans="2:3">
      <c r="B3955" s="252"/>
      <c r="C3955" s="268"/>
    </row>
    <row r="3956" spans="2:3">
      <c r="B3956" s="252"/>
      <c r="C3956" s="268"/>
    </row>
    <row r="3957" spans="2:3">
      <c r="B3957" s="252"/>
      <c r="C3957" s="268"/>
    </row>
    <row r="3958" spans="2:3">
      <c r="B3958" s="252"/>
      <c r="C3958" s="268"/>
    </row>
    <row r="3959" spans="2:3">
      <c r="B3959" s="252"/>
      <c r="C3959" s="268"/>
    </row>
    <row r="3960" spans="2:3">
      <c r="B3960" s="252"/>
      <c r="C3960" s="268"/>
    </row>
    <row r="3961" spans="2:3">
      <c r="B3961" s="252"/>
      <c r="C3961" s="268"/>
    </row>
    <row r="3962" spans="2:3">
      <c r="B3962" s="252"/>
      <c r="C3962" s="268"/>
    </row>
    <row r="3963" spans="2:3">
      <c r="B3963" s="252"/>
      <c r="C3963" s="268"/>
    </row>
    <row r="3964" spans="2:3">
      <c r="B3964" s="252"/>
      <c r="C3964" s="268"/>
    </row>
    <row r="3965" spans="2:3">
      <c r="B3965" s="252"/>
      <c r="C3965" s="268"/>
    </row>
    <row r="3966" spans="2:3">
      <c r="B3966" s="252"/>
      <c r="C3966" s="268"/>
    </row>
    <row r="3967" spans="2:3">
      <c r="B3967" s="252"/>
      <c r="C3967" s="268"/>
    </row>
    <row r="3968" spans="2:3">
      <c r="B3968" s="252"/>
      <c r="C3968" s="268"/>
    </row>
    <row r="3969" spans="2:3">
      <c r="B3969" s="252"/>
      <c r="C3969" s="268"/>
    </row>
    <row r="3970" spans="2:3">
      <c r="B3970" s="252"/>
      <c r="C3970" s="268"/>
    </row>
    <row r="3971" spans="2:3">
      <c r="B3971" s="252"/>
      <c r="C3971" s="268"/>
    </row>
    <row r="3972" spans="2:3">
      <c r="B3972" s="252"/>
      <c r="C3972" s="268"/>
    </row>
    <row r="3973" spans="2:3">
      <c r="B3973" s="252"/>
      <c r="C3973" s="268"/>
    </row>
    <row r="3974" spans="2:3">
      <c r="B3974" s="252"/>
      <c r="C3974" s="268"/>
    </row>
    <row r="3975" spans="2:3">
      <c r="B3975" s="252"/>
      <c r="C3975" s="268"/>
    </row>
    <row r="3976" spans="2:3">
      <c r="B3976" s="252"/>
      <c r="C3976" s="268"/>
    </row>
    <row r="3977" spans="2:3">
      <c r="B3977" s="252"/>
      <c r="C3977" s="268"/>
    </row>
    <row r="3978" spans="2:3">
      <c r="B3978" s="252"/>
      <c r="C3978" s="268"/>
    </row>
    <row r="3979" spans="2:3">
      <c r="B3979" s="252"/>
      <c r="C3979" s="268"/>
    </row>
    <row r="3980" spans="2:3">
      <c r="B3980" s="252"/>
      <c r="C3980" s="268"/>
    </row>
    <row r="3981" spans="2:3">
      <c r="B3981" s="252"/>
      <c r="C3981" s="268"/>
    </row>
    <row r="3982" spans="2:3">
      <c r="B3982" s="252"/>
      <c r="C3982" s="268"/>
    </row>
    <row r="3983" spans="2:3">
      <c r="B3983" s="252"/>
      <c r="C3983" s="268"/>
    </row>
    <row r="3984" spans="2:3">
      <c r="B3984" s="252"/>
      <c r="C3984" s="268"/>
    </row>
    <row r="3985" spans="2:3">
      <c r="B3985" s="252"/>
      <c r="C3985" s="268"/>
    </row>
    <row r="3986" spans="2:3">
      <c r="B3986" s="252"/>
      <c r="C3986" s="268"/>
    </row>
    <row r="3987" spans="2:3">
      <c r="B3987" s="252"/>
      <c r="C3987" s="268"/>
    </row>
    <row r="3988" spans="2:3">
      <c r="B3988" s="252"/>
      <c r="C3988" s="268"/>
    </row>
    <row r="3989" spans="2:3">
      <c r="B3989" s="252"/>
      <c r="C3989" s="268"/>
    </row>
    <row r="3990" spans="2:3">
      <c r="B3990" s="252"/>
      <c r="C3990" s="268"/>
    </row>
    <row r="3991" spans="2:3">
      <c r="B3991" s="252"/>
      <c r="C3991" s="268"/>
    </row>
    <row r="3992" spans="2:3">
      <c r="B3992" s="252"/>
      <c r="C3992" s="268"/>
    </row>
    <row r="3993" spans="2:3">
      <c r="B3993" s="252"/>
      <c r="C3993" s="268"/>
    </row>
    <row r="3994" spans="2:3">
      <c r="B3994" s="252"/>
      <c r="C3994" s="268"/>
    </row>
    <row r="3995" spans="2:3">
      <c r="B3995" s="252"/>
      <c r="C3995" s="268"/>
    </row>
    <row r="3996" spans="2:3">
      <c r="B3996" s="252"/>
      <c r="C3996" s="268"/>
    </row>
    <row r="3997" spans="2:3">
      <c r="B3997" s="252"/>
      <c r="C3997" s="268"/>
    </row>
    <row r="3998" spans="2:3">
      <c r="B3998" s="252"/>
      <c r="C3998" s="268"/>
    </row>
    <row r="3999" spans="2:3">
      <c r="B3999" s="252"/>
      <c r="C3999" s="268"/>
    </row>
    <row r="4000" spans="2:3">
      <c r="B4000" s="252"/>
      <c r="C4000" s="268"/>
    </row>
    <row r="4001" spans="2:3">
      <c r="B4001" s="252"/>
      <c r="C4001" s="268"/>
    </row>
    <row r="4002" spans="2:3">
      <c r="B4002" s="252"/>
      <c r="C4002" s="268"/>
    </row>
    <row r="4003" spans="2:3">
      <c r="B4003" s="252"/>
      <c r="C4003" s="268"/>
    </row>
    <row r="4004" spans="2:3">
      <c r="B4004" s="252"/>
      <c r="C4004" s="268"/>
    </row>
    <row r="4005" spans="2:3">
      <c r="B4005" s="252"/>
      <c r="C4005" s="268"/>
    </row>
    <row r="4006" spans="2:3">
      <c r="B4006" s="252"/>
      <c r="C4006" s="268"/>
    </row>
    <row r="4007" spans="2:3">
      <c r="B4007" s="252"/>
      <c r="C4007" s="268"/>
    </row>
    <row r="4008" spans="2:3">
      <c r="B4008" s="252"/>
      <c r="C4008" s="268"/>
    </row>
    <row r="4009" spans="2:3">
      <c r="B4009" s="252"/>
      <c r="C4009" s="268"/>
    </row>
    <row r="4010" spans="2:3">
      <c r="B4010" s="252"/>
      <c r="C4010" s="268"/>
    </row>
    <row r="4011" spans="2:3">
      <c r="B4011" s="252"/>
      <c r="C4011" s="268"/>
    </row>
    <row r="4012" spans="2:3">
      <c r="B4012" s="252"/>
      <c r="C4012" s="268"/>
    </row>
    <row r="4013" spans="2:3">
      <c r="B4013" s="252"/>
      <c r="C4013" s="268"/>
    </row>
    <row r="4014" spans="2:3">
      <c r="B4014" s="252"/>
      <c r="C4014" s="268"/>
    </row>
    <row r="4015" spans="2:3">
      <c r="B4015" s="252"/>
      <c r="C4015" s="268"/>
    </row>
    <row r="4016" spans="2:3">
      <c r="B4016" s="252"/>
      <c r="C4016" s="268"/>
    </row>
    <row r="4017" spans="2:3">
      <c r="B4017" s="252"/>
      <c r="C4017" s="268"/>
    </row>
    <row r="4018" spans="2:3">
      <c r="B4018" s="252"/>
      <c r="C4018" s="268"/>
    </row>
    <row r="4019" spans="2:3">
      <c r="B4019" s="252"/>
      <c r="C4019" s="268"/>
    </row>
    <row r="4020" spans="2:3">
      <c r="B4020" s="252"/>
      <c r="C4020" s="268"/>
    </row>
    <row r="4021" spans="2:3">
      <c r="B4021" s="252"/>
      <c r="C4021" s="268"/>
    </row>
    <row r="4022" spans="2:3">
      <c r="B4022" s="252"/>
      <c r="C4022" s="268"/>
    </row>
    <row r="4023" spans="2:3">
      <c r="B4023" s="252"/>
      <c r="C4023" s="268"/>
    </row>
    <row r="4024" spans="2:3">
      <c r="B4024" s="252"/>
      <c r="C4024" s="268"/>
    </row>
    <row r="4025" spans="2:3">
      <c r="B4025" s="252"/>
      <c r="C4025" s="268"/>
    </row>
    <row r="4026" spans="2:3">
      <c r="B4026" s="252"/>
      <c r="C4026" s="268"/>
    </row>
    <row r="4027" spans="2:3">
      <c r="B4027" s="252"/>
      <c r="C4027" s="268"/>
    </row>
    <row r="4028" spans="2:3">
      <c r="B4028" s="252"/>
      <c r="C4028" s="268"/>
    </row>
    <row r="4029" spans="2:3">
      <c r="B4029" s="252"/>
      <c r="C4029" s="268"/>
    </row>
    <row r="4030" spans="2:3">
      <c r="B4030" s="252"/>
      <c r="C4030" s="268"/>
    </row>
    <row r="4031" spans="2:3">
      <c r="B4031" s="252"/>
      <c r="C4031" s="268"/>
    </row>
    <row r="4032" spans="2:3">
      <c r="B4032" s="252"/>
      <c r="C4032" s="268"/>
    </row>
    <row r="4033" spans="2:3">
      <c r="B4033" s="252"/>
      <c r="C4033" s="268"/>
    </row>
    <row r="4034" spans="2:3">
      <c r="B4034" s="252"/>
      <c r="C4034" s="268"/>
    </row>
    <row r="4035" spans="2:3">
      <c r="B4035" s="252"/>
      <c r="C4035" s="268"/>
    </row>
    <row r="4036" spans="2:3">
      <c r="B4036" s="252"/>
      <c r="C4036" s="268"/>
    </row>
    <row r="4037" spans="2:3">
      <c r="B4037" s="252"/>
      <c r="C4037" s="268"/>
    </row>
    <row r="4038" spans="2:3">
      <c r="B4038" s="252"/>
      <c r="C4038" s="268"/>
    </row>
    <row r="4039" spans="2:3">
      <c r="B4039" s="252"/>
      <c r="C4039" s="268"/>
    </row>
    <row r="4040" spans="2:3">
      <c r="B4040" s="252"/>
      <c r="C4040" s="268"/>
    </row>
    <row r="4041" spans="2:3">
      <c r="B4041" s="252"/>
      <c r="C4041" s="268"/>
    </row>
    <row r="4042" spans="2:3">
      <c r="B4042" s="252"/>
      <c r="C4042" s="268"/>
    </row>
    <row r="4043" spans="2:3">
      <c r="B4043" s="252"/>
      <c r="C4043" s="268"/>
    </row>
    <row r="4044" spans="2:3">
      <c r="B4044" s="252"/>
      <c r="C4044" s="268"/>
    </row>
    <row r="4045" spans="2:3">
      <c r="B4045" s="252"/>
      <c r="C4045" s="268"/>
    </row>
    <row r="4046" spans="2:3">
      <c r="B4046" s="252"/>
      <c r="C4046" s="268"/>
    </row>
    <row r="4047" spans="2:3">
      <c r="B4047" s="252"/>
      <c r="C4047" s="268"/>
    </row>
    <row r="4048" spans="2:3">
      <c r="B4048" s="252"/>
      <c r="C4048" s="268"/>
    </row>
    <row r="4049" spans="2:3">
      <c r="B4049" s="252"/>
      <c r="C4049" s="268"/>
    </row>
    <row r="4050" spans="2:3">
      <c r="B4050" s="252"/>
      <c r="C4050" s="268"/>
    </row>
    <row r="4051" spans="2:3">
      <c r="B4051" s="252"/>
      <c r="C4051" s="268"/>
    </row>
    <row r="4052" spans="2:3">
      <c r="B4052" s="252"/>
      <c r="C4052" s="268"/>
    </row>
    <row r="4053" spans="2:3">
      <c r="B4053" s="252"/>
      <c r="C4053" s="268"/>
    </row>
    <row r="4054" spans="2:3">
      <c r="B4054" s="252"/>
      <c r="C4054" s="268"/>
    </row>
    <row r="4055" spans="2:3">
      <c r="B4055" s="252"/>
      <c r="C4055" s="268"/>
    </row>
    <row r="4056" spans="2:3">
      <c r="B4056" s="252"/>
      <c r="C4056" s="268"/>
    </row>
    <row r="4057" spans="2:3">
      <c r="B4057" s="252"/>
      <c r="C4057" s="268"/>
    </row>
    <row r="4058" spans="2:3">
      <c r="B4058" s="252"/>
      <c r="C4058" s="268"/>
    </row>
    <row r="4059" spans="2:3">
      <c r="B4059" s="252"/>
      <c r="C4059" s="268"/>
    </row>
    <row r="4060" spans="2:3">
      <c r="B4060" s="252"/>
      <c r="C4060" s="268"/>
    </row>
    <row r="4061" spans="2:3">
      <c r="B4061" s="252"/>
      <c r="C4061" s="268"/>
    </row>
    <row r="4062" spans="2:3">
      <c r="B4062" s="252"/>
      <c r="C4062" s="268"/>
    </row>
    <row r="4063" spans="2:3">
      <c r="B4063" s="252"/>
      <c r="C4063" s="268"/>
    </row>
    <row r="4064" spans="2:3">
      <c r="B4064" s="252"/>
      <c r="C4064" s="268"/>
    </row>
    <row r="4065" spans="2:3">
      <c r="B4065" s="252"/>
      <c r="C4065" s="268"/>
    </row>
    <row r="4066" spans="2:3">
      <c r="B4066" s="252"/>
      <c r="C4066" s="268"/>
    </row>
    <row r="4067" spans="2:3">
      <c r="B4067" s="252"/>
      <c r="C4067" s="268"/>
    </row>
    <row r="4068" spans="2:3">
      <c r="B4068" s="252"/>
      <c r="C4068" s="268"/>
    </row>
    <row r="4069" spans="2:3">
      <c r="B4069" s="252"/>
      <c r="C4069" s="268"/>
    </row>
    <row r="4070" spans="2:3">
      <c r="B4070" s="252"/>
      <c r="C4070" s="268"/>
    </row>
    <row r="4071" spans="2:3">
      <c r="B4071" s="252"/>
      <c r="C4071" s="268"/>
    </row>
    <row r="4072" spans="2:3">
      <c r="B4072" s="252"/>
      <c r="C4072" s="268"/>
    </row>
    <row r="4073" spans="2:3">
      <c r="B4073" s="252"/>
      <c r="C4073" s="268"/>
    </row>
    <row r="4074" spans="2:3">
      <c r="B4074" s="252"/>
      <c r="C4074" s="268"/>
    </row>
    <row r="4075" spans="2:3">
      <c r="B4075" s="252"/>
      <c r="C4075" s="268"/>
    </row>
    <row r="4076" spans="2:3">
      <c r="B4076" s="252"/>
      <c r="C4076" s="268"/>
    </row>
    <row r="4077" spans="2:3">
      <c r="B4077" s="252"/>
      <c r="C4077" s="268"/>
    </row>
    <row r="4078" spans="2:3">
      <c r="B4078" s="252"/>
      <c r="C4078" s="268"/>
    </row>
    <row r="4079" spans="2:3">
      <c r="B4079" s="252"/>
      <c r="C4079" s="268"/>
    </row>
    <row r="4080" spans="2:3">
      <c r="B4080" s="252"/>
      <c r="C4080" s="268"/>
    </row>
    <row r="4081" spans="2:3">
      <c r="B4081" s="252"/>
      <c r="C4081" s="268"/>
    </row>
    <row r="4082" spans="2:3">
      <c r="B4082" s="252"/>
      <c r="C4082" s="268"/>
    </row>
    <row r="4083" spans="2:3">
      <c r="B4083" s="252"/>
      <c r="C4083" s="268"/>
    </row>
    <row r="4084" spans="2:3">
      <c r="B4084" s="252"/>
      <c r="C4084" s="268"/>
    </row>
    <row r="4085" spans="2:3">
      <c r="B4085" s="252"/>
      <c r="C4085" s="268"/>
    </row>
    <row r="4086" spans="2:3">
      <c r="B4086" s="252"/>
      <c r="C4086" s="268"/>
    </row>
    <row r="4087" spans="2:3">
      <c r="B4087" s="252"/>
      <c r="C4087" s="268"/>
    </row>
    <row r="4088" spans="2:3">
      <c r="B4088" s="252"/>
      <c r="C4088" s="268"/>
    </row>
    <row r="4089" spans="2:3">
      <c r="B4089" s="252"/>
      <c r="C4089" s="268"/>
    </row>
    <row r="4090" spans="2:3">
      <c r="B4090" s="252"/>
      <c r="C4090" s="268"/>
    </row>
    <row r="4091" spans="2:3">
      <c r="B4091" s="252"/>
      <c r="C4091" s="268"/>
    </row>
    <row r="4092" spans="2:3">
      <c r="B4092" s="252"/>
      <c r="C4092" s="268"/>
    </row>
    <row r="4093" spans="2:3">
      <c r="B4093" s="252"/>
      <c r="C4093" s="268"/>
    </row>
    <row r="4094" spans="2:3">
      <c r="B4094" s="252"/>
      <c r="C4094" s="268"/>
    </row>
    <row r="4095" spans="2:3">
      <c r="B4095" s="252"/>
      <c r="C4095" s="268"/>
    </row>
    <row r="4096" spans="2:3">
      <c r="B4096" s="252"/>
      <c r="C4096" s="268"/>
    </row>
    <row r="4097" spans="2:3">
      <c r="B4097" s="252"/>
      <c r="C4097" s="268"/>
    </row>
    <row r="4098" spans="2:3">
      <c r="B4098" s="252"/>
      <c r="C4098" s="268"/>
    </row>
    <row r="4099" spans="2:3">
      <c r="B4099" s="252"/>
      <c r="C4099" s="268"/>
    </row>
    <row r="4100" spans="2:3">
      <c r="B4100" s="252"/>
      <c r="C4100" s="268"/>
    </row>
    <row r="4101" spans="2:3">
      <c r="B4101" s="252"/>
      <c r="C4101" s="268"/>
    </row>
    <row r="4102" spans="2:3">
      <c r="B4102" s="252"/>
      <c r="C4102" s="268"/>
    </row>
    <row r="4103" spans="2:3">
      <c r="B4103" s="252"/>
      <c r="C4103" s="268"/>
    </row>
    <row r="4104" spans="2:3">
      <c r="B4104" s="252"/>
      <c r="C4104" s="268"/>
    </row>
    <row r="4105" spans="2:3">
      <c r="B4105" s="252"/>
      <c r="C4105" s="268"/>
    </row>
    <row r="4106" spans="2:3">
      <c r="B4106" s="252"/>
      <c r="C4106" s="268"/>
    </row>
    <row r="4107" spans="2:3">
      <c r="B4107" s="252"/>
      <c r="C4107" s="268"/>
    </row>
    <row r="4108" spans="2:3">
      <c r="B4108" s="252"/>
      <c r="C4108" s="268"/>
    </row>
    <row r="4109" spans="2:3">
      <c r="B4109" s="252"/>
      <c r="C4109" s="268"/>
    </row>
    <row r="4110" spans="2:3">
      <c r="B4110" s="252"/>
      <c r="C4110" s="268"/>
    </row>
    <row r="4111" spans="2:3">
      <c r="B4111" s="252"/>
      <c r="C4111" s="268"/>
    </row>
    <row r="4112" spans="2:3">
      <c r="B4112" s="252"/>
      <c r="C4112" s="268"/>
    </row>
    <row r="4113" spans="2:3">
      <c r="B4113" s="252"/>
      <c r="C4113" s="268"/>
    </row>
    <row r="4114" spans="2:3">
      <c r="B4114" s="252"/>
      <c r="C4114" s="268"/>
    </row>
    <row r="4115" spans="2:3">
      <c r="B4115" s="252"/>
      <c r="C4115" s="268"/>
    </row>
    <row r="4116" spans="2:3">
      <c r="B4116" s="252"/>
      <c r="C4116" s="268"/>
    </row>
    <row r="4117" spans="2:3">
      <c r="B4117" s="252"/>
      <c r="C4117" s="268"/>
    </row>
    <row r="4118" spans="2:3">
      <c r="B4118" s="252"/>
      <c r="C4118" s="268"/>
    </row>
    <row r="4119" spans="2:3">
      <c r="B4119" s="252"/>
      <c r="C4119" s="268"/>
    </row>
    <row r="4120" spans="2:3">
      <c r="B4120" s="252"/>
      <c r="C4120" s="268"/>
    </row>
    <row r="4121" spans="2:3">
      <c r="B4121" s="252"/>
      <c r="C4121" s="268"/>
    </row>
    <row r="4122" spans="2:3">
      <c r="B4122" s="252"/>
      <c r="C4122" s="268"/>
    </row>
    <row r="4123" spans="2:3">
      <c r="B4123" s="252"/>
      <c r="C4123" s="268"/>
    </row>
    <row r="4124" spans="2:3">
      <c r="B4124" s="252"/>
      <c r="C4124" s="268"/>
    </row>
    <row r="4125" spans="2:3">
      <c r="B4125" s="252"/>
      <c r="C4125" s="268"/>
    </row>
    <row r="4126" spans="2:3">
      <c r="B4126" s="252"/>
      <c r="C4126" s="268"/>
    </row>
    <row r="4127" spans="2:3">
      <c r="B4127" s="252"/>
      <c r="C4127" s="268"/>
    </row>
    <row r="4128" spans="2:3">
      <c r="B4128" s="252"/>
      <c r="C4128" s="268"/>
    </row>
    <row r="4129" spans="2:3">
      <c r="B4129" s="252"/>
      <c r="C4129" s="268"/>
    </row>
    <row r="4130" spans="2:3">
      <c r="B4130" s="252"/>
      <c r="C4130" s="268"/>
    </row>
    <row r="4131" spans="2:3">
      <c r="B4131" s="252"/>
      <c r="C4131" s="268"/>
    </row>
    <row r="4132" spans="2:3">
      <c r="B4132" s="252"/>
      <c r="C4132" s="268"/>
    </row>
    <row r="4133" spans="2:3">
      <c r="B4133" s="252"/>
      <c r="C4133" s="268"/>
    </row>
    <row r="4134" spans="2:3">
      <c r="B4134" s="252"/>
      <c r="C4134" s="268"/>
    </row>
    <row r="4135" spans="2:3">
      <c r="B4135" s="252"/>
      <c r="C4135" s="268"/>
    </row>
    <row r="4136" spans="2:3">
      <c r="B4136" s="252"/>
      <c r="C4136" s="268"/>
    </row>
    <row r="4137" spans="2:3">
      <c r="B4137" s="252"/>
      <c r="C4137" s="268"/>
    </row>
    <row r="4138" spans="2:3">
      <c r="B4138" s="252"/>
      <c r="C4138" s="268"/>
    </row>
    <row r="4139" spans="2:3">
      <c r="B4139" s="252"/>
      <c r="C4139" s="268"/>
    </row>
    <row r="4140" spans="2:3">
      <c r="B4140" s="252"/>
      <c r="C4140" s="268"/>
    </row>
    <row r="4141" spans="2:3">
      <c r="B4141" s="252"/>
      <c r="C4141" s="268"/>
    </row>
    <row r="4142" spans="2:3">
      <c r="B4142" s="252"/>
      <c r="C4142" s="268"/>
    </row>
    <row r="4143" spans="2:3">
      <c r="B4143" s="252"/>
      <c r="C4143" s="268"/>
    </row>
    <row r="4144" spans="2:3">
      <c r="B4144" s="252"/>
      <c r="C4144" s="268"/>
    </row>
    <row r="4145" spans="2:3">
      <c r="B4145" s="252"/>
      <c r="C4145" s="268"/>
    </row>
    <row r="4146" spans="2:3">
      <c r="B4146" s="252"/>
      <c r="C4146" s="268"/>
    </row>
    <row r="4147" spans="2:3">
      <c r="B4147" s="252"/>
      <c r="C4147" s="268"/>
    </row>
    <row r="4148" spans="2:3">
      <c r="B4148" s="252"/>
      <c r="C4148" s="268"/>
    </row>
    <row r="4149" spans="2:3">
      <c r="B4149" s="252"/>
      <c r="C4149" s="268"/>
    </row>
    <row r="4150" spans="2:3">
      <c r="B4150" s="252"/>
      <c r="C4150" s="268"/>
    </row>
    <row r="4151" spans="2:3">
      <c r="B4151" s="252"/>
      <c r="C4151" s="268"/>
    </row>
    <row r="4152" spans="2:3">
      <c r="B4152" s="252"/>
      <c r="C4152" s="268"/>
    </row>
    <row r="4153" spans="2:3">
      <c r="B4153" s="252"/>
      <c r="C4153" s="268"/>
    </row>
    <row r="4154" spans="2:3">
      <c r="B4154" s="252"/>
      <c r="C4154" s="268"/>
    </row>
    <row r="4155" spans="2:3">
      <c r="B4155" s="252"/>
      <c r="C4155" s="268"/>
    </row>
    <row r="4156" spans="2:3">
      <c r="B4156" s="252"/>
      <c r="C4156" s="268"/>
    </row>
    <row r="4157" spans="2:3">
      <c r="B4157" s="252"/>
      <c r="C4157" s="268"/>
    </row>
    <row r="4158" spans="2:3">
      <c r="B4158" s="252"/>
      <c r="C4158" s="268"/>
    </row>
    <row r="4159" spans="2:3">
      <c r="B4159" s="252"/>
      <c r="C4159" s="268"/>
    </row>
    <row r="4160" spans="2:3">
      <c r="B4160" s="252"/>
      <c r="C4160" s="268"/>
    </row>
    <row r="4161" spans="2:3">
      <c r="B4161" s="252"/>
      <c r="C4161" s="268"/>
    </row>
    <row r="4162" spans="2:3">
      <c r="B4162" s="252"/>
      <c r="C4162" s="268"/>
    </row>
    <row r="4163" spans="2:3">
      <c r="B4163" s="252"/>
      <c r="C4163" s="268"/>
    </row>
    <row r="4164" spans="2:3">
      <c r="B4164" s="252"/>
      <c r="C4164" s="268"/>
    </row>
    <row r="4165" spans="2:3">
      <c r="B4165" s="252"/>
      <c r="C4165" s="268"/>
    </row>
    <row r="4166" spans="2:3">
      <c r="B4166" s="252"/>
      <c r="C4166" s="268"/>
    </row>
    <row r="4167" spans="2:3">
      <c r="B4167" s="252"/>
      <c r="C4167" s="268"/>
    </row>
    <row r="4168" spans="2:3">
      <c r="B4168" s="252"/>
      <c r="C4168" s="268"/>
    </row>
    <row r="4169" spans="2:3">
      <c r="B4169" s="252"/>
      <c r="C4169" s="268"/>
    </row>
    <row r="4170" spans="2:3">
      <c r="B4170" s="252"/>
      <c r="C4170" s="268"/>
    </row>
    <row r="4171" spans="2:3">
      <c r="B4171" s="252"/>
      <c r="C4171" s="268"/>
    </row>
    <row r="4172" spans="2:3">
      <c r="B4172" s="252"/>
      <c r="C4172" s="268"/>
    </row>
    <row r="4173" spans="2:3">
      <c r="B4173" s="252"/>
      <c r="C4173" s="268"/>
    </row>
    <row r="4174" spans="2:3">
      <c r="B4174" s="252"/>
      <c r="C4174" s="268"/>
    </row>
    <row r="4175" spans="2:3">
      <c r="B4175" s="252"/>
      <c r="C4175" s="268"/>
    </row>
    <row r="4176" spans="2:3">
      <c r="B4176" s="252"/>
      <c r="C4176" s="268"/>
    </row>
    <row r="4177" spans="2:3">
      <c r="B4177" s="252"/>
      <c r="C4177" s="268"/>
    </row>
    <row r="4178" spans="2:3">
      <c r="B4178" s="252"/>
      <c r="C4178" s="268"/>
    </row>
    <row r="4179" spans="2:3">
      <c r="B4179" s="252"/>
      <c r="C4179" s="268"/>
    </row>
    <row r="4180" spans="2:3">
      <c r="B4180" s="252"/>
      <c r="C4180" s="268"/>
    </row>
    <row r="4181" spans="2:3">
      <c r="B4181" s="252"/>
      <c r="C4181" s="268"/>
    </row>
    <row r="4182" spans="2:3">
      <c r="B4182" s="252"/>
      <c r="C4182" s="268"/>
    </row>
    <row r="4183" spans="2:3">
      <c r="B4183" s="252"/>
      <c r="C4183" s="268"/>
    </row>
    <row r="4184" spans="2:3">
      <c r="B4184" s="252"/>
      <c r="C4184" s="268"/>
    </row>
    <row r="4185" spans="2:3">
      <c r="B4185" s="252"/>
      <c r="C4185" s="268"/>
    </row>
    <row r="4186" spans="2:3">
      <c r="B4186" s="252"/>
      <c r="C4186" s="268"/>
    </row>
    <row r="4187" spans="2:3">
      <c r="B4187" s="252"/>
      <c r="C4187" s="268"/>
    </row>
    <row r="4188" spans="2:3">
      <c r="B4188" s="252"/>
      <c r="C4188" s="268"/>
    </row>
    <row r="4189" spans="2:3">
      <c r="B4189" s="252"/>
      <c r="C4189" s="268"/>
    </row>
    <row r="4190" spans="2:3">
      <c r="B4190" s="252"/>
      <c r="C4190" s="268"/>
    </row>
    <row r="4191" spans="2:3">
      <c r="B4191" s="252"/>
      <c r="C4191" s="268"/>
    </row>
    <row r="4192" spans="2:3">
      <c r="B4192" s="252"/>
      <c r="C4192" s="268"/>
    </row>
    <row r="4193" spans="2:3">
      <c r="B4193" s="252"/>
      <c r="C4193" s="268"/>
    </row>
    <row r="4194" spans="2:3">
      <c r="B4194" s="252"/>
      <c r="C4194" s="268"/>
    </row>
    <row r="4195" spans="2:3">
      <c r="B4195" s="252"/>
      <c r="C4195" s="268"/>
    </row>
    <row r="4196" spans="2:3">
      <c r="B4196" s="252"/>
      <c r="C4196" s="268"/>
    </row>
    <row r="4197" spans="2:3">
      <c r="B4197" s="252"/>
      <c r="C4197" s="268"/>
    </row>
    <row r="4198" spans="2:3">
      <c r="B4198" s="252"/>
      <c r="C4198" s="268"/>
    </row>
    <row r="4199" spans="2:3">
      <c r="B4199" s="252"/>
      <c r="C4199" s="268"/>
    </row>
    <row r="4200" spans="2:3">
      <c r="B4200" s="252"/>
      <c r="C4200" s="268"/>
    </row>
    <row r="4201" spans="2:3">
      <c r="B4201" s="252"/>
      <c r="C4201" s="268"/>
    </row>
    <row r="4202" spans="2:3">
      <c r="B4202" s="252"/>
      <c r="C4202" s="268"/>
    </row>
    <row r="4203" spans="2:3">
      <c r="B4203" s="252"/>
      <c r="C4203" s="268"/>
    </row>
    <row r="4204" spans="2:3">
      <c r="B4204" s="252"/>
      <c r="C4204" s="268"/>
    </row>
    <row r="4205" spans="2:3">
      <c r="B4205" s="252"/>
      <c r="C4205" s="268"/>
    </row>
    <row r="4206" spans="2:3">
      <c r="B4206" s="252"/>
      <c r="C4206" s="268"/>
    </row>
    <row r="4207" spans="2:3">
      <c r="B4207" s="252"/>
      <c r="C4207" s="268"/>
    </row>
    <row r="4208" spans="2:3">
      <c r="B4208" s="252"/>
      <c r="C4208" s="268"/>
    </row>
    <row r="4209" spans="2:3">
      <c r="B4209" s="252"/>
      <c r="C4209" s="268"/>
    </row>
    <row r="4210" spans="2:3">
      <c r="B4210" s="252"/>
      <c r="C4210" s="268"/>
    </row>
    <row r="4211" spans="2:3">
      <c r="B4211" s="252"/>
      <c r="C4211" s="268"/>
    </row>
    <row r="4212" spans="2:3">
      <c r="B4212" s="252"/>
      <c r="C4212" s="268"/>
    </row>
    <row r="4213" spans="2:3">
      <c r="B4213" s="252"/>
      <c r="C4213" s="268"/>
    </row>
    <row r="4214" spans="2:3">
      <c r="B4214" s="252"/>
      <c r="C4214" s="268"/>
    </row>
    <row r="4215" spans="2:3">
      <c r="B4215" s="252"/>
      <c r="C4215" s="268"/>
    </row>
    <row r="4216" spans="2:3">
      <c r="B4216" s="252"/>
      <c r="C4216" s="268"/>
    </row>
    <row r="4217" spans="2:3">
      <c r="B4217" s="252"/>
      <c r="C4217" s="268"/>
    </row>
    <row r="4218" spans="2:3">
      <c r="B4218" s="252"/>
      <c r="C4218" s="268"/>
    </row>
    <row r="4219" spans="2:3">
      <c r="B4219" s="252"/>
      <c r="C4219" s="268"/>
    </row>
    <row r="4220" spans="2:3">
      <c r="B4220" s="252"/>
      <c r="C4220" s="268"/>
    </row>
    <row r="4221" spans="2:3">
      <c r="B4221" s="252"/>
      <c r="C4221" s="268"/>
    </row>
    <row r="4222" spans="2:3">
      <c r="B4222" s="252"/>
      <c r="C4222" s="268"/>
    </row>
    <row r="4223" spans="2:3">
      <c r="B4223" s="252"/>
      <c r="C4223" s="268"/>
    </row>
    <row r="4224" spans="2:3">
      <c r="B4224" s="252"/>
      <c r="C4224" s="268"/>
    </row>
    <row r="4225" spans="2:3">
      <c r="B4225" s="252"/>
      <c r="C4225" s="268"/>
    </row>
    <row r="4226" spans="2:3">
      <c r="B4226" s="252"/>
      <c r="C4226" s="268"/>
    </row>
    <row r="4227" spans="2:3">
      <c r="B4227" s="252"/>
      <c r="C4227" s="268"/>
    </row>
    <row r="4228" spans="2:3">
      <c r="B4228" s="252"/>
      <c r="C4228" s="268"/>
    </row>
    <row r="4229" spans="2:3">
      <c r="B4229" s="252"/>
      <c r="C4229" s="268"/>
    </row>
    <row r="4230" spans="2:3">
      <c r="B4230" s="252"/>
      <c r="C4230" s="268"/>
    </row>
    <row r="4231" spans="2:3">
      <c r="B4231" s="252"/>
      <c r="C4231" s="268"/>
    </row>
    <row r="4232" spans="2:3">
      <c r="B4232" s="252"/>
      <c r="C4232" s="268"/>
    </row>
    <row r="4233" spans="2:3">
      <c r="B4233" s="252"/>
      <c r="C4233" s="268"/>
    </row>
    <row r="4234" spans="2:3">
      <c r="B4234" s="252"/>
      <c r="C4234" s="268"/>
    </row>
    <row r="4235" spans="2:3">
      <c r="B4235" s="252"/>
      <c r="C4235" s="268"/>
    </row>
    <row r="4236" spans="2:3">
      <c r="B4236" s="252"/>
      <c r="C4236" s="268"/>
    </row>
    <row r="4237" spans="2:3">
      <c r="B4237" s="252"/>
      <c r="C4237" s="268"/>
    </row>
    <row r="4238" spans="2:3">
      <c r="B4238" s="252"/>
      <c r="C4238" s="268"/>
    </row>
    <row r="4239" spans="2:3">
      <c r="B4239" s="252"/>
      <c r="C4239" s="268"/>
    </row>
    <row r="4240" spans="2:3">
      <c r="B4240" s="252"/>
      <c r="C4240" s="268"/>
    </row>
    <row r="4241" spans="2:3">
      <c r="B4241" s="252"/>
      <c r="C4241" s="268"/>
    </row>
    <row r="4242" spans="2:3">
      <c r="B4242" s="252"/>
      <c r="C4242" s="268"/>
    </row>
    <row r="4243" spans="2:3">
      <c r="B4243" s="252"/>
      <c r="C4243" s="268"/>
    </row>
    <row r="4244" spans="2:3">
      <c r="B4244" s="252"/>
      <c r="C4244" s="268"/>
    </row>
    <row r="4245" spans="2:3">
      <c r="B4245" s="252"/>
      <c r="C4245" s="268"/>
    </row>
    <row r="4246" spans="2:3">
      <c r="B4246" s="252"/>
      <c r="C4246" s="268"/>
    </row>
    <row r="4247" spans="2:3">
      <c r="B4247" s="252"/>
      <c r="C4247" s="268"/>
    </row>
    <row r="4248" spans="2:3">
      <c r="B4248" s="252"/>
      <c r="C4248" s="268"/>
    </row>
    <row r="4249" spans="2:3">
      <c r="B4249" s="252"/>
      <c r="C4249" s="268"/>
    </row>
    <row r="4250" spans="2:3">
      <c r="B4250" s="252"/>
      <c r="C4250" s="268"/>
    </row>
    <row r="4251" spans="2:3">
      <c r="B4251" s="252"/>
      <c r="C4251" s="268"/>
    </row>
    <row r="4252" spans="2:3">
      <c r="B4252" s="252"/>
      <c r="C4252" s="268"/>
    </row>
    <row r="4253" spans="2:3">
      <c r="B4253" s="252"/>
      <c r="C4253" s="268"/>
    </row>
    <row r="4254" spans="2:3">
      <c r="B4254" s="252"/>
      <c r="C4254" s="268"/>
    </row>
    <row r="4255" spans="2:3">
      <c r="B4255" s="252"/>
      <c r="C4255" s="268"/>
    </row>
    <row r="4256" spans="2:3">
      <c r="B4256" s="252"/>
      <c r="C4256" s="268"/>
    </row>
    <row r="4257" spans="2:3">
      <c r="B4257" s="252"/>
      <c r="C4257" s="268"/>
    </row>
    <row r="4258" spans="2:3">
      <c r="B4258" s="252"/>
      <c r="C4258" s="268"/>
    </row>
    <row r="4259" spans="2:3">
      <c r="B4259" s="252"/>
      <c r="C4259" s="268"/>
    </row>
    <row r="4260" spans="2:3">
      <c r="B4260" s="252"/>
      <c r="C4260" s="268"/>
    </row>
    <row r="4261" spans="2:3">
      <c r="B4261" s="252"/>
      <c r="C4261" s="268"/>
    </row>
    <row r="4262" spans="2:3">
      <c r="B4262" s="252"/>
      <c r="C4262" s="268"/>
    </row>
    <row r="4263" spans="2:3">
      <c r="B4263" s="252"/>
      <c r="C4263" s="268"/>
    </row>
    <row r="4264" spans="2:3">
      <c r="B4264" s="252"/>
      <c r="C4264" s="268"/>
    </row>
    <row r="4265" spans="2:3">
      <c r="B4265" s="252"/>
      <c r="C4265" s="268"/>
    </row>
    <row r="4266" spans="2:3">
      <c r="B4266" s="252"/>
      <c r="C4266" s="268"/>
    </row>
    <row r="4267" spans="2:3">
      <c r="B4267" s="252"/>
      <c r="C4267" s="268"/>
    </row>
    <row r="4268" spans="2:3">
      <c r="B4268" s="252"/>
      <c r="C4268" s="268"/>
    </row>
    <row r="4269" spans="2:3">
      <c r="B4269" s="252"/>
      <c r="C4269" s="268"/>
    </row>
    <row r="4270" spans="2:3">
      <c r="B4270" s="252"/>
      <c r="C4270" s="268"/>
    </row>
    <row r="4271" spans="2:3">
      <c r="B4271" s="252"/>
      <c r="C4271" s="268"/>
    </row>
    <row r="4272" spans="2:3">
      <c r="B4272" s="252"/>
      <c r="C4272" s="268"/>
    </row>
    <row r="4273" spans="2:3">
      <c r="B4273" s="252"/>
      <c r="C4273" s="268"/>
    </row>
    <row r="4274" spans="2:3">
      <c r="B4274" s="252"/>
      <c r="C4274" s="268"/>
    </row>
    <row r="4275" spans="2:3">
      <c r="B4275" s="252"/>
      <c r="C4275" s="268"/>
    </row>
    <row r="4276" spans="2:3">
      <c r="B4276" s="252"/>
      <c r="C4276" s="268"/>
    </row>
    <row r="4277" spans="2:3">
      <c r="B4277" s="252"/>
      <c r="C4277" s="268"/>
    </row>
    <row r="4278" spans="2:3">
      <c r="B4278" s="252"/>
      <c r="C4278" s="268"/>
    </row>
    <row r="4279" spans="2:3">
      <c r="B4279" s="252"/>
      <c r="C4279" s="268"/>
    </row>
    <row r="4280" spans="2:3">
      <c r="B4280" s="252"/>
      <c r="C4280" s="268"/>
    </row>
    <row r="4281" spans="2:3">
      <c r="B4281" s="252"/>
      <c r="C4281" s="268"/>
    </row>
    <row r="4282" spans="2:3">
      <c r="B4282" s="252"/>
      <c r="C4282" s="268"/>
    </row>
    <row r="4283" spans="2:3">
      <c r="B4283" s="252"/>
      <c r="C4283" s="268"/>
    </row>
    <row r="4284" spans="2:3">
      <c r="B4284" s="252"/>
      <c r="C4284" s="268"/>
    </row>
    <row r="4285" spans="2:3">
      <c r="B4285" s="252"/>
      <c r="C4285" s="268"/>
    </row>
    <row r="4286" spans="2:3">
      <c r="B4286" s="252"/>
      <c r="C4286" s="268"/>
    </row>
    <row r="4287" spans="2:3">
      <c r="B4287" s="252"/>
      <c r="C4287" s="268"/>
    </row>
    <row r="4288" spans="2:3">
      <c r="B4288" s="252"/>
      <c r="C4288" s="268"/>
    </row>
    <row r="4289" spans="2:3">
      <c r="B4289" s="252"/>
      <c r="C4289" s="268"/>
    </row>
    <row r="4290" spans="2:3">
      <c r="B4290" s="252"/>
      <c r="C4290" s="268"/>
    </row>
    <row r="4291" spans="2:3">
      <c r="B4291" s="252"/>
      <c r="C4291" s="268"/>
    </row>
    <row r="4292" spans="2:3">
      <c r="B4292" s="252"/>
      <c r="C4292" s="268"/>
    </row>
    <row r="4293" spans="2:3">
      <c r="B4293" s="252"/>
      <c r="C4293" s="268"/>
    </row>
    <row r="4294" spans="2:3">
      <c r="B4294" s="252"/>
      <c r="C4294" s="268"/>
    </row>
    <row r="4295" spans="2:3">
      <c r="B4295" s="252"/>
      <c r="C4295" s="268"/>
    </row>
    <row r="4296" spans="2:3">
      <c r="B4296" s="252"/>
      <c r="C4296" s="268"/>
    </row>
    <row r="4297" spans="2:3">
      <c r="B4297" s="252"/>
      <c r="C4297" s="268"/>
    </row>
    <row r="4298" spans="2:3">
      <c r="B4298" s="252"/>
      <c r="C4298" s="268"/>
    </row>
    <row r="4299" spans="2:3">
      <c r="B4299" s="252"/>
      <c r="C4299" s="268"/>
    </row>
    <row r="4300" spans="2:3">
      <c r="B4300" s="252"/>
      <c r="C4300" s="268"/>
    </row>
    <row r="4301" spans="2:3">
      <c r="B4301" s="252"/>
      <c r="C4301" s="268"/>
    </row>
    <row r="4302" spans="2:3">
      <c r="B4302" s="252"/>
      <c r="C4302" s="268"/>
    </row>
    <row r="4303" spans="2:3">
      <c r="B4303" s="252"/>
      <c r="C4303" s="268"/>
    </row>
    <row r="4304" spans="2:3">
      <c r="B4304" s="252"/>
      <c r="C4304" s="268"/>
    </row>
    <row r="4305" spans="2:3">
      <c r="B4305" s="252"/>
      <c r="C4305" s="268"/>
    </row>
    <row r="4306" spans="2:3">
      <c r="B4306" s="252"/>
      <c r="C4306" s="268"/>
    </row>
    <row r="4307" spans="2:3">
      <c r="B4307" s="252"/>
      <c r="C4307" s="268"/>
    </row>
    <row r="4308" spans="2:3">
      <c r="B4308" s="252"/>
      <c r="C4308" s="268"/>
    </row>
    <row r="4309" spans="2:3">
      <c r="B4309" s="252"/>
      <c r="C4309" s="268"/>
    </row>
    <row r="4310" spans="2:3">
      <c r="B4310" s="252"/>
      <c r="C4310" s="268"/>
    </row>
    <row r="4311" spans="2:3">
      <c r="B4311" s="252"/>
      <c r="C4311" s="268"/>
    </row>
    <row r="4312" spans="2:3">
      <c r="B4312" s="252"/>
      <c r="C4312" s="268"/>
    </row>
    <row r="4313" spans="2:3">
      <c r="B4313" s="252"/>
      <c r="C4313" s="268"/>
    </row>
    <row r="4314" spans="2:3">
      <c r="B4314" s="252"/>
      <c r="C4314" s="268"/>
    </row>
    <row r="4315" spans="2:3">
      <c r="B4315" s="252"/>
      <c r="C4315" s="268"/>
    </row>
    <row r="4316" spans="2:3">
      <c r="B4316" s="252"/>
      <c r="C4316" s="268"/>
    </row>
    <row r="4317" spans="2:3">
      <c r="B4317" s="252"/>
      <c r="C4317" s="268"/>
    </row>
    <row r="4318" spans="2:3">
      <c r="B4318" s="252"/>
      <c r="C4318" s="268"/>
    </row>
    <row r="4319" spans="2:3">
      <c r="B4319" s="252"/>
      <c r="C4319" s="268"/>
    </row>
    <row r="4320" spans="2:3">
      <c r="B4320" s="252"/>
      <c r="C4320" s="268"/>
    </row>
    <row r="4321" spans="2:3">
      <c r="B4321" s="252"/>
      <c r="C4321" s="268"/>
    </row>
    <row r="4322" spans="2:3">
      <c r="B4322" s="252"/>
      <c r="C4322" s="268"/>
    </row>
    <row r="4323" spans="2:3">
      <c r="B4323" s="252"/>
      <c r="C4323" s="268"/>
    </row>
    <row r="4324" spans="2:3">
      <c r="B4324" s="252"/>
      <c r="C4324" s="268"/>
    </row>
    <row r="4325" spans="2:3">
      <c r="B4325" s="252"/>
      <c r="C4325" s="268"/>
    </row>
    <row r="4326" spans="2:3">
      <c r="B4326" s="252"/>
      <c r="C4326" s="268"/>
    </row>
    <row r="4327" spans="2:3">
      <c r="B4327" s="252"/>
      <c r="C4327" s="268"/>
    </row>
    <row r="4328" spans="2:3">
      <c r="B4328" s="252"/>
      <c r="C4328" s="268"/>
    </row>
    <row r="4329" spans="2:3">
      <c r="B4329" s="252"/>
      <c r="C4329" s="268"/>
    </row>
    <row r="4330" spans="2:3">
      <c r="B4330" s="252"/>
      <c r="C4330" s="268"/>
    </row>
    <row r="4331" spans="2:3">
      <c r="B4331" s="252"/>
      <c r="C4331" s="268"/>
    </row>
    <row r="4332" spans="2:3">
      <c r="B4332" s="252"/>
      <c r="C4332" s="268"/>
    </row>
    <row r="4333" spans="2:3">
      <c r="B4333" s="252"/>
      <c r="C4333" s="268"/>
    </row>
    <row r="4334" spans="2:3">
      <c r="B4334" s="252"/>
      <c r="C4334" s="268"/>
    </row>
    <row r="4335" spans="2:3">
      <c r="B4335" s="252"/>
      <c r="C4335" s="268"/>
    </row>
    <row r="4336" spans="2:3">
      <c r="B4336" s="252"/>
      <c r="C4336" s="268"/>
    </row>
    <row r="4337" spans="2:3">
      <c r="B4337" s="252"/>
      <c r="C4337" s="268"/>
    </row>
    <row r="4338" spans="2:3">
      <c r="B4338" s="252"/>
      <c r="C4338" s="268"/>
    </row>
    <row r="4339" spans="2:3">
      <c r="B4339" s="252"/>
      <c r="C4339" s="268"/>
    </row>
    <row r="4340" spans="2:3">
      <c r="B4340" s="252"/>
      <c r="C4340" s="268"/>
    </row>
    <row r="4341" spans="2:3">
      <c r="B4341" s="252"/>
      <c r="C4341" s="268"/>
    </row>
    <row r="4342" spans="2:3">
      <c r="B4342" s="252"/>
      <c r="C4342" s="268"/>
    </row>
    <row r="4343" spans="2:3">
      <c r="B4343" s="252"/>
      <c r="C4343" s="268"/>
    </row>
    <row r="4344" spans="2:3">
      <c r="B4344" s="252"/>
      <c r="C4344" s="268"/>
    </row>
    <row r="4345" spans="2:3">
      <c r="B4345" s="252"/>
      <c r="C4345" s="268"/>
    </row>
    <row r="4346" spans="2:3">
      <c r="B4346" s="252"/>
      <c r="C4346" s="268"/>
    </row>
    <row r="4347" spans="2:3">
      <c r="B4347" s="252"/>
      <c r="C4347" s="268"/>
    </row>
    <row r="4348" spans="2:3">
      <c r="B4348" s="252"/>
      <c r="C4348" s="268"/>
    </row>
    <row r="4349" spans="2:3">
      <c r="B4349" s="252"/>
      <c r="C4349" s="268"/>
    </row>
    <row r="4350" spans="2:3">
      <c r="B4350" s="252"/>
      <c r="C4350" s="268"/>
    </row>
    <row r="4351" spans="2:3">
      <c r="B4351" s="252"/>
      <c r="C4351" s="268"/>
    </row>
    <row r="4352" spans="2:3">
      <c r="B4352" s="252"/>
      <c r="C4352" s="268"/>
    </row>
    <row r="4353" spans="2:3">
      <c r="B4353" s="252"/>
      <c r="C4353" s="268"/>
    </row>
    <row r="4354" spans="2:3">
      <c r="B4354" s="252"/>
      <c r="C4354" s="268"/>
    </row>
    <row r="4355" spans="2:3">
      <c r="B4355" s="252"/>
      <c r="C4355" s="268"/>
    </row>
    <row r="4356" spans="2:3">
      <c r="B4356" s="252"/>
      <c r="C4356" s="268"/>
    </row>
    <row r="4357" spans="2:3">
      <c r="B4357" s="252"/>
      <c r="C4357" s="268"/>
    </row>
    <row r="4358" spans="2:3">
      <c r="B4358" s="252"/>
      <c r="C4358" s="268"/>
    </row>
    <row r="4359" spans="2:3">
      <c r="B4359" s="252"/>
      <c r="C4359" s="268"/>
    </row>
    <row r="4360" spans="2:3">
      <c r="B4360" s="252"/>
      <c r="C4360" s="268"/>
    </row>
    <row r="4361" spans="2:3">
      <c r="B4361" s="252"/>
      <c r="C4361" s="268"/>
    </row>
    <row r="4362" spans="2:3">
      <c r="B4362" s="252"/>
      <c r="C4362" s="268"/>
    </row>
    <row r="4363" spans="2:3">
      <c r="B4363" s="252"/>
      <c r="C4363" s="268"/>
    </row>
    <row r="4364" spans="2:3">
      <c r="B4364" s="252"/>
      <c r="C4364" s="268"/>
    </row>
    <row r="4365" spans="2:3">
      <c r="B4365" s="252"/>
      <c r="C4365" s="268"/>
    </row>
    <row r="4366" spans="2:3">
      <c r="B4366" s="252"/>
      <c r="C4366" s="268"/>
    </row>
    <row r="4367" spans="2:3">
      <c r="B4367" s="252"/>
      <c r="C4367" s="268"/>
    </row>
    <row r="4368" spans="2:3">
      <c r="B4368" s="252"/>
      <c r="C4368" s="268"/>
    </row>
    <row r="4369" spans="2:3">
      <c r="B4369" s="252"/>
      <c r="C4369" s="268"/>
    </row>
    <row r="4370" spans="2:3">
      <c r="B4370" s="252"/>
      <c r="C4370" s="268"/>
    </row>
    <row r="4371" spans="2:3">
      <c r="B4371" s="252"/>
      <c r="C4371" s="268"/>
    </row>
    <row r="4372" spans="2:3">
      <c r="B4372" s="252"/>
      <c r="C4372" s="268"/>
    </row>
    <row r="4373" spans="2:3">
      <c r="B4373" s="252"/>
      <c r="C4373" s="268"/>
    </row>
    <row r="4374" spans="2:3">
      <c r="B4374" s="252"/>
      <c r="C4374" s="268"/>
    </row>
    <row r="4375" spans="2:3">
      <c r="B4375" s="252"/>
      <c r="C4375" s="268"/>
    </row>
    <row r="4376" spans="2:3">
      <c r="B4376" s="252"/>
      <c r="C4376" s="268"/>
    </row>
    <row r="4377" spans="2:3">
      <c r="B4377" s="252"/>
      <c r="C4377" s="268"/>
    </row>
    <row r="4378" spans="2:3">
      <c r="B4378" s="252"/>
      <c r="C4378" s="268"/>
    </row>
    <row r="4379" spans="2:3">
      <c r="B4379" s="252"/>
      <c r="C4379" s="268"/>
    </row>
    <row r="4380" spans="2:3">
      <c r="B4380" s="252"/>
      <c r="C4380" s="268"/>
    </row>
    <row r="4381" spans="2:3">
      <c r="B4381" s="252"/>
      <c r="C4381" s="268"/>
    </row>
    <row r="4382" spans="2:3">
      <c r="B4382" s="252"/>
      <c r="C4382" s="268"/>
    </row>
    <row r="4383" spans="2:3">
      <c r="B4383" s="252"/>
      <c r="C4383" s="268"/>
    </row>
    <row r="4384" spans="2:3">
      <c r="B4384" s="252"/>
      <c r="C4384" s="268"/>
    </row>
    <row r="4385" spans="2:3">
      <c r="B4385" s="252"/>
      <c r="C4385" s="268"/>
    </row>
    <row r="4386" spans="2:3">
      <c r="B4386" s="252"/>
      <c r="C4386" s="268"/>
    </row>
    <row r="4387" spans="2:3">
      <c r="B4387" s="252"/>
      <c r="C4387" s="268"/>
    </row>
    <row r="4388" spans="2:3">
      <c r="B4388" s="252"/>
      <c r="C4388" s="268"/>
    </row>
    <row r="4389" spans="2:3">
      <c r="B4389" s="252"/>
      <c r="C4389" s="268"/>
    </row>
    <row r="4390" spans="2:3">
      <c r="B4390" s="252"/>
      <c r="C4390" s="268"/>
    </row>
    <row r="4391" spans="2:3">
      <c r="B4391" s="252"/>
      <c r="C4391" s="268"/>
    </row>
    <row r="4392" spans="2:3">
      <c r="B4392" s="252"/>
      <c r="C4392" s="268"/>
    </row>
    <row r="4393" spans="2:3">
      <c r="B4393" s="252"/>
      <c r="C4393" s="268"/>
    </row>
    <row r="4394" spans="2:3">
      <c r="B4394" s="252"/>
      <c r="C4394" s="268"/>
    </row>
    <row r="4395" spans="2:3">
      <c r="B4395" s="252"/>
      <c r="C4395" s="268"/>
    </row>
    <row r="4396" spans="2:3">
      <c r="B4396" s="252"/>
      <c r="C4396" s="268"/>
    </row>
    <row r="4397" spans="2:3">
      <c r="B4397" s="252"/>
      <c r="C4397" s="268"/>
    </row>
    <row r="4398" spans="2:3">
      <c r="B4398" s="252"/>
      <c r="C4398" s="268"/>
    </row>
    <row r="4399" spans="2:3">
      <c r="B4399" s="252"/>
      <c r="C4399" s="268"/>
    </row>
    <row r="4400" spans="2:3">
      <c r="B4400" s="252"/>
      <c r="C4400" s="268"/>
    </row>
    <row r="4401" spans="2:3">
      <c r="B4401" s="252"/>
      <c r="C4401" s="268"/>
    </row>
    <row r="4402" spans="2:3">
      <c r="B4402" s="252"/>
      <c r="C4402" s="268"/>
    </row>
    <row r="4403" spans="2:3">
      <c r="B4403" s="252"/>
      <c r="C4403" s="268"/>
    </row>
    <row r="4404" spans="2:3">
      <c r="B4404" s="252"/>
      <c r="C4404" s="268"/>
    </row>
    <row r="4405" spans="2:3">
      <c r="B4405" s="252"/>
      <c r="C4405" s="268"/>
    </row>
    <row r="4406" spans="2:3">
      <c r="B4406" s="252"/>
      <c r="C4406" s="268"/>
    </row>
    <row r="4407" spans="2:3">
      <c r="B4407" s="252"/>
      <c r="C4407" s="268"/>
    </row>
    <row r="4408" spans="2:3">
      <c r="B4408" s="252"/>
      <c r="C4408" s="268"/>
    </row>
    <row r="4409" spans="2:3">
      <c r="B4409" s="252"/>
      <c r="C4409" s="268"/>
    </row>
    <row r="4410" spans="2:3">
      <c r="B4410" s="252"/>
      <c r="C4410" s="268"/>
    </row>
    <row r="4411" spans="2:3">
      <c r="B4411" s="252"/>
      <c r="C4411" s="268"/>
    </row>
    <row r="4412" spans="2:3">
      <c r="B4412" s="252"/>
      <c r="C4412" s="268"/>
    </row>
    <row r="4413" spans="2:3">
      <c r="B4413" s="252"/>
      <c r="C4413" s="268"/>
    </row>
    <row r="4414" spans="2:3">
      <c r="B4414" s="252"/>
      <c r="C4414" s="268"/>
    </row>
    <row r="4415" spans="2:3">
      <c r="B4415" s="252"/>
      <c r="C4415" s="268"/>
    </row>
    <row r="4416" spans="2:3">
      <c r="B4416" s="252"/>
      <c r="C4416" s="268"/>
    </row>
    <row r="4417" spans="2:3">
      <c r="B4417" s="252"/>
      <c r="C4417" s="268"/>
    </row>
    <row r="4418" spans="2:3">
      <c r="B4418" s="252"/>
      <c r="C4418" s="268"/>
    </row>
    <row r="4419" spans="2:3">
      <c r="B4419" s="252"/>
      <c r="C4419" s="268"/>
    </row>
    <row r="4420" spans="2:3">
      <c r="B4420" s="252"/>
      <c r="C4420" s="268"/>
    </row>
    <row r="4421" spans="2:3">
      <c r="B4421" s="252"/>
      <c r="C4421" s="268"/>
    </row>
    <row r="4422" spans="2:3">
      <c r="B4422" s="252"/>
      <c r="C4422" s="268"/>
    </row>
    <row r="4423" spans="2:3">
      <c r="B4423" s="252"/>
      <c r="C4423" s="268"/>
    </row>
    <row r="4424" spans="2:3">
      <c r="B4424" s="252"/>
      <c r="C4424" s="268"/>
    </row>
    <row r="4425" spans="2:3">
      <c r="B4425" s="252"/>
      <c r="C4425" s="268"/>
    </row>
    <row r="4426" spans="2:3">
      <c r="B4426" s="252"/>
      <c r="C4426" s="268"/>
    </row>
    <row r="4427" spans="2:3">
      <c r="B4427" s="252"/>
      <c r="C4427" s="268"/>
    </row>
    <row r="4428" spans="2:3">
      <c r="B4428" s="252"/>
      <c r="C4428" s="268"/>
    </row>
    <row r="4429" spans="2:3">
      <c r="B4429" s="252"/>
      <c r="C4429" s="268"/>
    </row>
    <row r="4430" spans="2:3">
      <c r="B4430" s="252"/>
      <c r="C4430" s="268"/>
    </row>
    <row r="4431" spans="2:3">
      <c r="B4431" s="252"/>
      <c r="C4431" s="268"/>
    </row>
    <row r="4432" spans="2:3">
      <c r="B4432" s="252"/>
      <c r="C4432" s="268"/>
    </row>
    <row r="4433" spans="2:3">
      <c r="B4433" s="252"/>
      <c r="C4433" s="268"/>
    </row>
    <row r="4434" spans="2:3">
      <c r="B4434" s="252"/>
      <c r="C4434" s="268"/>
    </row>
    <row r="4435" spans="2:3">
      <c r="B4435" s="252"/>
      <c r="C4435" s="268"/>
    </row>
    <row r="4436" spans="2:3">
      <c r="B4436" s="252"/>
      <c r="C4436" s="268"/>
    </row>
    <row r="4437" spans="2:3">
      <c r="B4437" s="252"/>
      <c r="C4437" s="268"/>
    </row>
    <row r="4438" spans="2:3">
      <c r="B4438" s="252"/>
      <c r="C4438" s="268"/>
    </row>
    <row r="4439" spans="2:3">
      <c r="B4439" s="252"/>
      <c r="C4439" s="268"/>
    </row>
    <row r="4440" spans="2:3">
      <c r="B4440" s="252"/>
      <c r="C4440" s="268"/>
    </row>
    <row r="4441" spans="2:3">
      <c r="B4441" s="252"/>
      <c r="C4441" s="268"/>
    </row>
    <row r="4442" spans="2:3">
      <c r="B4442" s="252"/>
      <c r="C4442" s="268"/>
    </row>
    <row r="4443" spans="2:3">
      <c r="B4443" s="252"/>
      <c r="C4443" s="268"/>
    </row>
    <row r="4444" spans="2:3">
      <c r="B4444" s="252"/>
      <c r="C4444" s="268"/>
    </row>
    <row r="4445" spans="2:3">
      <c r="B4445" s="252"/>
      <c r="C4445" s="268"/>
    </row>
    <row r="4446" spans="2:3">
      <c r="B4446" s="252"/>
      <c r="C4446" s="268"/>
    </row>
    <row r="4447" spans="2:3">
      <c r="B4447" s="252"/>
      <c r="C4447" s="268"/>
    </row>
    <row r="4448" spans="2:3">
      <c r="B4448" s="252"/>
      <c r="C4448" s="268"/>
    </row>
    <row r="4449" spans="2:3">
      <c r="B4449" s="252"/>
      <c r="C4449" s="268"/>
    </row>
    <row r="4450" spans="2:3">
      <c r="B4450" s="252"/>
      <c r="C4450" s="268"/>
    </row>
    <row r="4451" spans="2:3">
      <c r="B4451" s="252"/>
      <c r="C4451" s="268"/>
    </row>
    <row r="4452" spans="2:3">
      <c r="B4452" s="252"/>
      <c r="C4452" s="268"/>
    </row>
    <row r="4453" spans="2:3">
      <c r="B4453" s="252"/>
      <c r="C4453" s="268"/>
    </row>
    <row r="4454" spans="2:3">
      <c r="B4454" s="252"/>
      <c r="C4454" s="268"/>
    </row>
    <row r="4455" spans="2:3">
      <c r="B4455" s="252"/>
      <c r="C4455" s="268"/>
    </row>
    <row r="4456" spans="2:3">
      <c r="B4456" s="252"/>
      <c r="C4456" s="268"/>
    </row>
    <row r="4457" spans="2:3">
      <c r="B4457" s="252"/>
      <c r="C4457" s="268"/>
    </row>
    <row r="4458" spans="2:3">
      <c r="B4458" s="252"/>
      <c r="C4458" s="268"/>
    </row>
    <row r="4459" spans="2:3">
      <c r="B4459" s="252"/>
      <c r="C4459" s="268"/>
    </row>
    <row r="4460" spans="2:3">
      <c r="B4460" s="252"/>
      <c r="C4460" s="268"/>
    </row>
    <row r="4461" spans="2:3">
      <c r="B4461" s="252"/>
      <c r="C4461" s="268"/>
    </row>
    <row r="4462" spans="2:3">
      <c r="B4462" s="252"/>
      <c r="C4462" s="268"/>
    </row>
    <row r="4463" spans="2:3">
      <c r="B4463" s="252"/>
      <c r="C4463" s="268"/>
    </row>
    <row r="4464" spans="2:3">
      <c r="B4464" s="252"/>
      <c r="C4464" s="268"/>
    </row>
    <row r="4465" spans="2:3">
      <c r="B4465" s="252"/>
      <c r="C4465" s="268"/>
    </row>
    <row r="4466" spans="2:3">
      <c r="B4466" s="252"/>
      <c r="C4466" s="268"/>
    </row>
    <row r="4467" spans="2:3">
      <c r="B4467" s="252"/>
      <c r="C4467" s="268"/>
    </row>
    <row r="4468" spans="2:3">
      <c r="B4468" s="252"/>
      <c r="C4468" s="268"/>
    </row>
    <row r="4469" spans="2:3">
      <c r="B4469" s="252"/>
      <c r="C4469" s="268"/>
    </row>
    <row r="4470" spans="2:3">
      <c r="B4470" s="252"/>
      <c r="C4470" s="268"/>
    </row>
    <row r="4471" spans="2:3">
      <c r="B4471" s="252"/>
      <c r="C4471" s="268"/>
    </row>
    <row r="4472" spans="2:3">
      <c r="B4472" s="252"/>
      <c r="C4472" s="268"/>
    </row>
    <row r="4473" spans="2:3">
      <c r="B4473" s="252"/>
      <c r="C4473" s="268"/>
    </row>
    <row r="4474" spans="2:3">
      <c r="B4474" s="252"/>
      <c r="C4474" s="268"/>
    </row>
    <row r="4475" spans="2:3">
      <c r="B4475" s="252"/>
      <c r="C4475" s="268"/>
    </row>
    <row r="4476" spans="2:3">
      <c r="B4476" s="252"/>
      <c r="C4476" s="268"/>
    </row>
    <row r="4477" spans="2:3">
      <c r="B4477" s="252"/>
      <c r="C4477" s="268"/>
    </row>
    <row r="4478" spans="2:3">
      <c r="B4478" s="252"/>
      <c r="C4478" s="268"/>
    </row>
    <row r="4479" spans="2:3">
      <c r="B4479" s="252"/>
      <c r="C4479" s="268"/>
    </row>
    <row r="4480" spans="2:3">
      <c r="B4480" s="252"/>
      <c r="C4480" s="268"/>
    </row>
    <row r="4481" spans="2:3">
      <c r="B4481" s="252"/>
      <c r="C4481" s="268"/>
    </row>
    <row r="4482" spans="2:3">
      <c r="B4482" s="252"/>
      <c r="C4482" s="268"/>
    </row>
    <row r="4483" spans="2:3">
      <c r="B4483" s="252"/>
      <c r="C4483" s="268"/>
    </row>
    <row r="4484" spans="2:3">
      <c r="B4484" s="252"/>
      <c r="C4484" s="268"/>
    </row>
    <row r="4485" spans="2:3">
      <c r="B4485" s="252"/>
      <c r="C4485" s="268"/>
    </row>
    <row r="4486" spans="2:3">
      <c r="B4486" s="252"/>
      <c r="C4486" s="268"/>
    </row>
    <row r="4487" spans="2:3">
      <c r="B4487" s="252"/>
      <c r="C4487" s="268"/>
    </row>
    <row r="4488" spans="2:3">
      <c r="B4488" s="252"/>
      <c r="C4488" s="268"/>
    </row>
    <row r="4489" spans="2:3">
      <c r="B4489" s="252"/>
      <c r="C4489" s="268"/>
    </row>
    <row r="4490" spans="2:3">
      <c r="B4490" s="252"/>
      <c r="C4490" s="268"/>
    </row>
    <row r="4491" spans="2:3">
      <c r="B4491" s="252"/>
      <c r="C4491" s="268"/>
    </row>
    <row r="4492" spans="2:3">
      <c r="B4492" s="252"/>
      <c r="C4492" s="268"/>
    </row>
    <row r="4493" spans="2:3">
      <c r="B4493" s="252"/>
      <c r="C4493" s="268"/>
    </row>
    <row r="4494" spans="2:3">
      <c r="B4494" s="252"/>
      <c r="C4494" s="268"/>
    </row>
    <row r="4495" spans="2:3">
      <c r="B4495" s="252"/>
      <c r="C4495" s="268"/>
    </row>
    <row r="4496" spans="2:3">
      <c r="B4496" s="252"/>
      <c r="C4496" s="268"/>
    </row>
    <row r="4497" spans="2:3">
      <c r="B4497" s="252"/>
      <c r="C4497" s="268"/>
    </row>
    <row r="4498" spans="2:3">
      <c r="B4498" s="252"/>
      <c r="C4498" s="268"/>
    </row>
    <row r="4499" spans="2:3">
      <c r="B4499" s="252"/>
      <c r="C4499" s="268"/>
    </row>
    <row r="4500" spans="2:3">
      <c r="B4500" s="252"/>
      <c r="C4500" s="268"/>
    </row>
    <row r="4501" spans="2:3">
      <c r="B4501" s="252"/>
      <c r="C4501" s="268"/>
    </row>
    <row r="4502" spans="2:3">
      <c r="B4502" s="252"/>
      <c r="C4502" s="268"/>
    </row>
    <row r="4503" spans="2:3">
      <c r="B4503" s="252"/>
      <c r="C4503" s="268"/>
    </row>
    <row r="4504" spans="2:3">
      <c r="B4504" s="252"/>
      <c r="C4504" s="268"/>
    </row>
    <row r="4505" spans="2:3">
      <c r="B4505" s="252"/>
      <c r="C4505" s="268"/>
    </row>
    <row r="4506" spans="2:3">
      <c r="B4506" s="252"/>
      <c r="C4506" s="268"/>
    </row>
    <row r="4507" spans="2:3">
      <c r="B4507" s="252"/>
      <c r="C4507" s="268"/>
    </row>
    <row r="4508" spans="2:3">
      <c r="B4508" s="252"/>
      <c r="C4508" s="268"/>
    </row>
    <row r="4509" spans="2:3">
      <c r="B4509" s="252"/>
      <c r="C4509" s="268"/>
    </row>
    <row r="4510" spans="2:3">
      <c r="B4510" s="252"/>
      <c r="C4510" s="268"/>
    </row>
    <row r="4511" spans="2:3">
      <c r="B4511" s="252"/>
      <c r="C4511" s="268"/>
    </row>
    <row r="4512" spans="2:3">
      <c r="B4512" s="252"/>
      <c r="C4512" s="268"/>
    </row>
    <row r="4513" spans="2:3">
      <c r="B4513" s="252"/>
      <c r="C4513" s="268"/>
    </row>
    <row r="4514" spans="2:3">
      <c r="B4514" s="252"/>
      <c r="C4514" s="268"/>
    </row>
    <row r="4515" spans="2:3">
      <c r="B4515" s="252"/>
      <c r="C4515" s="268"/>
    </row>
    <row r="4516" spans="2:3">
      <c r="B4516" s="252"/>
      <c r="C4516" s="268"/>
    </row>
    <row r="4517" spans="2:3">
      <c r="B4517" s="252"/>
      <c r="C4517" s="268"/>
    </row>
    <row r="4518" spans="2:3">
      <c r="B4518" s="252"/>
      <c r="C4518" s="268"/>
    </row>
    <row r="4519" spans="2:3">
      <c r="B4519" s="252"/>
      <c r="C4519" s="268"/>
    </row>
    <row r="4520" spans="2:3">
      <c r="B4520" s="252"/>
      <c r="C4520" s="268"/>
    </row>
    <row r="4521" spans="2:3">
      <c r="B4521" s="252"/>
      <c r="C4521" s="268"/>
    </row>
    <row r="4522" spans="2:3">
      <c r="B4522" s="252"/>
      <c r="C4522" s="268"/>
    </row>
    <row r="4523" spans="2:3">
      <c r="B4523" s="252"/>
      <c r="C4523" s="268"/>
    </row>
    <row r="4524" spans="2:3">
      <c r="B4524" s="252"/>
      <c r="C4524" s="268"/>
    </row>
    <row r="4525" spans="2:3">
      <c r="B4525" s="252"/>
      <c r="C4525" s="268"/>
    </row>
    <row r="4526" spans="2:3">
      <c r="B4526" s="252"/>
      <c r="C4526" s="268"/>
    </row>
    <row r="4527" spans="2:3">
      <c r="B4527" s="252"/>
      <c r="C4527" s="268"/>
    </row>
    <row r="4528" spans="2:3">
      <c r="B4528" s="252"/>
      <c r="C4528" s="268"/>
    </row>
    <row r="4529" spans="2:3">
      <c r="B4529" s="252"/>
      <c r="C4529" s="268"/>
    </row>
    <row r="4530" spans="2:3">
      <c r="B4530" s="252"/>
      <c r="C4530" s="268"/>
    </row>
    <row r="4531" spans="2:3">
      <c r="B4531" s="252"/>
      <c r="C4531" s="268"/>
    </row>
    <row r="4532" spans="2:3">
      <c r="B4532" s="252"/>
      <c r="C4532" s="268"/>
    </row>
    <row r="4533" spans="2:3">
      <c r="B4533" s="252"/>
      <c r="C4533" s="268"/>
    </row>
    <row r="4534" spans="2:3">
      <c r="B4534" s="252"/>
      <c r="C4534" s="268"/>
    </row>
    <row r="4535" spans="2:3">
      <c r="B4535" s="252"/>
      <c r="C4535" s="268"/>
    </row>
    <row r="4536" spans="2:3">
      <c r="B4536" s="252"/>
      <c r="C4536" s="268"/>
    </row>
    <row r="4537" spans="2:3">
      <c r="B4537" s="252"/>
      <c r="C4537" s="268"/>
    </row>
    <row r="4538" spans="2:3">
      <c r="B4538" s="252"/>
      <c r="C4538" s="268"/>
    </row>
    <row r="4539" spans="2:3">
      <c r="B4539" s="252"/>
      <c r="C4539" s="268"/>
    </row>
    <row r="4540" spans="2:3">
      <c r="B4540" s="252"/>
      <c r="C4540" s="268"/>
    </row>
    <row r="4541" spans="2:3">
      <c r="B4541" s="252"/>
      <c r="C4541" s="268"/>
    </row>
    <row r="4542" spans="2:3">
      <c r="B4542" s="252"/>
      <c r="C4542" s="268"/>
    </row>
    <row r="4543" spans="2:3">
      <c r="B4543" s="252"/>
      <c r="C4543" s="268"/>
    </row>
    <row r="4544" spans="2:3">
      <c r="B4544" s="252"/>
      <c r="C4544" s="268"/>
    </row>
    <row r="4545" spans="2:3">
      <c r="B4545" s="252"/>
      <c r="C4545" s="268"/>
    </row>
    <row r="4546" spans="2:3">
      <c r="B4546" s="252"/>
      <c r="C4546" s="268"/>
    </row>
    <row r="4547" spans="2:3">
      <c r="B4547" s="252"/>
      <c r="C4547" s="268"/>
    </row>
    <row r="4548" spans="2:3">
      <c r="B4548" s="252"/>
      <c r="C4548" s="268"/>
    </row>
    <row r="4549" spans="2:3">
      <c r="B4549" s="252"/>
      <c r="C4549" s="268"/>
    </row>
    <row r="4550" spans="2:3">
      <c r="B4550" s="252"/>
      <c r="C4550" s="268"/>
    </row>
    <row r="4551" spans="2:3">
      <c r="B4551" s="252"/>
      <c r="C4551" s="268"/>
    </row>
    <row r="4552" spans="2:3">
      <c r="B4552" s="252"/>
      <c r="C4552" s="268"/>
    </row>
    <row r="4553" spans="2:3">
      <c r="B4553" s="252"/>
      <c r="C4553" s="268"/>
    </row>
    <row r="4554" spans="2:3">
      <c r="B4554" s="252"/>
      <c r="C4554" s="268"/>
    </row>
    <row r="4555" spans="2:3">
      <c r="B4555" s="252"/>
      <c r="C4555" s="268"/>
    </row>
    <row r="4556" spans="2:3">
      <c r="B4556" s="252"/>
      <c r="C4556" s="268"/>
    </row>
    <row r="4557" spans="2:3">
      <c r="B4557" s="252"/>
      <c r="C4557" s="268"/>
    </row>
    <row r="4558" spans="2:3">
      <c r="B4558" s="252"/>
      <c r="C4558" s="268"/>
    </row>
    <row r="4559" spans="2:3">
      <c r="B4559" s="252"/>
      <c r="C4559" s="268"/>
    </row>
    <row r="4560" spans="2:3">
      <c r="B4560" s="252"/>
      <c r="C4560" s="268"/>
    </row>
    <row r="4561" spans="2:3">
      <c r="B4561" s="252"/>
      <c r="C4561" s="268"/>
    </row>
    <row r="4562" spans="2:3">
      <c r="B4562" s="252"/>
      <c r="C4562" s="268"/>
    </row>
    <row r="4563" spans="2:3">
      <c r="B4563" s="252"/>
      <c r="C4563" s="268"/>
    </row>
    <row r="4564" spans="2:3">
      <c r="B4564" s="252"/>
      <c r="C4564" s="268"/>
    </row>
    <row r="4565" spans="2:3">
      <c r="B4565" s="252"/>
      <c r="C4565" s="268"/>
    </row>
    <row r="4566" spans="2:3">
      <c r="B4566" s="252"/>
      <c r="C4566" s="268"/>
    </row>
    <row r="4567" spans="2:3">
      <c r="B4567" s="252"/>
      <c r="C4567" s="268"/>
    </row>
    <row r="4568" spans="2:3">
      <c r="B4568" s="252"/>
      <c r="C4568" s="268"/>
    </row>
    <row r="4569" spans="2:3">
      <c r="B4569" s="252"/>
      <c r="C4569" s="268"/>
    </row>
    <row r="4570" spans="2:3">
      <c r="B4570" s="252"/>
      <c r="C4570" s="268"/>
    </row>
    <row r="4571" spans="2:3">
      <c r="B4571" s="252"/>
      <c r="C4571" s="268"/>
    </row>
    <row r="4572" spans="2:3">
      <c r="B4572" s="252"/>
      <c r="C4572" s="268"/>
    </row>
    <row r="4573" spans="2:3">
      <c r="B4573" s="252"/>
      <c r="C4573" s="268"/>
    </row>
    <row r="4574" spans="2:3">
      <c r="B4574" s="252"/>
      <c r="C4574" s="268"/>
    </row>
    <row r="4575" spans="2:3">
      <c r="B4575" s="252"/>
      <c r="C4575" s="268"/>
    </row>
    <row r="4576" spans="2:3">
      <c r="B4576" s="252"/>
      <c r="C4576" s="268"/>
    </row>
    <row r="4577" spans="2:3">
      <c r="B4577" s="252"/>
      <c r="C4577" s="268"/>
    </row>
    <row r="4578" spans="2:3">
      <c r="B4578" s="252"/>
      <c r="C4578" s="268"/>
    </row>
    <row r="4579" spans="2:3">
      <c r="B4579" s="252"/>
      <c r="C4579" s="268"/>
    </row>
    <row r="4580" spans="2:3">
      <c r="B4580" s="252"/>
      <c r="C4580" s="268"/>
    </row>
    <row r="4581" spans="2:3">
      <c r="B4581" s="252"/>
      <c r="C4581" s="268"/>
    </row>
    <row r="4582" spans="2:3">
      <c r="B4582" s="252"/>
      <c r="C4582" s="268"/>
    </row>
    <row r="4583" spans="2:3">
      <c r="B4583" s="252"/>
      <c r="C4583" s="268"/>
    </row>
    <row r="4584" spans="2:3">
      <c r="B4584" s="252"/>
      <c r="C4584" s="268"/>
    </row>
    <row r="4585" spans="2:3">
      <c r="B4585" s="252"/>
      <c r="C4585" s="268"/>
    </row>
    <row r="4586" spans="2:3">
      <c r="B4586" s="252"/>
      <c r="C4586" s="268"/>
    </row>
    <row r="4587" spans="2:3">
      <c r="B4587" s="252"/>
      <c r="C4587" s="268"/>
    </row>
    <row r="4588" spans="2:3">
      <c r="B4588" s="252"/>
      <c r="C4588" s="268"/>
    </row>
    <row r="4589" spans="2:3">
      <c r="B4589" s="252"/>
      <c r="C4589" s="268"/>
    </row>
    <row r="4590" spans="2:3">
      <c r="B4590" s="252"/>
      <c r="C4590" s="268"/>
    </row>
    <row r="4591" spans="2:3">
      <c r="B4591" s="252"/>
      <c r="C4591" s="268"/>
    </row>
    <row r="4592" spans="2:3">
      <c r="B4592" s="252"/>
      <c r="C4592" s="268"/>
    </row>
    <row r="4593" spans="2:3">
      <c r="B4593" s="252"/>
      <c r="C4593" s="268"/>
    </row>
    <row r="4594" spans="2:3">
      <c r="B4594" s="252"/>
      <c r="C4594" s="268"/>
    </row>
    <row r="4595" spans="2:3">
      <c r="B4595" s="252"/>
      <c r="C4595" s="268"/>
    </row>
    <row r="4596" spans="2:3">
      <c r="B4596" s="252"/>
      <c r="C4596" s="268"/>
    </row>
    <row r="4597" spans="2:3">
      <c r="B4597" s="252"/>
      <c r="C4597" s="268"/>
    </row>
    <row r="4598" spans="2:3">
      <c r="B4598" s="252"/>
      <c r="C4598" s="268"/>
    </row>
    <row r="4599" spans="2:3">
      <c r="B4599" s="252"/>
      <c r="C4599" s="268"/>
    </row>
    <row r="4600" spans="2:3">
      <c r="B4600" s="252"/>
      <c r="C4600" s="268"/>
    </row>
    <row r="4601" spans="2:3">
      <c r="B4601" s="252"/>
      <c r="C4601" s="268"/>
    </row>
    <row r="4602" spans="2:3">
      <c r="B4602" s="252"/>
      <c r="C4602" s="268"/>
    </row>
    <row r="4603" spans="2:3">
      <c r="B4603" s="252"/>
      <c r="C4603" s="268"/>
    </row>
    <row r="4604" spans="2:3">
      <c r="B4604" s="252"/>
      <c r="C4604" s="268"/>
    </row>
    <row r="4605" spans="2:3">
      <c r="B4605" s="252"/>
      <c r="C4605" s="268"/>
    </row>
    <row r="4606" spans="2:3">
      <c r="B4606" s="252"/>
      <c r="C4606" s="268"/>
    </row>
    <row r="4607" spans="2:3">
      <c r="B4607" s="252"/>
      <c r="C4607" s="268"/>
    </row>
    <row r="4608" spans="2:3">
      <c r="B4608" s="252"/>
      <c r="C4608" s="268"/>
    </row>
    <row r="4609" spans="2:3">
      <c r="B4609" s="252"/>
      <c r="C4609" s="268"/>
    </row>
    <row r="4610" spans="2:3">
      <c r="B4610" s="252"/>
      <c r="C4610" s="268"/>
    </row>
    <row r="4611" spans="2:3">
      <c r="B4611" s="252"/>
      <c r="C4611" s="268"/>
    </row>
    <row r="4612" spans="2:3">
      <c r="B4612" s="252"/>
      <c r="C4612" s="268"/>
    </row>
    <row r="4613" spans="2:3">
      <c r="B4613" s="252"/>
      <c r="C4613" s="268"/>
    </row>
    <row r="4614" spans="2:3">
      <c r="B4614" s="252"/>
      <c r="C4614" s="268"/>
    </row>
    <row r="4615" spans="2:3">
      <c r="B4615" s="252"/>
      <c r="C4615" s="268"/>
    </row>
    <row r="4616" spans="2:3">
      <c r="B4616" s="252"/>
      <c r="C4616" s="268"/>
    </row>
    <row r="4617" spans="2:3">
      <c r="B4617" s="252"/>
      <c r="C4617" s="268"/>
    </row>
    <row r="4618" spans="2:3">
      <c r="B4618" s="252"/>
      <c r="C4618" s="268"/>
    </row>
    <row r="4619" spans="2:3">
      <c r="B4619" s="252"/>
      <c r="C4619" s="268"/>
    </row>
    <row r="4620" spans="2:3">
      <c r="B4620" s="252"/>
      <c r="C4620" s="268"/>
    </row>
    <row r="4621" spans="2:3">
      <c r="B4621" s="252"/>
      <c r="C4621" s="268"/>
    </row>
    <row r="4622" spans="2:3">
      <c r="B4622" s="252"/>
      <c r="C4622" s="268"/>
    </row>
    <row r="4623" spans="2:3">
      <c r="B4623" s="252"/>
      <c r="C4623" s="268"/>
    </row>
    <row r="4624" spans="2:3">
      <c r="B4624" s="252"/>
      <c r="C4624" s="268"/>
    </row>
    <row r="4625" spans="2:3">
      <c r="B4625" s="252"/>
      <c r="C4625" s="268"/>
    </row>
    <row r="4626" spans="2:3">
      <c r="B4626" s="252"/>
      <c r="C4626" s="268"/>
    </row>
    <row r="4627" spans="2:3">
      <c r="B4627" s="252"/>
      <c r="C4627" s="268"/>
    </row>
    <row r="4628" spans="2:3">
      <c r="B4628" s="252"/>
      <c r="C4628" s="268"/>
    </row>
    <row r="4629" spans="2:3">
      <c r="B4629" s="252"/>
      <c r="C4629" s="268"/>
    </row>
    <row r="4630" spans="2:3">
      <c r="B4630" s="252"/>
      <c r="C4630" s="268"/>
    </row>
    <row r="4631" spans="2:3">
      <c r="B4631" s="252"/>
      <c r="C4631" s="268"/>
    </row>
    <row r="4632" spans="2:3">
      <c r="B4632" s="252"/>
      <c r="C4632" s="268"/>
    </row>
    <row r="4633" spans="2:3">
      <c r="B4633" s="252"/>
      <c r="C4633" s="268"/>
    </row>
    <row r="4634" spans="2:3">
      <c r="B4634" s="252"/>
      <c r="C4634" s="268"/>
    </row>
    <row r="4635" spans="2:3">
      <c r="B4635" s="252"/>
      <c r="C4635" s="268"/>
    </row>
    <row r="4636" spans="2:3">
      <c r="B4636" s="252"/>
      <c r="C4636" s="268"/>
    </row>
    <row r="4637" spans="2:3">
      <c r="B4637" s="252"/>
      <c r="C4637" s="268"/>
    </row>
    <row r="4638" spans="2:3">
      <c r="B4638" s="252"/>
      <c r="C4638" s="268"/>
    </row>
    <row r="4639" spans="2:3">
      <c r="B4639" s="252"/>
      <c r="C4639" s="268"/>
    </row>
    <row r="4640" spans="2:3">
      <c r="B4640" s="252"/>
      <c r="C4640" s="268"/>
    </row>
    <row r="4641" spans="2:3">
      <c r="B4641" s="252"/>
      <c r="C4641" s="268"/>
    </row>
    <row r="4642" spans="2:3">
      <c r="B4642" s="252"/>
      <c r="C4642" s="268"/>
    </row>
    <row r="4643" spans="2:3">
      <c r="B4643" s="252"/>
      <c r="C4643" s="268"/>
    </row>
    <row r="4644" spans="2:3">
      <c r="B4644" s="252"/>
      <c r="C4644" s="268"/>
    </row>
    <row r="4645" spans="2:3">
      <c r="B4645" s="252"/>
      <c r="C4645" s="268"/>
    </row>
    <row r="4646" spans="2:3">
      <c r="B4646" s="252"/>
      <c r="C4646" s="268"/>
    </row>
    <row r="4647" spans="2:3">
      <c r="B4647" s="252"/>
      <c r="C4647" s="268"/>
    </row>
    <row r="4648" spans="2:3">
      <c r="B4648" s="252"/>
      <c r="C4648" s="268"/>
    </row>
    <row r="4649" spans="2:3">
      <c r="B4649" s="252"/>
      <c r="C4649" s="268"/>
    </row>
    <row r="4650" spans="2:3">
      <c r="B4650" s="252"/>
      <c r="C4650" s="268"/>
    </row>
    <row r="4651" spans="2:3">
      <c r="B4651" s="252"/>
      <c r="C4651" s="268"/>
    </row>
    <row r="4652" spans="2:3">
      <c r="B4652" s="252"/>
      <c r="C4652" s="268"/>
    </row>
    <row r="4653" spans="2:3">
      <c r="B4653" s="252"/>
      <c r="C4653" s="268"/>
    </row>
    <row r="4654" spans="2:3">
      <c r="B4654" s="252"/>
      <c r="C4654" s="268"/>
    </row>
    <row r="4655" spans="2:3">
      <c r="B4655" s="252"/>
      <c r="C4655" s="268"/>
    </row>
    <row r="4656" spans="2:3">
      <c r="B4656" s="252"/>
      <c r="C4656" s="268"/>
    </row>
    <row r="4657" spans="2:3">
      <c r="B4657" s="252"/>
      <c r="C4657" s="268"/>
    </row>
    <row r="4658" spans="2:3">
      <c r="B4658" s="252"/>
      <c r="C4658" s="268"/>
    </row>
    <row r="4659" spans="2:3">
      <c r="B4659" s="252"/>
      <c r="C4659" s="268"/>
    </row>
    <row r="4660" spans="2:3">
      <c r="B4660" s="252"/>
      <c r="C4660" s="268"/>
    </row>
    <row r="4661" spans="2:3">
      <c r="B4661" s="252"/>
      <c r="C4661" s="268"/>
    </row>
    <row r="4662" spans="2:3">
      <c r="B4662" s="252"/>
      <c r="C4662" s="268"/>
    </row>
    <row r="4663" spans="2:3">
      <c r="B4663" s="252"/>
      <c r="C4663" s="268"/>
    </row>
    <row r="4664" spans="2:3">
      <c r="B4664" s="252"/>
      <c r="C4664" s="268"/>
    </row>
    <row r="4665" spans="2:3">
      <c r="B4665" s="252"/>
      <c r="C4665" s="268"/>
    </row>
    <row r="4666" spans="2:3">
      <c r="B4666" s="252"/>
      <c r="C4666" s="268"/>
    </row>
    <row r="4667" spans="2:3">
      <c r="B4667" s="252"/>
      <c r="C4667" s="268"/>
    </row>
    <row r="4668" spans="2:3">
      <c r="B4668" s="252"/>
      <c r="C4668" s="268"/>
    </row>
    <row r="4669" spans="2:3">
      <c r="B4669" s="252"/>
      <c r="C4669" s="268"/>
    </row>
    <row r="4670" spans="2:3">
      <c r="B4670" s="252"/>
      <c r="C4670" s="268"/>
    </row>
    <row r="4671" spans="2:3">
      <c r="B4671" s="252"/>
      <c r="C4671" s="268"/>
    </row>
    <row r="4672" spans="2:3">
      <c r="B4672" s="252"/>
      <c r="C4672" s="268"/>
    </row>
    <row r="4673" spans="2:3">
      <c r="B4673" s="252"/>
      <c r="C4673" s="268"/>
    </row>
    <row r="4674" spans="2:3">
      <c r="B4674" s="252"/>
      <c r="C4674" s="268"/>
    </row>
    <row r="4675" spans="2:3">
      <c r="B4675" s="252"/>
      <c r="C4675" s="268"/>
    </row>
    <row r="4676" spans="2:3">
      <c r="B4676" s="252"/>
      <c r="C4676" s="268"/>
    </row>
    <row r="4677" spans="2:3">
      <c r="B4677" s="252"/>
      <c r="C4677" s="268"/>
    </row>
    <row r="4678" spans="2:3">
      <c r="B4678" s="252"/>
      <c r="C4678" s="268"/>
    </row>
    <row r="4679" spans="2:3">
      <c r="B4679" s="252"/>
      <c r="C4679" s="268"/>
    </row>
    <row r="4680" spans="2:3">
      <c r="B4680" s="252"/>
      <c r="C4680" s="268"/>
    </row>
    <row r="4681" spans="2:3">
      <c r="B4681" s="252"/>
      <c r="C4681" s="268"/>
    </row>
    <row r="4682" spans="2:3">
      <c r="B4682" s="252"/>
      <c r="C4682" s="268"/>
    </row>
    <row r="4683" spans="2:3">
      <c r="B4683" s="252"/>
      <c r="C4683" s="268"/>
    </row>
    <row r="4684" spans="2:3">
      <c r="B4684" s="252"/>
      <c r="C4684" s="268"/>
    </row>
    <row r="4685" spans="2:3">
      <c r="B4685" s="252"/>
      <c r="C4685" s="268"/>
    </row>
    <row r="4686" spans="2:3">
      <c r="B4686" s="252"/>
      <c r="C4686" s="268"/>
    </row>
    <row r="4687" spans="2:3">
      <c r="B4687" s="252"/>
      <c r="C4687" s="268"/>
    </row>
    <row r="4688" spans="2:3">
      <c r="B4688" s="252"/>
      <c r="C4688" s="268"/>
    </row>
    <row r="4689" spans="2:3">
      <c r="B4689" s="252"/>
      <c r="C4689" s="268"/>
    </row>
    <row r="4690" spans="2:3">
      <c r="B4690" s="252"/>
      <c r="C4690" s="268"/>
    </row>
    <row r="4691" spans="2:3">
      <c r="B4691" s="252"/>
      <c r="C4691" s="268"/>
    </row>
    <row r="4692" spans="2:3">
      <c r="B4692" s="252"/>
      <c r="C4692" s="268"/>
    </row>
    <row r="4693" spans="2:3">
      <c r="B4693" s="252"/>
      <c r="C4693" s="268"/>
    </row>
    <row r="4694" spans="2:3">
      <c r="B4694" s="252"/>
      <c r="C4694" s="268"/>
    </row>
    <row r="4695" spans="2:3">
      <c r="B4695" s="252"/>
      <c r="C4695" s="268"/>
    </row>
    <row r="4696" spans="2:3">
      <c r="B4696" s="252"/>
      <c r="C4696" s="268"/>
    </row>
    <row r="4697" spans="2:3">
      <c r="B4697" s="252"/>
      <c r="C4697" s="268"/>
    </row>
    <row r="4698" spans="2:3">
      <c r="B4698" s="252"/>
      <c r="C4698" s="268"/>
    </row>
    <row r="4699" spans="2:3">
      <c r="B4699" s="252"/>
      <c r="C4699" s="268"/>
    </row>
    <row r="4700" spans="2:3">
      <c r="B4700" s="252"/>
      <c r="C4700" s="268"/>
    </row>
    <row r="4701" spans="2:3">
      <c r="B4701" s="252"/>
      <c r="C4701" s="268"/>
    </row>
    <row r="4702" spans="2:3">
      <c r="B4702" s="252"/>
      <c r="C4702" s="268"/>
    </row>
    <row r="4703" spans="2:3">
      <c r="B4703" s="252"/>
      <c r="C4703" s="268"/>
    </row>
    <row r="4704" spans="2:3">
      <c r="B4704" s="252"/>
      <c r="C4704" s="268"/>
    </row>
    <row r="4705" spans="2:3">
      <c r="B4705" s="252"/>
      <c r="C4705" s="268"/>
    </row>
    <row r="4706" spans="2:3">
      <c r="B4706" s="252"/>
      <c r="C4706" s="268"/>
    </row>
    <row r="4707" spans="2:3">
      <c r="B4707" s="252"/>
      <c r="C4707" s="268"/>
    </row>
    <row r="4708" spans="2:3">
      <c r="B4708" s="252"/>
      <c r="C4708" s="268"/>
    </row>
    <row r="4709" spans="2:3">
      <c r="B4709" s="252"/>
      <c r="C4709" s="268"/>
    </row>
    <row r="4710" spans="2:3">
      <c r="B4710" s="252"/>
      <c r="C4710" s="268"/>
    </row>
    <row r="4711" spans="2:3">
      <c r="B4711" s="252"/>
      <c r="C4711" s="268"/>
    </row>
    <row r="4712" spans="2:3">
      <c r="B4712" s="252"/>
      <c r="C4712" s="268"/>
    </row>
    <row r="4713" spans="2:3">
      <c r="B4713" s="252"/>
      <c r="C4713" s="268"/>
    </row>
    <row r="4714" spans="2:3">
      <c r="B4714" s="252"/>
      <c r="C4714" s="268"/>
    </row>
    <row r="4715" spans="2:3">
      <c r="B4715" s="252"/>
      <c r="C4715" s="268"/>
    </row>
    <row r="4716" spans="2:3">
      <c r="B4716" s="252"/>
      <c r="C4716" s="268"/>
    </row>
    <row r="4717" spans="2:3">
      <c r="B4717" s="252"/>
      <c r="C4717" s="268"/>
    </row>
    <row r="4718" spans="2:3">
      <c r="B4718" s="252"/>
      <c r="C4718" s="268"/>
    </row>
    <row r="4719" spans="2:3">
      <c r="B4719" s="252"/>
      <c r="C4719" s="268"/>
    </row>
    <row r="4720" spans="2:3">
      <c r="B4720" s="252"/>
      <c r="C4720" s="268"/>
    </row>
    <row r="4721" spans="2:3">
      <c r="B4721" s="252"/>
      <c r="C4721" s="268"/>
    </row>
    <row r="4722" spans="2:3">
      <c r="B4722" s="252"/>
      <c r="C4722" s="268"/>
    </row>
    <row r="4723" spans="2:3">
      <c r="B4723" s="252"/>
      <c r="C4723" s="268"/>
    </row>
    <row r="4724" spans="2:3">
      <c r="B4724" s="252"/>
      <c r="C4724" s="268"/>
    </row>
    <row r="4725" spans="2:3">
      <c r="B4725" s="252"/>
      <c r="C4725" s="268"/>
    </row>
    <row r="4726" spans="2:3">
      <c r="B4726" s="252"/>
      <c r="C4726" s="268"/>
    </row>
    <row r="4727" spans="2:3">
      <c r="B4727" s="252"/>
      <c r="C4727" s="268"/>
    </row>
    <row r="4728" spans="2:3">
      <c r="B4728" s="252"/>
      <c r="C4728" s="268"/>
    </row>
    <row r="4729" spans="2:3">
      <c r="B4729" s="252"/>
      <c r="C4729" s="268"/>
    </row>
    <row r="4730" spans="2:3">
      <c r="B4730" s="252"/>
      <c r="C4730" s="268"/>
    </row>
    <row r="4731" spans="2:3">
      <c r="B4731" s="252"/>
      <c r="C4731" s="268"/>
    </row>
    <row r="4732" spans="2:3">
      <c r="B4732" s="252"/>
      <c r="C4732" s="268"/>
    </row>
    <row r="4733" spans="2:3">
      <c r="B4733" s="252"/>
      <c r="C4733" s="268"/>
    </row>
    <row r="4734" spans="2:3">
      <c r="B4734" s="252"/>
      <c r="C4734" s="268"/>
    </row>
    <row r="4735" spans="2:3">
      <c r="B4735" s="252"/>
      <c r="C4735" s="268"/>
    </row>
    <row r="4736" spans="2:3">
      <c r="B4736" s="252"/>
      <c r="C4736" s="268"/>
    </row>
    <row r="4737" spans="2:3">
      <c r="B4737" s="252"/>
      <c r="C4737" s="268"/>
    </row>
    <row r="4738" spans="2:3">
      <c r="B4738" s="252"/>
      <c r="C4738" s="268"/>
    </row>
    <row r="4739" spans="2:3">
      <c r="B4739" s="252"/>
      <c r="C4739" s="268"/>
    </row>
    <row r="4740" spans="2:3">
      <c r="B4740" s="252"/>
      <c r="C4740" s="268"/>
    </row>
    <row r="4741" spans="2:3">
      <c r="B4741" s="252"/>
      <c r="C4741" s="268"/>
    </row>
    <row r="4742" spans="2:3">
      <c r="B4742" s="252"/>
      <c r="C4742" s="268"/>
    </row>
    <row r="4743" spans="2:3">
      <c r="B4743" s="252"/>
      <c r="C4743" s="268"/>
    </row>
    <row r="4744" spans="2:3">
      <c r="B4744" s="252"/>
      <c r="C4744" s="268"/>
    </row>
    <row r="4745" spans="2:3">
      <c r="B4745" s="252"/>
      <c r="C4745" s="268"/>
    </row>
    <row r="4746" spans="2:3">
      <c r="B4746" s="252"/>
      <c r="C4746" s="268"/>
    </row>
    <row r="4747" spans="2:3">
      <c r="B4747" s="252"/>
      <c r="C4747" s="268"/>
    </row>
    <row r="4748" spans="2:3">
      <c r="B4748" s="252"/>
      <c r="C4748" s="268"/>
    </row>
    <row r="4749" spans="2:3">
      <c r="B4749" s="252"/>
      <c r="C4749" s="268"/>
    </row>
    <row r="4750" spans="2:3">
      <c r="B4750" s="252"/>
      <c r="C4750" s="268"/>
    </row>
    <row r="4751" spans="2:3">
      <c r="B4751" s="252"/>
      <c r="C4751" s="268"/>
    </row>
    <row r="4752" spans="2:3">
      <c r="B4752" s="252"/>
      <c r="C4752" s="268"/>
    </row>
    <row r="4753" spans="2:3">
      <c r="B4753" s="252"/>
      <c r="C4753" s="268"/>
    </row>
    <row r="4754" spans="2:3">
      <c r="B4754" s="252"/>
      <c r="C4754" s="268"/>
    </row>
    <row r="4755" spans="2:3">
      <c r="B4755" s="252"/>
      <c r="C4755" s="268"/>
    </row>
    <row r="4756" spans="2:3">
      <c r="B4756" s="252"/>
      <c r="C4756" s="268"/>
    </row>
    <row r="4757" spans="2:3">
      <c r="B4757" s="252"/>
      <c r="C4757" s="268"/>
    </row>
    <row r="4758" spans="2:3">
      <c r="B4758" s="252"/>
      <c r="C4758" s="268"/>
    </row>
    <row r="4759" spans="2:3">
      <c r="B4759" s="252"/>
      <c r="C4759" s="268"/>
    </row>
    <row r="4760" spans="2:3">
      <c r="B4760" s="252"/>
      <c r="C4760" s="268"/>
    </row>
    <row r="4761" spans="2:3">
      <c r="B4761" s="252"/>
      <c r="C4761" s="268"/>
    </row>
    <row r="4762" spans="2:3">
      <c r="B4762" s="252"/>
      <c r="C4762" s="268"/>
    </row>
    <row r="4763" spans="2:3">
      <c r="B4763" s="252"/>
      <c r="C4763" s="268"/>
    </row>
    <row r="4764" spans="2:3">
      <c r="B4764" s="252"/>
      <c r="C4764" s="268"/>
    </row>
    <row r="4765" spans="2:3">
      <c r="B4765" s="252"/>
      <c r="C4765" s="268"/>
    </row>
    <row r="4766" spans="2:3">
      <c r="B4766" s="252"/>
      <c r="C4766" s="268"/>
    </row>
    <row r="4767" spans="2:3">
      <c r="B4767" s="252"/>
      <c r="C4767" s="268"/>
    </row>
    <row r="4768" spans="2:3">
      <c r="B4768" s="252"/>
      <c r="C4768" s="268"/>
    </row>
    <row r="4769" spans="2:3">
      <c r="B4769" s="252"/>
      <c r="C4769" s="268"/>
    </row>
    <row r="4770" spans="2:3">
      <c r="B4770" s="252"/>
      <c r="C4770" s="268"/>
    </row>
    <row r="4771" spans="2:3">
      <c r="B4771" s="252"/>
      <c r="C4771" s="268"/>
    </row>
    <row r="4772" spans="2:3">
      <c r="B4772" s="252"/>
      <c r="C4772" s="268"/>
    </row>
    <row r="4773" spans="2:3">
      <c r="B4773" s="252"/>
      <c r="C4773" s="268"/>
    </row>
    <row r="4774" spans="2:3">
      <c r="B4774" s="252"/>
      <c r="C4774" s="268"/>
    </row>
    <row r="4775" spans="2:3">
      <c r="B4775" s="252"/>
      <c r="C4775" s="268"/>
    </row>
    <row r="4776" spans="2:3">
      <c r="B4776" s="252"/>
      <c r="C4776" s="268"/>
    </row>
    <row r="4777" spans="2:3">
      <c r="B4777" s="252"/>
      <c r="C4777" s="268"/>
    </row>
    <row r="4778" spans="2:3">
      <c r="B4778" s="252"/>
      <c r="C4778" s="268"/>
    </row>
    <row r="4779" spans="2:3">
      <c r="B4779" s="252"/>
      <c r="C4779" s="268"/>
    </row>
    <row r="4780" spans="2:3">
      <c r="B4780" s="252"/>
      <c r="C4780" s="268"/>
    </row>
    <row r="4781" spans="2:3">
      <c r="B4781" s="252"/>
      <c r="C4781" s="268"/>
    </row>
    <row r="4782" spans="2:3">
      <c r="B4782" s="252"/>
      <c r="C4782" s="268"/>
    </row>
    <row r="4783" spans="2:3">
      <c r="B4783" s="252"/>
      <c r="C4783" s="268"/>
    </row>
    <row r="4784" spans="2:3">
      <c r="B4784" s="252"/>
      <c r="C4784" s="268"/>
    </row>
    <row r="4785" spans="2:3">
      <c r="B4785" s="252"/>
      <c r="C4785" s="268"/>
    </row>
    <row r="4786" spans="2:3">
      <c r="B4786" s="252"/>
      <c r="C4786" s="268"/>
    </row>
    <row r="4787" spans="2:3">
      <c r="B4787" s="252"/>
      <c r="C4787" s="268"/>
    </row>
    <row r="4788" spans="2:3">
      <c r="B4788" s="252"/>
      <c r="C4788" s="268"/>
    </row>
    <row r="4789" spans="2:3">
      <c r="B4789" s="252"/>
      <c r="C4789" s="268"/>
    </row>
    <row r="4790" spans="2:3">
      <c r="B4790" s="252"/>
      <c r="C4790" s="268"/>
    </row>
    <row r="4791" spans="2:3">
      <c r="B4791" s="252"/>
      <c r="C4791" s="268"/>
    </row>
    <row r="4792" spans="2:3">
      <c r="B4792" s="252"/>
      <c r="C4792" s="268"/>
    </row>
    <row r="4793" spans="2:3">
      <c r="B4793" s="252"/>
      <c r="C4793" s="268"/>
    </row>
    <row r="4794" spans="2:3">
      <c r="B4794" s="252"/>
      <c r="C4794" s="268"/>
    </row>
    <row r="4795" spans="2:3">
      <c r="B4795" s="252"/>
      <c r="C4795" s="268"/>
    </row>
    <row r="4796" spans="2:3">
      <c r="B4796" s="252"/>
      <c r="C4796" s="268"/>
    </row>
    <row r="4797" spans="2:3">
      <c r="B4797" s="252"/>
      <c r="C4797" s="268"/>
    </row>
    <row r="4798" spans="2:3">
      <c r="B4798" s="252"/>
      <c r="C4798" s="268"/>
    </row>
    <row r="4799" spans="2:3">
      <c r="B4799" s="252"/>
      <c r="C4799" s="268"/>
    </row>
    <row r="4800" spans="2:3">
      <c r="B4800" s="252"/>
      <c r="C4800" s="268"/>
    </row>
    <row r="4801" spans="2:3">
      <c r="B4801" s="252"/>
      <c r="C4801" s="268"/>
    </row>
    <row r="4802" spans="2:3">
      <c r="B4802" s="252"/>
      <c r="C4802" s="268"/>
    </row>
    <row r="4803" spans="2:3">
      <c r="B4803" s="252"/>
      <c r="C4803" s="268"/>
    </row>
    <row r="4804" spans="2:3">
      <c r="B4804" s="252"/>
      <c r="C4804" s="268"/>
    </row>
    <row r="4805" spans="2:3">
      <c r="B4805" s="252"/>
      <c r="C4805" s="268"/>
    </row>
    <row r="4806" spans="2:3">
      <c r="B4806" s="252"/>
      <c r="C4806" s="268"/>
    </row>
    <row r="4807" spans="2:3">
      <c r="B4807" s="252"/>
      <c r="C4807" s="268"/>
    </row>
    <row r="4808" spans="2:3">
      <c r="B4808" s="252"/>
      <c r="C4808" s="268"/>
    </row>
    <row r="4809" spans="2:3">
      <c r="B4809" s="252"/>
      <c r="C4809" s="268"/>
    </row>
    <row r="4810" spans="2:3">
      <c r="B4810" s="252"/>
      <c r="C4810" s="268"/>
    </row>
    <row r="4811" spans="2:3">
      <c r="B4811" s="252"/>
      <c r="C4811" s="268"/>
    </row>
    <row r="4812" spans="2:3">
      <c r="B4812" s="252"/>
      <c r="C4812" s="268"/>
    </row>
    <row r="4813" spans="2:3">
      <c r="B4813" s="252"/>
      <c r="C4813" s="268"/>
    </row>
    <row r="4814" spans="2:3">
      <c r="B4814" s="252"/>
      <c r="C4814" s="268"/>
    </row>
    <row r="4815" spans="2:3">
      <c r="B4815" s="252"/>
      <c r="C4815" s="268"/>
    </row>
    <row r="4816" spans="2:3">
      <c r="B4816" s="252"/>
      <c r="C4816" s="268"/>
    </row>
    <row r="4817" spans="2:3">
      <c r="B4817" s="252"/>
      <c r="C4817" s="268"/>
    </row>
    <row r="4818" spans="2:3">
      <c r="B4818" s="252"/>
      <c r="C4818" s="268"/>
    </row>
    <row r="4819" spans="2:3">
      <c r="B4819" s="252"/>
      <c r="C4819" s="268"/>
    </row>
    <row r="4820" spans="2:3">
      <c r="B4820" s="252"/>
      <c r="C4820" s="268"/>
    </row>
    <row r="4821" spans="2:3">
      <c r="B4821" s="252"/>
      <c r="C4821" s="268"/>
    </row>
    <row r="4822" spans="2:3">
      <c r="B4822" s="252"/>
      <c r="C4822" s="268"/>
    </row>
    <row r="4823" spans="2:3">
      <c r="B4823" s="252"/>
      <c r="C4823" s="268"/>
    </row>
    <row r="4824" spans="2:3">
      <c r="B4824" s="252"/>
      <c r="C4824" s="268"/>
    </row>
    <row r="4825" spans="2:3">
      <c r="B4825" s="252"/>
      <c r="C4825" s="268"/>
    </row>
    <row r="4826" spans="2:3">
      <c r="B4826" s="252"/>
      <c r="C4826" s="268"/>
    </row>
    <row r="4827" spans="2:3">
      <c r="B4827" s="252"/>
      <c r="C4827" s="268"/>
    </row>
    <row r="4828" spans="2:3">
      <c r="B4828" s="252"/>
      <c r="C4828" s="268"/>
    </row>
    <row r="4829" spans="2:3">
      <c r="B4829" s="252"/>
      <c r="C4829" s="268"/>
    </row>
    <row r="4830" spans="2:3">
      <c r="B4830" s="252"/>
      <c r="C4830" s="268"/>
    </row>
    <row r="4831" spans="2:3">
      <c r="B4831" s="252"/>
      <c r="C4831" s="268"/>
    </row>
    <row r="4832" spans="2:3">
      <c r="B4832" s="252"/>
      <c r="C4832" s="268"/>
    </row>
    <row r="4833" spans="2:3">
      <c r="B4833" s="252"/>
      <c r="C4833" s="268"/>
    </row>
    <row r="4834" spans="2:3">
      <c r="B4834" s="252"/>
      <c r="C4834" s="268"/>
    </row>
    <row r="4835" spans="2:3">
      <c r="B4835" s="252"/>
      <c r="C4835" s="268"/>
    </row>
    <row r="4836" spans="2:3">
      <c r="B4836" s="252"/>
      <c r="C4836" s="268"/>
    </row>
    <row r="4837" spans="2:3">
      <c r="B4837" s="252"/>
      <c r="C4837" s="268"/>
    </row>
    <row r="4838" spans="2:3">
      <c r="B4838" s="252"/>
      <c r="C4838" s="268"/>
    </row>
    <row r="4839" spans="2:3">
      <c r="B4839" s="252"/>
      <c r="C4839" s="268"/>
    </row>
    <row r="4840" spans="2:3">
      <c r="B4840" s="252"/>
      <c r="C4840" s="268"/>
    </row>
    <row r="4841" spans="2:3">
      <c r="B4841" s="252"/>
      <c r="C4841" s="268"/>
    </row>
    <row r="4842" spans="2:3">
      <c r="B4842" s="252"/>
      <c r="C4842" s="268"/>
    </row>
    <row r="4843" spans="2:3">
      <c r="B4843" s="252"/>
      <c r="C4843" s="268"/>
    </row>
    <row r="4844" spans="2:3">
      <c r="B4844" s="252"/>
      <c r="C4844" s="268"/>
    </row>
    <row r="4845" spans="2:3">
      <c r="B4845" s="252"/>
      <c r="C4845" s="268"/>
    </row>
    <row r="4846" spans="2:3">
      <c r="B4846" s="252"/>
      <c r="C4846" s="268"/>
    </row>
    <row r="4847" spans="2:3">
      <c r="B4847" s="252"/>
      <c r="C4847" s="268"/>
    </row>
    <row r="4848" spans="2:3">
      <c r="B4848" s="252"/>
      <c r="C4848" s="268"/>
    </row>
    <row r="4849" spans="2:3">
      <c r="B4849" s="252"/>
      <c r="C4849" s="268"/>
    </row>
    <row r="4850" spans="2:3">
      <c r="B4850" s="252"/>
      <c r="C4850" s="268"/>
    </row>
    <row r="4851" spans="2:3">
      <c r="B4851" s="252"/>
      <c r="C4851" s="268"/>
    </row>
    <row r="4852" spans="2:3">
      <c r="B4852" s="252"/>
      <c r="C4852" s="268"/>
    </row>
    <row r="4853" spans="2:3">
      <c r="B4853" s="252"/>
      <c r="C4853" s="268"/>
    </row>
    <row r="4854" spans="2:3">
      <c r="B4854" s="252"/>
      <c r="C4854" s="268"/>
    </row>
    <row r="4855" spans="2:3">
      <c r="B4855" s="252"/>
      <c r="C4855" s="268"/>
    </row>
    <row r="4856" spans="2:3">
      <c r="B4856" s="252"/>
      <c r="C4856" s="268"/>
    </row>
    <row r="4857" spans="2:3">
      <c r="B4857" s="252"/>
      <c r="C4857" s="268"/>
    </row>
    <row r="4858" spans="2:3">
      <c r="B4858" s="252"/>
      <c r="C4858" s="268"/>
    </row>
    <row r="4859" spans="2:3">
      <c r="B4859" s="252"/>
      <c r="C4859" s="268"/>
    </row>
    <row r="4860" spans="2:3">
      <c r="B4860" s="252"/>
      <c r="C4860" s="268"/>
    </row>
    <row r="4861" spans="2:3">
      <c r="B4861" s="252"/>
      <c r="C4861" s="268"/>
    </row>
    <row r="4862" spans="2:3">
      <c r="B4862" s="252"/>
      <c r="C4862" s="268"/>
    </row>
    <row r="4863" spans="2:3">
      <c r="B4863" s="252"/>
      <c r="C4863" s="268"/>
    </row>
    <row r="4864" spans="2:3">
      <c r="B4864" s="252"/>
      <c r="C4864" s="268"/>
    </row>
    <row r="4865" spans="2:3">
      <c r="B4865" s="252"/>
      <c r="C4865" s="268"/>
    </row>
    <row r="4866" spans="2:3">
      <c r="B4866" s="252"/>
      <c r="C4866" s="268"/>
    </row>
    <row r="4867" spans="2:3">
      <c r="B4867" s="252"/>
      <c r="C4867" s="268"/>
    </row>
    <row r="4868" spans="2:3">
      <c r="B4868" s="252"/>
      <c r="C4868" s="268"/>
    </row>
    <row r="4869" spans="2:3">
      <c r="B4869" s="252"/>
      <c r="C4869" s="268"/>
    </row>
    <row r="4870" spans="2:3">
      <c r="B4870" s="252"/>
      <c r="C4870" s="268"/>
    </row>
    <row r="4871" spans="2:3">
      <c r="B4871" s="252"/>
      <c r="C4871" s="268"/>
    </row>
    <row r="4872" spans="2:3">
      <c r="B4872" s="252"/>
      <c r="C4872" s="268"/>
    </row>
    <row r="4873" spans="2:3">
      <c r="B4873" s="252"/>
      <c r="C4873" s="268"/>
    </row>
    <row r="4874" spans="2:3">
      <c r="B4874" s="252"/>
      <c r="C4874" s="268"/>
    </row>
    <row r="4875" spans="2:3">
      <c r="B4875" s="252"/>
      <c r="C4875" s="268"/>
    </row>
    <row r="4876" spans="2:3">
      <c r="B4876" s="252"/>
      <c r="C4876" s="268"/>
    </row>
    <row r="4877" spans="2:3">
      <c r="B4877" s="252"/>
      <c r="C4877" s="268"/>
    </row>
    <row r="4878" spans="2:3">
      <c r="B4878" s="252"/>
      <c r="C4878" s="268"/>
    </row>
    <row r="4879" spans="2:3">
      <c r="B4879" s="252"/>
      <c r="C4879" s="268"/>
    </row>
    <row r="4880" spans="2:3">
      <c r="B4880" s="252"/>
      <c r="C4880" s="268"/>
    </row>
    <row r="4881" spans="2:3">
      <c r="B4881" s="252"/>
      <c r="C4881" s="268"/>
    </row>
    <row r="4882" spans="2:3">
      <c r="B4882" s="252"/>
      <c r="C4882" s="268"/>
    </row>
    <row r="4883" spans="2:3">
      <c r="B4883" s="252"/>
      <c r="C4883" s="268"/>
    </row>
    <row r="4884" spans="2:3">
      <c r="B4884" s="252"/>
      <c r="C4884" s="268"/>
    </row>
    <row r="4885" spans="2:3">
      <c r="B4885" s="252"/>
      <c r="C4885" s="268"/>
    </row>
    <row r="4886" spans="2:3">
      <c r="B4886" s="252"/>
      <c r="C4886" s="268"/>
    </row>
    <row r="4887" spans="2:3">
      <c r="B4887" s="252"/>
      <c r="C4887" s="268"/>
    </row>
    <row r="4888" spans="2:3">
      <c r="B4888" s="252"/>
      <c r="C4888" s="268"/>
    </row>
    <row r="4889" spans="2:3">
      <c r="B4889" s="252"/>
      <c r="C4889" s="268"/>
    </row>
    <row r="4890" spans="2:3">
      <c r="B4890" s="252"/>
      <c r="C4890" s="268"/>
    </row>
    <row r="4891" spans="2:3">
      <c r="B4891" s="252"/>
      <c r="C4891" s="268"/>
    </row>
    <row r="4892" spans="2:3">
      <c r="B4892" s="252"/>
      <c r="C4892" s="268"/>
    </row>
    <row r="4893" spans="2:3">
      <c r="B4893" s="252"/>
      <c r="C4893" s="268"/>
    </row>
    <row r="4894" spans="2:3">
      <c r="B4894" s="252"/>
      <c r="C4894" s="268"/>
    </row>
    <row r="4895" spans="2:3">
      <c r="B4895" s="252"/>
      <c r="C4895" s="268"/>
    </row>
    <row r="4896" spans="2:3">
      <c r="B4896" s="252"/>
      <c r="C4896" s="268"/>
    </row>
    <row r="4897" spans="2:3">
      <c r="B4897" s="252"/>
      <c r="C4897" s="268"/>
    </row>
    <row r="4898" spans="2:3">
      <c r="B4898" s="252"/>
      <c r="C4898" s="268"/>
    </row>
    <row r="4899" spans="2:3">
      <c r="B4899" s="252"/>
      <c r="C4899" s="268"/>
    </row>
    <row r="4900" spans="2:3">
      <c r="B4900" s="252"/>
      <c r="C4900" s="268"/>
    </row>
    <row r="4901" spans="2:3">
      <c r="B4901" s="252"/>
      <c r="C4901" s="268"/>
    </row>
    <row r="4902" spans="2:3">
      <c r="B4902" s="252"/>
      <c r="C4902" s="268"/>
    </row>
    <row r="4903" spans="2:3">
      <c r="B4903" s="252"/>
      <c r="C4903" s="268"/>
    </row>
    <row r="4904" spans="2:3">
      <c r="B4904" s="252"/>
      <c r="C4904" s="268"/>
    </row>
    <row r="4905" spans="2:3">
      <c r="B4905" s="252"/>
      <c r="C4905" s="268"/>
    </row>
    <row r="4906" spans="2:3">
      <c r="B4906" s="252"/>
      <c r="C4906" s="268"/>
    </row>
    <row r="4907" spans="2:3">
      <c r="B4907" s="252"/>
      <c r="C4907" s="268"/>
    </row>
    <row r="4908" spans="2:3">
      <c r="B4908" s="252"/>
      <c r="C4908" s="268"/>
    </row>
    <row r="4909" spans="2:3">
      <c r="B4909" s="252"/>
      <c r="C4909" s="268"/>
    </row>
    <row r="4910" spans="2:3">
      <c r="B4910" s="252"/>
      <c r="C4910" s="268"/>
    </row>
    <row r="4911" spans="2:3">
      <c r="B4911" s="252"/>
      <c r="C4911" s="268"/>
    </row>
    <row r="4912" spans="2:3">
      <c r="B4912" s="252"/>
      <c r="C4912" s="268"/>
    </row>
    <row r="4913" spans="2:3">
      <c r="B4913" s="252"/>
      <c r="C4913" s="268"/>
    </row>
    <row r="4914" spans="2:3">
      <c r="B4914" s="252"/>
      <c r="C4914" s="268"/>
    </row>
    <row r="4915" spans="2:3">
      <c r="B4915" s="252"/>
      <c r="C4915" s="268"/>
    </row>
    <row r="4916" spans="2:3">
      <c r="B4916" s="252"/>
      <c r="C4916" s="268"/>
    </row>
    <row r="4917" spans="2:3">
      <c r="B4917" s="252"/>
      <c r="C4917" s="268"/>
    </row>
    <row r="4918" spans="2:3">
      <c r="B4918" s="252"/>
      <c r="C4918" s="268"/>
    </row>
    <row r="4919" spans="2:3">
      <c r="B4919" s="252"/>
      <c r="C4919" s="268"/>
    </row>
    <row r="4920" spans="2:3">
      <c r="B4920" s="252"/>
      <c r="C4920" s="268"/>
    </row>
    <row r="4921" spans="2:3">
      <c r="B4921" s="252"/>
      <c r="C4921" s="268"/>
    </row>
    <row r="4922" spans="2:3">
      <c r="B4922" s="252"/>
      <c r="C4922" s="268"/>
    </row>
    <row r="4923" spans="2:3">
      <c r="B4923" s="252"/>
      <c r="C4923" s="268"/>
    </row>
    <row r="4924" spans="2:3">
      <c r="B4924" s="252"/>
      <c r="C4924" s="268"/>
    </row>
    <row r="4925" spans="2:3">
      <c r="B4925" s="252"/>
      <c r="C4925" s="268"/>
    </row>
    <row r="4926" spans="2:3">
      <c r="B4926" s="252"/>
      <c r="C4926" s="268"/>
    </row>
    <row r="4927" spans="2:3">
      <c r="B4927" s="252"/>
      <c r="C4927" s="268"/>
    </row>
    <row r="4928" spans="2:3">
      <c r="B4928" s="252"/>
      <c r="C4928" s="268"/>
    </row>
    <row r="4929" spans="2:3">
      <c r="B4929" s="252"/>
      <c r="C4929" s="268"/>
    </row>
    <row r="4930" spans="2:3">
      <c r="B4930" s="252"/>
      <c r="C4930" s="268"/>
    </row>
    <row r="4931" spans="2:3">
      <c r="B4931" s="252"/>
      <c r="C4931" s="268"/>
    </row>
    <row r="4932" spans="2:3">
      <c r="B4932" s="252"/>
      <c r="C4932" s="268"/>
    </row>
    <row r="4933" spans="2:3">
      <c r="B4933" s="252"/>
      <c r="C4933" s="268"/>
    </row>
    <row r="4934" spans="2:3">
      <c r="B4934" s="252"/>
      <c r="C4934" s="268"/>
    </row>
    <row r="4935" spans="2:3">
      <c r="B4935" s="252"/>
      <c r="C4935" s="268"/>
    </row>
    <row r="4936" spans="2:3">
      <c r="B4936" s="252"/>
      <c r="C4936" s="268"/>
    </row>
    <row r="4937" spans="2:3">
      <c r="B4937" s="252"/>
      <c r="C4937" s="268"/>
    </row>
    <row r="4938" spans="2:3">
      <c r="B4938" s="252"/>
      <c r="C4938" s="268"/>
    </row>
    <row r="4939" spans="2:3">
      <c r="B4939" s="252"/>
      <c r="C4939" s="268"/>
    </row>
    <row r="4940" spans="2:3">
      <c r="B4940" s="252"/>
      <c r="C4940" s="268"/>
    </row>
    <row r="4941" spans="2:3">
      <c r="B4941" s="252"/>
      <c r="C4941" s="268"/>
    </row>
    <row r="4942" spans="2:3">
      <c r="B4942" s="252"/>
      <c r="C4942" s="268"/>
    </row>
    <row r="4943" spans="2:3">
      <c r="B4943" s="252"/>
      <c r="C4943" s="268"/>
    </row>
    <row r="4944" spans="2:3">
      <c r="B4944" s="252"/>
      <c r="C4944" s="268"/>
    </row>
    <row r="4945" spans="2:3">
      <c r="B4945" s="252"/>
      <c r="C4945" s="268"/>
    </row>
    <row r="4946" spans="2:3">
      <c r="B4946" s="252"/>
      <c r="C4946" s="268"/>
    </row>
    <row r="4947" spans="2:3">
      <c r="B4947" s="252"/>
      <c r="C4947" s="268"/>
    </row>
    <row r="4948" spans="2:3">
      <c r="B4948" s="252"/>
      <c r="C4948" s="268"/>
    </row>
    <row r="4949" spans="2:3">
      <c r="B4949" s="252"/>
      <c r="C4949" s="268"/>
    </row>
    <row r="4950" spans="2:3">
      <c r="B4950" s="252"/>
      <c r="C4950" s="268"/>
    </row>
    <row r="4951" spans="2:3">
      <c r="B4951" s="252"/>
      <c r="C4951" s="268"/>
    </row>
    <row r="4952" spans="2:3">
      <c r="B4952" s="252"/>
      <c r="C4952" s="268"/>
    </row>
    <row r="4953" spans="2:3">
      <c r="B4953" s="252"/>
      <c r="C4953" s="268"/>
    </row>
    <row r="4954" spans="2:3">
      <c r="B4954" s="252"/>
      <c r="C4954" s="268"/>
    </row>
    <row r="4955" spans="2:3">
      <c r="B4955" s="252"/>
      <c r="C4955" s="268"/>
    </row>
    <row r="4956" spans="2:3">
      <c r="B4956" s="252"/>
      <c r="C4956" s="268"/>
    </row>
    <row r="4957" spans="2:3">
      <c r="B4957" s="252"/>
      <c r="C4957" s="268"/>
    </row>
    <row r="4958" spans="2:3">
      <c r="B4958" s="252"/>
      <c r="C4958" s="268"/>
    </row>
    <row r="4959" spans="2:3">
      <c r="B4959" s="252"/>
      <c r="C4959" s="268"/>
    </row>
    <row r="4960" spans="2:3">
      <c r="B4960" s="252"/>
      <c r="C4960" s="268"/>
    </row>
    <row r="4961" spans="2:3">
      <c r="B4961" s="252"/>
      <c r="C4961" s="268"/>
    </row>
    <row r="4962" spans="2:3">
      <c r="B4962" s="252"/>
      <c r="C4962" s="268"/>
    </row>
    <row r="4963" spans="2:3">
      <c r="B4963" s="252"/>
      <c r="C4963" s="268"/>
    </row>
    <row r="4964" spans="2:3">
      <c r="B4964" s="252"/>
      <c r="C4964" s="268"/>
    </row>
    <row r="4965" spans="2:3">
      <c r="B4965" s="252"/>
      <c r="C4965" s="268"/>
    </row>
    <row r="4966" spans="2:3">
      <c r="B4966" s="252"/>
      <c r="C4966" s="268"/>
    </row>
    <row r="4967" spans="2:3">
      <c r="B4967" s="252"/>
      <c r="C4967" s="268"/>
    </row>
    <row r="4968" spans="2:3">
      <c r="B4968" s="252"/>
      <c r="C4968" s="268"/>
    </row>
    <row r="4969" spans="2:3">
      <c r="B4969" s="252"/>
      <c r="C4969" s="268"/>
    </row>
    <row r="4970" spans="2:3">
      <c r="B4970" s="252"/>
      <c r="C4970" s="268"/>
    </row>
    <row r="4971" spans="2:3">
      <c r="B4971" s="252"/>
      <c r="C4971" s="268"/>
    </row>
    <row r="4972" spans="2:3">
      <c r="B4972" s="252"/>
      <c r="C4972" s="268"/>
    </row>
    <row r="4973" spans="2:3">
      <c r="B4973" s="252"/>
      <c r="C4973" s="268"/>
    </row>
    <row r="4974" spans="2:3">
      <c r="B4974" s="252"/>
      <c r="C4974" s="268"/>
    </row>
    <row r="4975" spans="2:3">
      <c r="B4975" s="252"/>
      <c r="C4975" s="268"/>
    </row>
    <row r="4976" spans="2:3">
      <c r="B4976" s="252"/>
      <c r="C4976" s="268"/>
    </row>
    <row r="4977" spans="2:3">
      <c r="B4977" s="252"/>
      <c r="C4977" s="268"/>
    </row>
    <row r="4978" spans="2:3">
      <c r="B4978" s="252"/>
      <c r="C4978" s="268"/>
    </row>
    <row r="4979" spans="2:3">
      <c r="B4979" s="252"/>
      <c r="C4979" s="268"/>
    </row>
    <row r="4980" spans="2:3">
      <c r="B4980" s="252"/>
      <c r="C4980" s="268"/>
    </row>
    <row r="4981" spans="2:3">
      <c r="B4981" s="252"/>
      <c r="C4981" s="268"/>
    </row>
    <row r="4982" spans="2:3">
      <c r="B4982" s="252"/>
      <c r="C4982" s="268"/>
    </row>
    <row r="4983" spans="2:3">
      <c r="B4983" s="252"/>
      <c r="C4983" s="268"/>
    </row>
    <row r="4984" spans="2:3">
      <c r="B4984" s="252"/>
      <c r="C4984" s="268"/>
    </row>
    <row r="4985" spans="2:3">
      <c r="B4985" s="252"/>
      <c r="C4985" s="268"/>
    </row>
    <row r="4986" spans="2:3">
      <c r="B4986" s="252"/>
      <c r="C4986" s="268"/>
    </row>
    <row r="4987" spans="2:3">
      <c r="B4987" s="252"/>
      <c r="C4987" s="268"/>
    </row>
    <row r="4988" spans="2:3">
      <c r="B4988" s="252"/>
      <c r="C4988" s="268"/>
    </row>
    <row r="4989" spans="2:3">
      <c r="B4989" s="252"/>
      <c r="C4989" s="268"/>
    </row>
    <row r="4990" spans="2:3">
      <c r="B4990" s="252"/>
      <c r="C4990" s="268"/>
    </row>
    <row r="4991" spans="2:3">
      <c r="B4991" s="252"/>
      <c r="C4991" s="268"/>
    </row>
    <row r="4992" spans="2:3">
      <c r="B4992" s="252"/>
      <c r="C4992" s="268"/>
    </row>
    <row r="4993" spans="2:3">
      <c r="B4993" s="252"/>
      <c r="C4993" s="268"/>
    </row>
    <row r="4994" spans="2:3">
      <c r="B4994" s="252"/>
      <c r="C4994" s="268"/>
    </row>
    <row r="4995" spans="2:3">
      <c r="B4995" s="252"/>
      <c r="C4995" s="268"/>
    </row>
    <row r="4996" spans="2:3">
      <c r="B4996" s="252"/>
      <c r="C4996" s="268"/>
    </row>
    <row r="4997" spans="2:3">
      <c r="B4997" s="252"/>
      <c r="C4997" s="268"/>
    </row>
    <row r="4998" spans="2:3">
      <c r="B4998" s="252"/>
      <c r="C4998" s="268"/>
    </row>
    <row r="4999" spans="2:3">
      <c r="B4999" s="252"/>
      <c r="C4999" s="268"/>
    </row>
    <row r="5000" spans="2:3">
      <c r="B5000" s="252"/>
      <c r="C5000" s="268"/>
    </row>
    <row r="5001" spans="2:3">
      <c r="B5001" s="252"/>
      <c r="C5001" s="268"/>
    </row>
    <row r="5002" spans="2:3">
      <c r="B5002" s="252"/>
      <c r="C5002" s="268"/>
    </row>
    <row r="5003" spans="2:3">
      <c r="B5003" s="252"/>
      <c r="C5003" s="268"/>
    </row>
    <row r="5004" spans="2:3">
      <c r="B5004" s="252"/>
      <c r="C5004" s="268"/>
    </row>
    <row r="5005" spans="2:3">
      <c r="B5005" s="252"/>
      <c r="C5005" s="268"/>
    </row>
    <row r="5006" spans="2:3">
      <c r="B5006" s="252"/>
      <c r="C5006" s="268"/>
    </row>
    <row r="5007" spans="2:3">
      <c r="B5007" s="252"/>
      <c r="C5007" s="268"/>
    </row>
    <row r="5008" spans="2:3">
      <c r="B5008" s="252"/>
      <c r="C5008" s="268"/>
    </row>
    <row r="5009" spans="2:3">
      <c r="B5009" s="252"/>
      <c r="C5009" s="268"/>
    </row>
    <row r="5010" spans="2:3">
      <c r="B5010" s="252"/>
      <c r="C5010" s="268"/>
    </row>
    <row r="5011" spans="2:3">
      <c r="B5011" s="252"/>
      <c r="C5011" s="268"/>
    </row>
    <row r="5012" spans="2:3">
      <c r="B5012" s="252"/>
      <c r="C5012" s="268"/>
    </row>
    <row r="5013" spans="2:3">
      <c r="B5013" s="252"/>
      <c r="C5013" s="268"/>
    </row>
    <row r="5014" spans="2:3">
      <c r="B5014" s="252"/>
      <c r="C5014" s="268"/>
    </row>
    <row r="5015" spans="2:3">
      <c r="B5015" s="252"/>
      <c r="C5015" s="268"/>
    </row>
    <row r="5016" spans="2:3">
      <c r="B5016" s="252"/>
      <c r="C5016" s="268"/>
    </row>
    <row r="5017" spans="2:3">
      <c r="B5017" s="252"/>
      <c r="C5017" s="268"/>
    </row>
    <row r="5018" spans="2:3">
      <c r="B5018" s="252"/>
      <c r="C5018" s="268"/>
    </row>
    <row r="5019" spans="2:3">
      <c r="B5019" s="252"/>
      <c r="C5019" s="268"/>
    </row>
    <row r="5020" spans="2:3">
      <c r="B5020" s="252"/>
      <c r="C5020" s="268"/>
    </row>
    <row r="5021" spans="2:3">
      <c r="B5021" s="252"/>
      <c r="C5021" s="268"/>
    </row>
    <row r="5022" spans="2:3">
      <c r="B5022" s="252"/>
      <c r="C5022" s="268"/>
    </row>
    <row r="5023" spans="2:3">
      <c r="B5023" s="252"/>
      <c r="C5023" s="268"/>
    </row>
    <row r="5024" spans="2:3">
      <c r="B5024" s="252"/>
      <c r="C5024" s="268"/>
    </row>
    <row r="5025" spans="2:3">
      <c r="B5025" s="252"/>
      <c r="C5025" s="268"/>
    </row>
    <row r="5026" spans="2:3">
      <c r="B5026" s="252"/>
      <c r="C5026" s="268"/>
    </row>
    <row r="5027" spans="2:3">
      <c r="B5027" s="252"/>
      <c r="C5027" s="268"/>
    </row>
    <row r="5028" spans="2:3">
      <c r="B5028" s="252"/>
      <c r="C5028" s="268"/>
    </row>
    <row r="5029" spans="2:3">
      <c r="B5029" s="252"/>
      <c r="C5029" s="268"/>
    </row>
    <row r="5030" spans="2:3">
      <c r="B5030" s="252"/>
      <c r="C5030" s="268"/>
    </row>
    <row r="5031" spans="2:3">
      <c r="B5031" s="252"/>
      <c r="C5031" s="268"/>
    </row>
    <row r="5032" spans="2:3">
      <c r="B5032" s="252"/>
      <c r="C5032" s="268"/>
    </row>
    <row r="5033" spans="2:3">
      <c r="B5033" s="252"/>
      <c r="C5033" s="268"/>
    </row>
    <row r="5034" spans="2:3">
      <c r="B5034" s="252"/>
      <c r="C5034" s="268"/>
    </row>
    <row r="5035" spans="2:3">
      <c r="B5035" s="252"/>
      <c r="C5035" s="268"/>
    </row>
    <row r="5036" spans="2:3">
      <c r="B5036" s="252"/>
      <c r="C5036" s="268"/>
    </row>
    <row r="5037" spans="2:3">
      <c r="B5037" s="252"/>
      <c r="C5037" s="268"/>
    </row>
    <row r="5038" spans="2:3">
      <c r="B5038" s="252"/>
      <c r="C5038" s="268"/>
    </row>
    <row r="5039" spans="2:3">
      <c r="B5039" s="252"/>
      <c r="C5039" s="268"/>
    </row>
    <row r="5040" spans="2:3">
      <c r="B5040" s="252"/>
      <c r="C5040" s="268"/>
    </row>
    <row r="5041" spans="2:3">
      <c r="B5041" s="252"/>
      <c r="C5041" s="268"/>
    </row>
    <row r="5042" spans="2:3">
      <c r="B5042" s="252"/>
      <c r="C5042" s="268"/>
    </row>
    <row r="5043" spans="2:3">
      <c r="B5043" s="252"/>
      <c r="C5043" s="268"/>
    </row>
    <row r="5044" spans="2:3">
      <c r="B5044" s="252"/>
      <c r="C5044" s="268"/>
    </row>
    <row r="5045" spans="2:3">
      <c r="B5045" s="252"/>
      <c r="C5045" s="268"/>
    </row>
    <row r="5046" spans="2:3">
      <c r="B5046" s="252"/>
      <c r="C5046" s="268"/>
    </row>
    <row r="5047" spans="2:3">
      <c r="B5047" s="252"/>
      <c r="C5047" s="268"/>
    </row>
    <row r="5048" spans="2:3">
      <c r="B5048" s="252"/>
      <c r="C5048" s="268"/>
    </row>
    <row r="5049" spans="2:3">
      <c r="B5049" s="252"/>
      <c r="C5049" s="268"/>
    </row>
    <row r="5050" spans="2:3">
      <c r="B5050" s="252"/>
      <c r="C5050" s="268"/>
    </row>
    <row r="5051" spans="2:3">
      <c r="B5051" s="252"/>
      <c r="C5051" s="268"/>
    </row>
    <row r="5052" spans="2:3">
      <c r="B5052" s="252"/>
      <c r="C5052" s="268"/>
    </row>
    <row r="5053" spans="2:3">
      <c r="B5053" s="252"/>
      <c r="C5053" s="268"/>
    </row>
    <row r="5054" spans="2:3">
      <c r="B5054" s="252"/>
      <c r="C5054" s="268"/>
    </row>
    <row r="5055" spans="2:3">
      <c r="B5055" s="252"/>
      <c r="C5055" s="268"/>
    </row>
    <row r="5056" spans="2:3">
      <c r="B5056" s="252"/>
      <c r="C5056" s="268"/>
    </row>
    <row r="5057" spans="2:3">
      <c r="B5057" s="252"/>
      <c r="C5057" s="268"/>
    </row>
    <row r="5058" spans="2:3">
      <c r="B5058" s="252"/>
      <c r="C5058" s="268"/>
    </row>
    <row r="5059" spans="2:3">
      <c r="B5059" s="252"/>
      <c r="C5059" s="268"/>
    </row>
    <row r="5060" spans="2:3">
      <c r="B5060" s="252"/>
      <c r="C5060" s="268"/>
    </row>
    <row r="5061" spans="2:3">
      <c r="B5061" s="252"/>
      <c r="C5061" s="268"/>
    </row>
    <row r="5062" spans="2:3">
      <c r="B5062" s="252"/>
      <c r="C5062" s="268"/>
    </row>
    <row r="5063" spans="2:3">
      <c r="B5063" s="252"/>
      <c r="C5063" s="268"/>
    </row>
    <row r="5064" spans="2:3">
      <c r="B5064" s="252"/>
      <c r="C5064" s="268"/>
    </row>
    <row r="5065" spans="2:3">
      <c r="B5065" s="252"/>
      <c r="C5065" s="268"/>
    </row>
    <row r="5066" spans="2:3">
      <c r="B5066" s="252"/>
      <c r="C5066" s="268"/>
    </row>
    <row r="5067" spans="2:3">
      <c r="B5067" s="252"/>
      <c r="C5067" s="268"/>
    </row>
    <row r="5068" spans="2:3">
      <c r="B5068" s="252"/>
      <c r="C5068" s="268"/>
    </row>
    <row r="5069" spans="2:3">
      <c r="B5069" s="252"/>
      <c r="C5069" s="268"/>
    </row>
    <row r="5070" spans="2:3">
      <c r="B5070" s="252"/>
      <c r="C5070" s="268"/>
    </row>
    <row r="5071" spans="2:3">
      <c r="B5071" s="252"/>
      <c r="C5071" s="268"/>
    </row>
    <row r="5072" spans="2:3">
      <c r="B5072" s="252"/>
      <c r="C5072" s="268"/>
    </row>
    <row r="5073" spans="2:3">
      <c r="B5073" s="252"/>
      <c r="C5073" s="268"/>
    </row>
    <row r="5074" spans="2:3">
      <c r="B5074" s="252"/>
      <c r="C5074" s="268"/>
    </row>
    <row r="5075" spans="2:3">
      <c r="B5075" s="252"/>
      <c r="C5075" s="268"/>
    </row>
    <row r="5076" spans="2:3">
      <c r="B5076" s="252"/>
      <c r="C5076" s="268"/>
    </row>
    <row r="5077" spans="2:3">
      <c r="B5077" s="252"/>
      <c r="C5077" s="268"/>
    </row>
    <row r="5078" spans="2:3">
      <c r="B5078" s="252"/>
      <c r="C5078" s="268"/>
    </row>
    <row r="5079" spans="2:3">
      <c r="B5079" s="252"/>
      <c r="C5079" s="268"/>
    </row>
    <row r="5080" spans="2:3">
      <c r="B5080" s="252"/>
      <c r="C5080" s="268"/>
    </row>
    <row r="5081" spans="2:3">
      <c r="B5081" s="252"/>
      <c r="C5081" s="268"/>
    </row>
    <row r="5082" spans="2:3">
      <c r="B5082" s="252"/>
      <c r="C5082" s="268"/>
    </row>
    <row r="5083" spans="2:3">
      <c r="B5083" s="252"/>
      <c r="C5083" s="268"/>
    </row>
    <row r="5084" spans="2:3">
      <c r="B5084" s="252"/>
      <c r="C5084" s="268"/>
    </row>
    <row r="5085" spans="2:3">
      <c r="B5085" s="252"/>
      <c r="C5085" s="268"/>
    </row>
    <row r="5086" spans="2:3">
      <c r="B5086" s="252"/>
      <c r="C5086" s="268"/>
    </row>
    <row r="5087" spans="2:3">
      <c r="B5087" s="252"/>
      <c r="C5087" s="268"/>
    </row>
    <row r="5088" spans="2:3">
      <c r="B5088" s="252"/>
      <c r="C5088" s="268"/>
    </row>
    <row r="5089" spans="2:3">
      <c r="B5089" s="252"/>
      <c r="C5089" s="268"/>
    </row>
    <row r="5090" spans="2:3">
      <c r="B5090" s="252"/>
      <c r="C5090" s="268"/>
    </row>
    <row r="5091" spans="2:3">
      <c r="B5091" s="252"/>
      <c r="C5091" s="268"/>
    </row>
    <row r="5092" spans="2:3">
      <c r="B5092" s="252"/>
      <c r="C5092" s="268"/>
    </row>
    <row r="5093" spans="2:3">
      <c r="B5093" s="252"/>
      <c r="C5093" s="268"/>
    </row>
    <row r="5094" spans="2:3">
      <c r="B5094" s="252"/>
      <c r="C5094" s="268"/>
    </row>
    <row r="5095" spans="2:3">
      <c r="B5095" s="252"/>
      <c r="C5095" s="268"/>
    </row>
    <row r="5096" spans="2:3">
      <c r="B5096" s="252"/>
      <c r="C5096" s="268"/>
    </row>
    <row r="5097" spans="2:3">
      <c r="B5097" s="252"/>
      <c r="C5097" s="268"/>
    </row>
    <row r="5098" spans="2:3">
      <c r="B5098" s="252"/>
      <c r="C5098" s="268"/>
    </row>
    <row r="5099" spans="2:3">
      <c r="B5099" s="252"/>
      <c r="C5099" s="268"/>
    </row>
    <row r="5100" spans="2:3">
      <c r="B5100" s="252"/>
      <c r="C5100" s="268"/>
    </row>
    <row r="5101" spans="2:3">
      <c r="B5101" s="252"/>
      <c r="C5101" s="268"/>
    </row>
    <row r="5102" spans="2:3">
      <c r="B5102" s="252"/>
      <c r="C5102" s="268"/>
    </row>
    <row r="5103" spans="2:3">
      <c r="B5103" s="252"/>
      <c r="C5103" s="268"/>
    </row>
    <row r="5104" spans="2:3">
      <c r="B5104" s="252"/>
      <c r="C5104" s="268"/>
    </row>
    <row r="5105" spans="2:3">
      <c r="B5105" s="252"/>
      <c r="C5105" s="268"/>
    </row>
    <row r="5106" spans="2:3">
      <c r="B5106" s="252"/>
      <c r="C5106" s="268"/>
    </row>
    <row r="5107" spans="2:3">
      <c r="B5107" s="252"/>
      <c r="C5107" s="268"/>
    </row>
    <row r="5108" spans="2:3">
      <c r="B5108" s="252"/>
      <c r="C5108" s="268"/>
    </row>
    <row r="5109" spans="2:3">
      <c r="B5109" s="252"/>
      <c r="C5109" s="268"/>
    </row>
    <row r="5110" spans="2:3">
      <c r="B5110" s="252"/>
      <c r="C5110" s="268"/>
    </row>
    <row r="5111" spans="2:3">
      <c r="B5111" s="252"/>
      <c r="C5111" s="268"/>
    </row>
    <row r="5112" spans="2:3">
      <c r="B5112" s="252"/>
      <c r="C5112" s="268"/>
    </row>
    <row r="5113" spans="2:3">
      <c r="B5113" s="252"/>
      <c r="C5113" s="268"/>
    </row>
    <row r="5114" spans="2:3">
      <c r="B5114" s="252"/>
      <c r="C5114" s="268"/>
    </row>
    <row r="5115" spans="2:3">
      <c r="B5115" s="252"/>
      <c r="C5115" s="268"/>
    </row>
    <row r="5116" spans="2:3">
      <c r="B5116" s="252"/>
      <c r="C5116" s="268"/>
    </row>
    <row r="5117" spans="2:3">
      <c r="B5117" s="252"/>
      <c r="C5117" s="268"/>
    </row>
    <row r="5118" spans="2:3">
      <c r="B5118" s="252"/>
      <c r="C5118" s="268"/>
    </row>
    <row r="5119" spans="2:3">
      <c r="B5119" s="252"/>
      <c r="C5119" s="268"/>
    </row>
    <row r="5120" spans="2:3">
      <c r="B5120" s="252"/>
      <c r="C5120" s="268"/>
    </row>
    <row r="5121" spans="2:3">
      <c r="B5121" s="252"/>
      <c r="C5121" s="268"/>
    </row>
    <row r="5122" spans="2:3">
      <c r="B5122" s="252"/>
      <c r="C5122" s="268"/>
    </row>
    <row r="5123" spans="2:3">
      <c r="B5123" s="252"/>
      <c r="C5123" s="268"/>
    </row>
    <row r="5124" spans="2:3">
      <c r="B5124" s="252"/>
      <c r="C5124" s="268"/>
    </row>
    <row r="5125" spans="2:3">
      <c r="B5125" s="252"/>
      <c r="C5125" s="268"/>
    </row>
    <row r="5126" spans="2:3">
      <c r="B5126" s="252"/>
      <c r="C5126" s="268"/>
    </row>
    <row r="5127" spans="2:3">
      <c r="B5127" s="252"/>
      <c r="C5127" s="268"/>
    </row>
    <row r="5128" spans="2:3">
      <c r="B5128" s="252"/>
      <c r="C5128" s="268"/>
    </row>
    <row r="5129" spans="2:3">
      <c r="B5129" s="252"/>
      <c r="C5129" s="268"/>
    </row>
    <row r="5130" spans="2:3">
      <c r="B5130" s="252"/>
      <c r="C5130" s="268"/>
    </row>
    <row r="5131" spans="2:3">
      <c r="B5131" s="252"/>
      <c r="C5131" s="268"/>
    </row>
    <row r="5132" spans="2:3">
      <c r="B5132" s="252"/>
      <c r="C5132" s="268"/>
    </row>
    <row r="5133" spans="2:3">
      <c r="B5133" s="252"/>
      <c r="C5133" s="268"/>
    </row>
    <row r="5134" spans="2:3">
      <c r="B5134" s="252"/>
      <c r="C5134" s="268"/>
    </row>
    <row r="5135" spans="2:3">
      <c r="B5135" s="252"/>
      <c r="C5135" s="268"/>
    </row>
    <row r="5136" spans="2:3">
      <c r="B5136" s="252"/>
      <c r="C5136" s="268"/>
    </row>
    <row r="5137" spans="2:3">
      <c r="B5137" s="252"/>
      <c r="C5137" s="268"/>
    </row>
    <row r="5138" spans="2:3">
      <c r="B5138" s="252"/>
      <c r="C5138" s="268"/>
    </row>
    <row r="5139" spans="2:3">
      <c r="B5139" s="252"/>
      <c r="C5139" s="268"/>
    </row>
    <row r="5140" spans="2:3">
      <c r="B5140" s="252"/>
      <c r="C5140" s="268"/>
    </row>
    <row r="5141" spans="2:3">
      <c r="B5141" s="252"/>
      <c r="C5141" s="268"/>
    </row>
    <row r="5142" spans="2:3">
      <c r="B5142" s="252"/>
      <c r="C5142" s="268"/>
    </row>
    <row r="5143" spans="2:3">
      <c r="B5143" s="252"/>
      <c r="C5143" s="268"/>
    </row>
    <row r="5144" spans="2:3">
      <c r="B5144" s="252"/>
      <c r="C5144" s="268"/>
    </row>
    <row r="5145" spans="2:3">
      <c r="B5145" s="252"/>
      <c r="C5145" s="268"/>
    </row>
    <row r="5146" spans="2:3">
      <c r="B5146" s="252"/>
      <c r="C5146" s="268"/>
    </row>
    <row r="5147" spans="2:3">
      <c r="B5147" s="252"/>
      <c r="C5147" s="268"/>
    </row>
    <row r="5148" spans="2:3">
      <c r="B5148" s="252"/>
      <c r="C5148" s="268"/>
    </row>
    <row r="5149" spans="2:3">
      <c r="B5149" s="252"/>
      <c r="C5149" s="268"/>
    </row>
    <row r="5150" spans="2:3">
      <c r="B5150" s="252"/>
      <c r="C5150" s="268"/>
    </row>
    <row r="5151" spans="2:3">
      <c r="B5151" s="252"/>
      <c r="C5151" s="268"/>
    </row>
    <row r="5152" spans="2:3">
      <c r="B5152" s="252"/>
      <c r="C5152" s="268"/>
    </row>
    <row r="5153" spans="2:3">
      <c r="B5153" s="252"/>
      <c r="C5153" s="268"/>
    </row>
    <row r="5154" spans="2:3">
      <c r="B5154" s="252"/>
      <c r="C5154" s="268"/>
    </row>
    <row r="5155" spans="2:3">
      <c r="B5155" s="252"/>
      <c r="C5155" s="268"/>
    </row>
    <row r="5156" spans="2:3">
      <c r="B5156" s="252"/>
      <c r="C5156" s="268"/>
    </row>
    <row r="5157" spans="2:3">
      <c r="B5157" s="252"/>
      <c r="C5157" s="268"/>
    </row>
    <row r="5158" spans="2:3">
      <c r="B5158" s="252"/>
      <c r="C5158" s="268"/>
    </row>
    <row r="5159" spans="2:3">
      <c r="B5159" s="252"/>
      <c r="C5159" s="268"/>
    </row>
    <row r="5160" spans="2:3">
      <c r="B5160" s="252"/>
      <c r="C5160" s="268"/>
    </row>
    <row r="5161" spans="2:3">
      <c r="B5161" s="252"/>
      <c r="C5161" s="268"/>
    </row>
    <row r="5162" spans="2:3">
      <c r="B5162" s="252"/>
      <c r="C5162" s="268"/>
    </row>
    <row r="5163" spans="2:3">
      <c r="B5163" s="252"/>
      <c r="C5163" s="268"/>
    </row>
    <row r="5164" spans="2:3">
      <c r="B5164" s="252"/>
      <c r="C5164" s="268"/>
    </row>
    <row r="5165" spans="2:3">
      <c r="B5165" s="252"/>
      <c r="C5165" s="268"/>
    </row>
    <row r="5166" spans="2:3">
      <c r="B5166" s="252"/>
      <c r="C5166" s="268"/>
    </row>
    <row r="5167" spans="2:3">
      <c r="B5167" s="252"/>
      <c r="C5167" s="268"/>
    </row>
    <row r="5168" spans="2:3">
      <c r="B5168" s="252"/>
      <c r="C5168" s="268"/>
    </row>
    <row r="5169" spans="2:3">
      <c r="B5169" s="252"/>
      <c r="C5169" s="268"/>
    </row>
    <row r="5170" spans="2:3">
      <c r="B5170" s="252"/>
      <c r="C5170" s="268"/>
    </row>
    <row r="5171" spans="2:3">
      <c r="B5171" s="252"/>
      <c r="C5171" s="268"/>
    </row>
    <row r="5172" spans="2:3">
      <c r="B5172" s="252"/>
      <c r="C5172" s="268"/>
    </row>
    <row r="5173" spans="2:3">
      <c r="B5173" s="252"/>
      <c r="C5173" s="268"/>
    </row>
    <row r="5174" spans="2:3">
      <c r="B5174" s="252"/>
      <c r="C5174" s="268"/>
    </row>
    <row r="5175" spans="2:3">
      <c r="B5175" s="252"/>
      <c r="C5175" s="268"/>
    </row>
    <row r="5176" spans="2:3">
      <c r="B5176" s="252"/>
      <c r="C5176" s="268"/>
    </row>
    <row r="5177" spans="2:3">
      <c r="B5177" s="252"/>
      <c r="C5177" s="268"/>
    </row>
    <row r="5178" spans="2:3">
      <c r="B5178" s="252"/>
      <c r="C5178" s="268"/>
    </row>
    <row r="5179" spans="2:3">
      <c r="B5179" s="252"/>
      <c r="C5179" s="268"/>
    </row>
    <row r="5180" spans="2:3">
      <c r="B5180" s="252"/>
      <c r="C5180" s="268"/>
    </row>
    <row r="5181" spans="2:3">
      <c r="B5181" s="252"/>
      <c r="C5181" s="268"/>
    </row>
    <row r="5182" spans="2:3">
      <c r="B5182" s="252"/>
      <c r="C5182" s="268"/>
    </row>
    <row r="5183" spans="2:3">
      <c r="B5183" s="252"/>
      <c r="C5183" s="268"/>
    </row>
    <row r="5184" spans="2:3">
      <c r="B5184" s="252"/>
      <c r="C5184" s="268"/>
    </row>
    <row r="5185" spans="2:3">
      <c r="B5185" s="252"/>
      <c r="C5185" s="268"/>
    </row>
    <row r="5186" spans="2:3">
      <c r="B5186" s="252"/>
      <c r="C5186" s="268"/>
    </row>
    <row r="5187" spans="2:3">
      <c r="B5187" s="252"/>
      <c r="C5187" s="268"/>
    </row>
    <row r="5188" spans="2:3">
      <c r="B5188" s="252"/>
      <c r="C5188" s="268"/>
    </row>
    <row r="5189" spans="2:3">
      <c r="B5189" s="252"/>
      <c r="C5189" s="268"/>
    </row>
    <row r="5190" spans="2:3">
      <c r="B5190" s="252"/>
      <c r="C5190" s="268"/>
    </row>
    <row r="5191" spans="2:3">
      <c r="B5191" s="252"/>
      <c r="C5191" s="268"/>
    </row>
  </sheetData>
  <autoFilter ref="B9:E9" xr:uid="{593503D0-506D-4F4D-BA93-DFA8E33C1700}">
    <sortState xmlns:xlrd2="http://schemas.microsoft.com/office/spreadsheetml/2017/richdata2" ref="B10:E2482">
      <sortCondition descending="1" ref="E9"/>
    </sortState>
  </autoFilter>
  <pageMargins left="0.7" right="0.7" top="0.75" bottom="0.75" header="0.3" footer="0.3"/>
  <pageSetup scale="57"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989D1-066F-4294-85C1-C56C83FB42F7}">
  <sheetPr>
    <tabColor theme="9" tint="0.59999389629810485"/>
  </sheetPr>
  <dimension ref="A1"/>
  <sheetViews>
    <sheetView workbookViewId="0">
      <selection activeCell="F18" sqref="F18"/>
    </sheetView>
  </sheetViews>
  <sheetFormatPr defaultRowHeight="14.5"/>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4A996-AC36-45F9-A6F4-CBDC76C333F5}">
  <sheetPr codeName="Sheet32">
    <pageSetUpPr fitToPage="1"/>
  </sheetPr>
  <dimension ref="B1:M113"/>
  <sheetViews>
    <sheetView showGridLines="0" topLeftCell="A39" zoomScaleNormal="40" zoomScaleSheetLayoutView="97" workbookViewId="0">
      <selection sqref="A1:J56"/>
    </sheetView>
  </sheetViews>
  <sheetFormatPr defaultRowHeight="14.5"/>
  <cols>
    <col min="1" max="1" width="1.81640625" style="273" customWidth="1"/>
    <col min="2" max="2" width="35.7265625" style="273" customWidth="1"/>
    <col min="3" max="3" width="10" style="273" bestFit="1" customWidth="1"/>
    <col min="4" max="9" width="10.1796875" style="273" bestFit="1" customWidth="1"/>
    <col min="10" max="10" width="1.90625" style="273" customWidth="1"/>
    <col min="11" max="16384" width="8.7265625" style="273"/>
  </cols>
  <sheetData>
    <row r="1" spans="2:11" ht="10.5" customHeight="1">
      <c r="B1" s="361"/>
      <c r="C1" s="361"/>
      <c r="D1" s="361"/>
      <c r="E1" s="361"/>
      <c r="F1" s="361"/>
      <c r="G1" s="361"/>
      <c r="H1" s="361"/>
      <c r="I1" s="361"/>
    </row>
    <row r="2" spans="2:11" ht="2" customHeight="1"/>
    <row r="3" spans="2:11" ht="23" customHeight="1">
      <c r="B3" s="362" t="str">
        <f>'Data Sheet'!B1</f>
        <v>TATA MOTORS LTD</v>
      </c>
    </row>
    <row r="4" spans="2:11" ht="11.5" customHeight="1">
      <c r="B4" s="274" t="s">
        <v>460</v>
      </c>
    </row>
    <row r="5" spans="2:11" ht="17" customHeight="1">
      <c r="B5" s="363" t="s">
        <v>461</v>
      </c>
    </row>
    <row r="6" spans="2:11" ht="12.5" customHeight="1">
      <c r="B6" s="279" t="s">
        <v>463</v>
      </c>
    </row>
    <row r="7" spans="2:11" ht="5.5" customHeight="1" thickBot="1">
      <c r="B7" s="393"/>
      <c r="C7" s="393"/>
      <c r="D7" s="393"/>
      <c r="E7" s="393"/>
      <c r="F7" s="393"/>
      <c r="G7" s="393"/>
      <c r="H7" s="393"/>
      <c r="I7" s="393"/>
    </row>
    <row r="8" spans="2:11" ht="18.5">
      <c r="B8" s="364" t="s">
        <v>447</v>
      </c>
      <c r="K8"/>
    </row>
    <row r="9" spans="2:11">
      <c r="B9" s="442" t="s">
        <v>462</v>
      </c>
      <c r="C9" s="443"/>
      <c r="D9" s="443"/>
      <c r="E9" s="443"/>
      <c r="F9" s="443"/>
      <c r="G9" s="443"/>
      <c r="H9" s="443"/>
      <c r="I9" s="443"/>
    </row>
    <row r="10" spans="2:11">
      <c r="B10" s="443"/>
      <c r="C10" s="443"/>
      <c r="D10" s="443"/>
      <c r="E10" s="443"/>
      <c r="F10" s="443"/>
      <c r="G10" s="443"/>
      <c r="H10" s="443"/>
      <c r="I10" s="443"/>
    </row>
    <row r="11" spans="2:11">
      <c r="B11" s="443"/>
      <c r="C11" s="443"/>
      <c r="D11" s="443"/>
      <c r="E11" s="443"/>
      <c r="F11" s="443"/>
      <c r="G11" s="443"/>
      <c r="H11" s="443"/>
      <c r="I11" s="443"/>
    </row>
    <row r="12" spans="2:11" ht="44.25" customHeight="1">
      <c r="B12" s="443"/>
      <c r="C12" s="443"/>
      <c r="D12" s="443"/>
      <c r="E12" s="443"/>
      <c r="F12" s="443"/>
      <c r="G12" s="443"/>
      <c r="H12" s="443"/>
      <c r="I12" s="443"/>
    </row>
    <row r="13" spans="2:11" ht="4.5" customHeight="1">
      <c r="B13" s="275"/>
      <c r="C13" s="275"/>
      <c r="D13" s="275"/>
      <c r="E13" s="275"/>
      <c r="F13" s="275"/>
      <c r="G13" s="275"/>
      <c r="H13" s="275"/>
      <c r="I13" s="275"/>
    </row>
    <row r="14" spans="2:11" ht="21.75" customHeight="1">
      <c r="B14" s="364" t="s">
        <v>448</v>
      </c>
      <c r="C14" s="275"/>
      <c r="D14" s="275"/>
      <c r="E14" s="275"/>
      <c r="F14" s="275"/>
      <c r="G14" s="275"/>
      <c r="H14" s="275"/>
      <c r="I14" s="275"/>
    </row>
    <row r="15" spans="2:11" ht="6" customHeight="1">
      <c r="B15" s="275"/>
      <c r="C15" s="275"/>
      <c r="D15" s="275"/>
      <c r="E15" s="275"/>
      <c r="F15" s="275"/>
      <c r="G15" s="275"/>
      <c r="H15" s="275"/>
      <c r="I15" s="275"/>
    </row>
    <row r="16" spans="2:11">
      <c r="B16" s="275"/>
      <c r="C16" s="275"/>
      <c r="D16" s="275"/>
      <c r="E16" s="275"/>
      <c r="F16" s="275"/>
      <c r="G16" s="275"/>
      <c r="H16" s="275"/>
      <c r="I16" s="275"/>
    </row>
    <row r="53" spans="2:9" ht="28.5" customHeight="1"/>
    <row r="54" spans="2:9" ht="11.25" customHeight="1">
      <c r="B54" s="345"/>
      <c r="C54" s="345"/>
      <c r="D54" s="345"/>
      <c r="E54" s="345"/>
      <c r="F54" s="345"/>
      <c r="G54" s="345"/>
      <c r="H54" s="345"/>
      <c r="I54" s="345"/>
    </row>
    <row r="55" spans="2:9" ht="1.5" customHeight="1">
      <c r="B55" s="345"/>
      <c r="C55" s="345"/>
      <c r="D55" s="345"/>
      <c r="E55" s="345"/>
      <c r="F55" s="345"/>
      <c r="G55" s="345"/>
      <c r="H55" s="345"/>
      <c r="I55" s="345"/>
    </row>
    <row r="56" spans="2:9" ht="11.25" customHeight="1"/>
    <row r="66" spans="13:13">
      <c r="M66" s="284"/>
    </row>
    <row r="94" spans="13:13">
      <c r="M94" s="284"/>
    </row>
    <row r="107" spans="11:11">
      <c r="K107" s="284"/>
    </row>
    <row r="113" ht="11.25" customHeight="1"/>
  </sheetData>
  <mergeCells count="1">
    <mergeCell ref="B9:I12"/>
  </mergeCells>
  <pageMargins left="0.7" right="0.7" top="0.75" bottom="0.75" header="0.3" footer="0.3"/>
  <pageSetup paperSize="9" scale="80" orientation="portrait" r:id="rId1"/>
  <headerFooter>
    <oddFooter>&amp;RPage &amp;P</oddFooter>
  </headerFooter>
  <rowBreaks count="3" manualBreakCount="3">
    <brk id="53" max="16383" man="1"/>
    <brk id="54" max="16383" man="1"/>
    <brk id="55" max="8"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43D5E-27F9-4EFA-8624-3DEFE8432D69}">
  <sheetPr>
    <pageSetUpPr fitToPage="1"/>
  </sheetPr>
  <dimension ref="A1:J61"/>
  <sheetViews>
    <sheetView showGridLines="0" topLeftCell="A43" workbookViewId="0">
      <selection sqref="A1:I60"/>
    </sheetView>
  </sheetViews>
  <sheetFormatPr defaultRowHeight="14.5"/>
  <cols>
    <col min="1" max="1" width="1.90625" customWidth="1"/>
    <col min="2" max="2" width="24.08984375" bestFit="1" customWidth="1"/>
    <col min="3" max="9" width="10.453125" customWidth="1"/>
    <col min="10" max="10" width="1.90625" customWidth="1"/>
  </cols>
  <sheetData>
    <row r="1" spans="1:10">
      <c r="A1" s="273"/>
      <c r="B1" s="345"/>
      <c r="C1" s="345"/>
      <c r="D1" s="345"/>
      <c r="E1" s="345"/>
      <c r="F1" s="345"/>
      <c r="G1" s="345"/>
      <c r="H1" s="345"/>
      <c r="I1" s="345"/>
      <c r="J1" s="273"/>
    </row>
    <row r="2" spans="1:10">
      <c r="A2" s="273"/>
      <c r="B2" s="273"/>
      <c r="C2" s="273"/>
      <c r="D2" s="273"/>
      <c r="E2" s="273"/>
      <c r="F2" s="273"/>
      <c r="G2" s="273"/>
      <c r="H2" s="273"/>
      <c r="I2" s="273"/>
      <c r="J2" s="273"/>
    </row>
    <row r="3" spans="1:10">
      <c r="A3" s="273"/>
      <c r="B3" s="273"/>
      <c r="C3" s="273"/>
      <c r="D3" s="273"/>
      <c r="E3" s="273"/>
      <c r="F3" s="273"/>
      <c r="G3" s="273"/>
      <c r="H3" s="273"/>
      <c r="I3" s="273"/>
      <c r="J3" s="273"/>
    </row>
    <row r="4" spans="1:10">
      <c r="A4" s="273"/>
      <c r="B4" s="273"/>
      <c r="C4" s="273"/>
      <c r="D4" s="273"/>
      <c r="E4" s="273"/>
      <c r="F4" s="273"/>
      <c r="G4" s="273"/>
      <c r="H4" s="273"/>
      <c r="I4" s="273"/>
      <c r="J4" s="273"/>
    </row>
    <row r="5" spans="1:10" ht="15.5">
      <c r="A5" s="273"/>
      <c r="B5" s="426" t="s">
        <v>449</v>
      </c>
      <c r="C5" s="426"/>
      <c r="D5" s="426"/>
      <c r="E5" s="426"/>
      <c r="F5" s="426"/>
      <c r="G5" s="426"/>
      <c r="H5" s="426"/>
      <c r="I5" s="426"/>
      <c r="J5" s="273"/>
    </row>
    <row r="6" spans="1:10">
      <c r="A6" s="273"/>
      <c r="B6" s="273"/>
      <c r="C6" s="276">
        <f>'Historical FS'!F10</f>
        <v>43555</v>
      </c>
      <c r="D6" s="276">
        <f>'Historical FS'!G10</f>
        <v>43921</v>
      </c>
      <c r="E6" s="276">
        <f>'Historical FS'!H10</f>
        <v>44286</v>
      </c>
      <c r="F6" s="276">
        <f>'Historical FS'!I10</f>
        <v>44651</v>
      </c>
      <c r="G6" s="276">
        <f>'Historical FS'!J10</f>
        <v>45016</v>
      </c>
      <c r="H6" s="276">
        <f>'Historical FS'!K10</f>
        <v>45382</v>
      </c>
      <c r="I6" s="276">
        <f>'Historical FS'!L10</f>
        <v>45747</v>
      </c>
      <c r="J6" s="273"/>
    </row>
    <row r="7" spans="1:10">
      <c r="A7" s="273"/>
      <c r="B7" s="273" t="s">
        <v>107</v>
      </c>
      <c r="C7" s="277">
        <f>'Data Sheet'!E30</f>
        <v>-28826.23</v>
      </c>
      <c r="D7" s="277">
        <f>'Data Sheet'!F30</f>
        <v>-12070.85</v>
      </c>
      <c r="E7" s="277">
        <f>'Data Sheet'!G30</f>
        <v>-13451.39</v>
      </c>
      <c r="F7" s="277">
        <f>'Data Sheet'!H30</f>
        <v>-11441.47</v>
      </c>
      <c r="G7" s="277">
        <f>'Data Sheet'!I30</f>
        <v>2414.29</v>
      </c>
      <c r="H7" s="277">
        <f>'Data Sheet'!J30</f>
        <v>31399</v>
      </c>
      <c r="I7" s="277">
        <f>'Data Sheet'!K30</f>
        <v>27830</v>
      </c>
      <c r="J7" s="273"/>
    </row>
    <row r="8" spans="1:10">
      <c r="A8" s="273"/>
      <c r="B8" s="273" t="s">
        <v>450</v>
      </c>
      <c r="C8" s="277">
        <f>(('Data Sheet'!E58+'Data Sheet'!E59)+('Data Sheet'!D58+'Data Sheet'!D59))/2</f>
        <v>77803.735000000001</v>
      </c>
      <c r="D8" s="277">
        <f>(('Data Sheet'!F58+'Data Sheet'!F59)+('Data Sheet'!E58+'Data Sheet'!E59))/2</f>
        <v>61629.044999999998</v>
      </c>
      <c r="E8" s="277">
        <f>(('Data Sheet'!G58+'Data Sheet'!G59)+('Data Sheet'!F58+'Data Sheet'!F59))/2</f>
        <v>59162.625</v>
      </c>
      <c r="F8" s="277">
        <f>(('Data Sheet'!H58+'Data Sheet'!H59)+('Data Sheet'!G58+'Data Sheet'!G59))/2</f>
        <v>49903.979999999996</v>
      </c>
      <c r="G8" s="277">
        <f>(('Data Sheet'!I58+'Data Sheet'!I59)+('Data Sheet'!H58+'Data Sheet'!H59))/2</f>
        <v>44941.514999999999</v>
      </c>
      <c r="H8" s="277">
        <f>(('Data Sheet'!J58+'Data Sheet'!J59)+('Data Sheet'!I58+'Data Sheet'!I59))/2</f>
        <v>65119.894999999997</v>
      </c>
      <c r="I8" s="277">
        <f>(('Data Sheet'!K58+'Data Sheet'!K59)+('Data Sheet'!J58+'Data Sheet'!J59))/2</f>
        <v>100531</v>
      </c>
      <c r="J8" s="273"/>
    </row>
    <row r="9" spans="1:10">
      <c r="A9" s="273"/>
      <c r="B9" s="280" t="s">
        <v>59</v>
      </c>
      <c r="C9" s="281">
        <f t="shared" ref="C9:I9" si="0">C7/C8</f>
        <v>-0.37049930829156208</v>
      </c>
      <c r="D9" s="281">
        <f t="shared" si="0"/>
        <v>-0.19586300582785277</v>
      </c>
      <c r="E9" s="281">
        <f t="shared" si="0"/>
        <v>-0.2273629677520225</v>
      </c>
      <c r="F9" s="281">
        <f t="shared" si="0"/>
        <v>-0.22926968951173834</v>
      </c>
      <c r="G9" s="281">
        <f t="shared" si="0"/>
        <v>5.372070790225919E-2</v>
      </c>
      <c r="H9" s="281">
        <f t="shared" si="0"/>
        <v>0.48217215337954711</v>
      </c>
      <c r="I9" s="281">
        <f t="shared" si="0"/>
        <v>0.27683003252728017</v>
      </c>
      <c r="J9" s="273"/>
    </row>
    <row r="10" spans="1:10">
      <c r="A10" s="273"/>
      <c r="B10" s="273"/>
      <c r="C10" s="273"/>
      <c r="D10" s="273"/>
      <c r="E10" s="273"/>
      <c r="F10" s="273"/>
      <c r="G10" s="273"/>
      <c r="H10" s="273"/>
      <c r="I10" s="273"/>
      <c r="J10" s="273"/>
    </row>
    <row r="11" spans="1:10" ht="15.5">
      <c r="A11" s="273"/>
      <c r="B11" s="426" t="s">
        <v>451</v>
      </c>
      <c r="C11" s="426"/>
      <c r="D11" s="426"/>
      <c r="E11" s="426"/>
      <c r="F11" s="426"/>
      <c r="G11" s="426"/>
      <c r="H11" s="426"/>
      <c r="I11" s="426"/>
      <c r="J11" s="273"/>
    </row>
    <row r="12" spans="1:10">
      <c r="A12" s="273"/>
      <c r="B12" s="273"/>
      <c r="C12" s="276">
        <f t="shared" ref="C12:I13" si="1">C6</f>
        <v>43555</v>
      </c>
      <c r="D12" s="276">
        <f t="shared" si="1"/>
        <v>43921</v>
      </c>
      <c r="E12" s="276">
        <f t="shared" si="1"/>
        <v>44286</v>
      </c>
      <c r="F12" s="276">
        <f t="shared" si="1"/>
        <v>44651</v>
      </c>
      <c r="G12" s="276">
        <f t="shared" si="1"/>
        <v>45016</v>
      </c>
      <c r="H12" s="276">
        <f t="shared" si="1"/>
        <v>45382</v>
      </c>
      <c r="I12" s="276">
        <f t="shared" si="1"/>
        <v>45747</v>
      </c>
      <c r="J12" s="273"/>
    </row>
    <row r="13" spans="1:10">
      <c r="A13" s="273"/>
      <c r="B13" s="273" t="str">
        <f>B7</f>
        <v>Net Profit</v>
      </c>
      <c r="C13" s="277">
        <f t="shared" si="1"/>
        <v>-28826.23</v>
      </c>
      <c r="D13" s="277">
        <f t="shared" si="1"/>
        <v>-12070.85</v>
      </c>
      <c r="E13" s="277">
        <f t="shared" si="1"/>
        <v>-13451.39</v>
      </c>
      <c r="F13" s="277">
        <f t="shared" si="1"/>
        <v>-11441.47</v>
      </c>
      <c r="G13" s="277">
        <f t="shared" si="1"/>
        <v>2414.29</v>
      </c>
      <c r="H13" s="277">
        <f t="shared" si="1"/>
        <v>31399</v>
      </c>
      <c r="I13" s="277">
        <f t="shared" si="1"/>
        <v>27830</v>
      </c>
      <c r="J13" s="273"/>
    </row>
    <row r="14" spans="1:10">
      <c r="A14" s="273"/>
      <c r="B14" s="273" t="s">
        <v>393</v>
      </c>
      <c r="C14" s="277">
        <f>'Data Sheet'!E17</f>
        <v>301938.40000000002</v>
      </c>
      <c r="D14" s="277">
        <f>'Data Sheet'!F17</f>
        <v>261067.97</v>
      </c>
      <c r="E14" s="277">
        <f>'Data Sheet'!G17</f>
        <v>249794.75</v>
      </c>
      <c r="F14" s="277">
        <f>'Data Sheet'!H17</f>
        <v>278453.62</v>
      </c>
      <c r="G14" s="277">
        <f>'Data Sheet'!I17</f>
        <v>345966.97</v>
      </c>
      <c r="H14" s="277">
        <f>'Data Sheet'!J17</f>
        <v>434016</v>
      </c>
      <c r="I14" s="277">
        <f>'Data Sheet'!K17</f>
        <v>439695</v>
      </c>
      <c r="J14" s="277"/>
    </row>
    <row r="15" spans="1:10">
      <c r="A15" s="273"/>
      <c r="B15" s="280" t="s">
        <v>452</v>
      </c>
      <c r="C15" s="281">
        <f t="shared" ref="C15:I15" si="2">C13/C14</f>
        <v>-9.5470566181711222E-2</v>
      </c>
      <c r="D15" s="281">
        <f t="shared" si="2"/>
        <v>-4.6236426475450051E-2</v>
      </c>
      <c r="E15" s="281">
        <f t="shared" si="2"/>
        <v>-5.3849770661713266E-2</v>
      </c>
      <c r="F15" s="281">
        <f t="shared" si="2"/>
        <v>-4.1089320368684734E-2</v>
      </c>
      <c r="G15" s="281">
        <f t="shared" si="2"/>
        <v>6.9783829363826268E-3</v>
      </c>
      <c r="H15" s="281">
        <f t="shared" si="2"/>
        <v>7.2345259160952594E-2</v>
      </c>
      <c r="I15" s="281">
        <f t="shared" si="2"/>
        <v>6.3293874162771921E-2</v>
      </c>
      <c r="J15" s="273"/>
    </row>
    <row r="16" spans="1:10">
      <c r="A16" s="273"/>
      <c r="B16" s="273"/>
      <c r="C16" s="273"/>
      <c r="D16" s="273"/>
      <c r="E16" s="273"/>
      <c r="F16" s="273"/>
      <c r="G16" s="273"/>
      <c r="H16" s="273"/>
      <c r="I16" s="273"/>
      <c r="J16" s="273"/>
    </row>
    <row r="17" spans="1:10">
      <c r="A17" s="273"/>
      <c r="B17" s="273" t="s">
        <v>393</v>
      </c>
      <c r="C17" s="277">
        <f t="shared" ref="C17:I17" si="3">C14</f>
        <v>301938.40000000002</v>
      </c>
      <c r="D17" s="277">
        <f t="shared" si="3"/>
        <v>261067.97</v>
      </c>
      <c r="E17" s="277">
        <f t="shared" si="3"/>
        <v>249794.75</v>
      </c>
      <c r="F17" s="277">
        <f t="shared" si="3"/>
        <v>278453.62</v>
      </c>
      <c r="G17" s="277">
        <f t="shared" si="3"/>
        <v>345966.97</v>
      </c>
      <c r="H17" s="277">
        <f t="shared" si="3"/>
        <v>434016</v>
      </c>
      <c r="I17" s="277">
        <f t="shared" si="3"/>
        <v>439695</v>
      </c>
      <c r="J17" s="273"/>
    </row>
    <row r="18" spans="1:10">
      <c r="A18" s="273"/>
      <c r="B18" s="273" t="s">
        <v>453</v>
      </c>
      <c r="C18" s="277">
        <f>'Data Sheet'!E67</f>
        <v>305703.49</v>
      </c>
      <c r="D18" s="277">
        <f>'Data Sheet'!F67</f>
        <v>320179.39</v>
      </c>
      <c r="E18" s="277">
        <f>'Data Sheet'!G67</f>
        <v>341569.91</v>
      </c>
      <c r="F18" s="277">
        <f>'Data Sheet'!H67</f>
        <v>329061.49</v>
      </c>
      <c r="G18" s="277">
        <f>'Data Sheet'!I67</f>
        <v>334674.43</v>
      </c>
      <c r="H18" s="277">
        <f>'Data Sheet'!J67</f>
        <v>369521</v>
      </c>
      <c r="I18" s="277">
        <f>'Data Sheet'!K67</f>
        <v>376973</v>
      </c>
      <c r="J18" s="273"/>
    </row>
    <row r="19" spans="1:10">
      <c r="A19" s="273"/>
      <c r="B19" s="280" t="s">
        <v>454</v>
      </c>
      <c r="C19" s="282">
        <f t="shared" ref="C19:I19" si="4">C17/C18</f>
        <v>0.98768385012549265</v>
      </c>
      <c r="D19" s="282">
        <f t="shared" si="4"/>
        <v>0.81538030914482029</v>
      </c>
      <c r="E19" s="282">
        <f t="shared" si="4"/>
        <v>0.73131368626703686</v>
      </c>
      <c r="F19" s="282">
        <f t="shared" si="4"/>
        <v>0.84620543108827473</v>
      </c>
      <c r="G19" s="282">
        <f t="shared" si="4"/>
        <v>1.0337418666851841</v>
      </c>
      <c r="H19" s="282">
        <f t="shared" si="4"/>
        <v>1.1745367651635497</v>
      </c>
      <c r="I19" s="282">
        <f t="shared" si="4"/>
        <v>1.1663832688282716</v>
      </c>
      <c r="J19" s="273"/>
    </row>
    <row r="20" spans="1:10">
      <c r="A20" s="273"/>
      <c r="B20" s="284"/>
      <c r="C20" s="284"/>
      <c r="D20" s="273"/>
      <c r="E20" s="273"/>
      <c r="F20" s="273"/>
      <c r="G20" s="273"/>
      <c r="H20" s="273"/>
      <c r="I20" s="273"/>
      <c r="J20" s="273"/>
    </row>
    <row r="21" spans="1:10">
      <c r="A21" s="273"/>
      <c r="B21" s="284" t="str">
        <f t="shared" ref="B21:I21" si="5">B18</f>
        <v>Average Total Asset</v>
      </c>
      <c r="C21" s="285">
        <f t="shared" si="5"/>
        <v>305703.49</v>
      </c>
      <c r="D21" s="277">
        <f t="shared" si="5"/>
        <v>320179.39</v>
      </c>
      <c r="E21" s="277">
        <f t="shared" si="5"/>
        <v>341569.91</v>
      </c>
      <c r="F21" s="277">
        <f t="shared" si="5"/>
        <v>329061.49</v>
      </c>
      <c r="G21" s="277">
        <f t="shared" si="5"/>
        <v>334674.43</v>
      </c>
      <c r="H21" s="277">
        <f t="shared" si="5"/>
        <v>369521</v>
      </c>
      <c r="I21" s="277">
        <f t="shared" si="5"/>
        <v>376973</v>
      </c>
      <c r="J21" s="273"/>
    </row>
    <row r="22" spans="1:10">
      <c r="A22" s="273"/>
      <c r="B22" s="273" t="str">
        <f t="shared" ref="B22:I22" si="6">B8</f>
        <v>Average Shareholder Equity</v>
      </c>
      <c r="C22" s="277">
        <f t="shared" si="6"/>
        <v>77803.735000000001</v>
      </c>
      <c r="D22" s="277">
        <f t="shared" si="6"/>
        <v>61629.044999999998</v>
      </c>
      <c r="E22" s="277">
        <f t="shared" si="6"/>
        <v>59162.625</v>
      </c>
      <c r="F22" s="277">
        <f t="shared" si="6"/>
        <v>49903.979999999996</v>
      </c>
      <c r="G22" s="277">
        <f t="shared" si="6"/>
        <v>44941.514999999999</v>
      </c>
      <c r="H22" s="277">
        <f t="shared" si="6"/>
        <v>65119.894999999997</v>
      </c>
      <c r="I22" s="277">
        <f t="shared" si="6"/>
        <v>100531</v>
      </c>
      <c r="J22" s="273"/>
    </row>
    <row r="23" spans="1:10">
      <c r="A23" s="273"/>
      <c r="B23" s="280" t="s">
        <v>455</v>
      </c>
      <c r="C23" s="283">
        <f t="shared" ref="C23:I23" si="7">C21/C22</f>
        <v>3.9291621411234305</v>
      </c>
      <c r="D23" s="283">
        <f t="shared" si="7"/>
        <v>5.1952677507821194</v>
      </c>
      <c r="E23" s="283">
        <f t="shared" si="7"/>
        <v>5.7734069439954698</v>
      </c>
      <c r="F23" s="283">
        <f t="shared" si="7"/>
        <v>6.5938927115632868</v>
      </c>
      <c r="G23" s="283">
        <f t="shared" si="7"/>
        <v>7.4468880276955502</v>
      </c>
      <c r="H23" s="283">
        <f t="shared" si="7"/>
        <v>5.6744716802752837</v>
      </c>
      <c r="I23" s="283">
        <f t="shared" si="7"/>
        <v>3.7498184639563914</v>
      </c>
      <c r="J23" s="273"/>
    </row>
    <row r="24" spans="1:10">
      <c r="A24" s="273"/>
      <c r="B24" s="273"/>
      <c r="C24" s="273"/>
      <c r="D24" s="273"/>
      <c r="E24" s="273"/>
      <c r="F24" s="273"/>
      <c r="G24" s="273"/>
      <c r="H24" s="273"/>
      <c r="I24" s="273"/>
      <c r="J24" s="273"/>
    </row>
    <row r="25" spans="1:10">
      <c r="A25" s="273"/>
      <c r="B25" s="280" t="s">
        <v>456</v>
      </c>
      <c r="C25" s="281">
        <f t="shared" ref="C25:I25" si="8">C23*C19*C15</f>
        <v>-0.37049930829156208</v>
      </c>
      <c r="D25" s="281">
        <f t="shared" si="8"/>
        <v>-0.19586300582785274</v>
      </c>
      <c r="E25" s="281">
        <f t="shared" si="8"/>
        <v>-0.2273629677520225</v>
      </c>
      <c r="F25" s="281">
        <f t="shared" si="8"/>
        <v>-0.22926968951173832</v>
      </c>
      <c r="G25" s="281">
        <f t="shared" si="8"/>
        <v>5.372070790225919E-2</v>
      </c>
      <c r="H25" s="281">
        <f t="shared" si="8"/>
        <v>0.48217215337954716</v>
      </c>
      <c r="I25" s="281">
        <f t="shared" si="8"/>
        <v>0.27683003252728011</v>
      </c>
      <c r="J25" s="273"/>
    </row>
    <row r="26" spans="1:10">
      <c r="A26" s="273"/>
      <c r="B26" s="273"/>
      <c r="C26" s="273"/>
      <c r="D26" s="273"/>
      <c r="E26" s="273"/>
      <c r="F26" s="273"/>
      <c r="G26" s="273"/>
      <c r="H26" s="273"/>
      <c r="I26" s="273"/>
      <c r="J26" s="273"/>
    </row>
    <row r="27" spans="1:10" ht="15.5">
      <c r="A27" s="273"/>
      <c r="B27" s="426" t="s">
        <v>457</v>
      </c>
      <c r="C27" s="426"/>
      <c r="D27" s="426"/>
      <c r="E27" s="426"/>
      <c r="F27" s="426"/>
      <c r="G27" s="426"/>
      <c r="H27" s="426"/>
      <c r="I27" s="426"/>
      <c r="J27" s="273"/>
    </row>
    <row r="28" spans="1:10">
      <c r="A28" s="273"/>
      <c r="B28" s="273"/>
      <c r="C28" s="276">
        <f t="shared" ref="C28:I29" si="9">C12</f>
        <v>43555</v>
      </c>
      <c r="D28" s="276">
        <f t="shared" si="9"/>
        <v>43921</v>
      </c>
      <c r="E28" s="276">
        <f t="shared" si="9"/>
        <v>44286</v>
      </c>
      <c r="F28" s="276">
        <f t="shared" si="9"/>
        <v>44651</v>
      </c>
      <c r="G28" s="276">
        <f t="shared" si="9"/>
        <v>45016</v>
      </c>
      <c r="H28" s="276">
        <f t="shared" si="9"/>
        <v>45382</v>
      </c>
      <c r="I28" s="276">
        <f t="shared" si="9"/>
        <v>45747</v>
      </c>
      <c r="J28" s="273"/>
    </row>
    <row r="29" spans="1:10">
      <c r="A29" s="273"/>
      <c r="B29" s="273" t="s">
        <v>107</v>
      </c>
      <c r="C29" s="277">
        <f t="shared" si="9"/>
        <v>-28826.23</v>
      </c>
      <c r="D29" s="277">
        <f t="shared" si="9"/>
        <v>-12070.85</v>
      </c>
      <c r="E29" s="277">
        <f t="shared" si="9"/>
        <v>-13451.39</v>
      </c>
      <c r="F29" s="277">
        <f t="shared" si="9"/>
        <v>-11441.47</v>
      </c>
      <c r="G29" s="277">
        <f t="shared" si="9"/>
        <v>2414.29</v>
      </c>
      <c r="H29" s="277">
        <f t="shared" si="9"/>
        <v>31399</v>
      </c>
      <c r="I29" s="277">
        <f t="shared" si="9"/>
        <v>27830</v>
      </c>
      <c r="J29" s="273"/>
    </row>
    <row r="30" spans="1:10">
      <c r="A30" s="273"/>
      <c r="B30" s="273" t="str">
        <f>B21</f>
        <v>Average Total Asset</v>
      </c>
      <c r="C30" s="277">
        <f t="shared" ref="C30:I30" si="10">C18</f>
        <v>305703.49</v>
      </c>
      <c r="D30" s="277">
        <f t="shared" si="10"/>
        <v>320179.39</v>
      </c>
      <c r="E30" s="277">
        <f t="shared" si="10"/>
        <v>341569.91</v>
      </c>
      <c r="F30" s="277">
        <f t="shared" si="10"/>
        <v>329061.49</v>
      </c>
      <c r="G30" s="277">
        <f t="shared" si="10"/>
        <v>334674.43</v>
      </c>
      <c r="H30" s="277">
        <f t="shared" si="10"/>
        <v>369521</v>
      </c>
      <c r="I30" s="277">
        <f t="shared" si="10"/>
        <v>376973</v>
      </c>
      <c r="J30" s="273"/>
    </row>
    <row r="31" spans="1:10">
      <c r="A31" s="273"/>
      <c r="B31" s="280" t="s">
        <v>457</v>
      </c>
      <c r="C31" s="281">
        <f t="shared" ref="C31:I31" si="11">C29/C30</f>
        <v>-9.4294736380013192E-2</v>
      </c>
      <c r="D31" s="281">
        <f t="shared" si="11"/>
        <v>-3.7700271713304222E-2</v>
      </c>
      <c r="E31" s="281">
        <f t="shared" si="11"/>
        <v>-3.9381074287252057E-2</v>
      </c>
      <c r="F31" s="281">
        <f t="shared" si="11"/>
        <v>-3.4770006055707098E-2</v>
      </c>
      <c r="G31" s="281">
        <f t="shared" si="11"/>
        <v>7.2138466031002133E-3</v>
      </c>
      <c r="H31" s="281">
        <f t="shared" si="11"/>
        <v>8.4972166669823906E-2</v>
      </c>
      <c r="I31" s="281">
        <f t="shared" si="11"/>
        <v>7.3824915842779185E-2</v>
      </c>
      <c r="J31" s="273"/>
    </row>
    <row r="32" spans="1:10">
      <c r="A32" s="273"/>
      <c r="B32" s="273"/>
      <c r="C32" s="273"/>
      <c r="D32" s="273"/>
      <c r="E32" s="273"/>
      <c r="F32" s="273"/>
      <c r="G32" s="273"/>
      <c r="H32" s="273"/>
      <c r="I32" s="273"/>
      <c r="J32" s="273"/>
    </row>
    <row r="33" spans="1:10" ht="15.5">
      <c r="A33" s="273"/>
      <c r="B33" s="426" t="s">
        <v>458</v>
      </c>
      <c r="C33" s="426"/>
      <c r="D33" s="426"/>
      <c r="E33" s="426"/>
      <c r="F33" s="426"/>
      <c r="G33" s="426"/>
      <c r="H33" s="426"/>
      <c r="I33" s="426"/>
      <c r="J33" s="273"/>
    </row>
    <row r="34" spans="1:10">
      <c r="A34" s="273"/>
      <c r="B34" s="273"/>
      <c r="C34" s="276">
        <f t="shared" ref="C34:I35" si="12">C28</f>
        <v>43555</v>
      </c>
      <c r="D34" s="276">
        <f t="shared" si="12"/>
        <v>43921</v>
      </c>
      <c r="E34" s="276">
        <f t="shared" si="12"/>
        <v>44286</v>
      </c>
      <c r="F34" s="276">
        <f t="shared" si="12"/>
        <v>44651</v>
      </c>
      <c r="G34" s="276">
        <f t="shared" si="12"/>
        <v>45016</v>
      </c>
      <c r="H34" s="276">
        <f t="shared" si="12"/>
        <v>45382</v>
      </c>
      <c r="I34" s="276">
        <f t="shared" si="12"/>
        <v>45747</v>
      </c>
      <c r="J34" s="273"/>
    </row>
    <row r="35" spans="1:10">
      <c r="A35" s="273"/>
      <c r="B35" s="273" t="str">
        <f>B29</f>
        <v>Net Profit</v>
      </c>
      <c r="C35" s="277">
        <f t="shared" si="12"/>
        <v>-28826.23</v>
      </c>
      <c r="D35" s="277">
        <f t="shared" si="12"/>
        <v>-12070.85</v>
      </c>
      <c r="E35" s="277">
        <f t="shared" si="12"/>
        <v>-13451.39</v>
      </c>
      <c r="F35" s="277">
        <f t="shared" si="12"/>
        <v>-11441.47</v>
      </c>
      <c r="G35" s="277">
        <f t="shared" si="12"/>
        <v>2414.29</v>
      </c>
      <c r="H35" s="277">
        <f t="shared" si="12"/>
        <v>31399</v>
      </c>
      <c r="I35" s="277">
        <f t="shared" si="12"/>
        <v>27830</v>
      </c>
      <c r="J35" s="273"/>
    </row>
    <row r="36" spans="1:10">
      <c r="A36" s="273"/>
      <c r="B36" s="273" t="s">
        <v>393</v>
      </c>
      <c r="C36" s="277">
        <f t="shared" ref="C36:I36" si="13">C17</f>
        <v>301938.40000000002</v>
      </c>
      <c r="D36" s="277">
        <f t="shared" si="13"/>
        <v>261067.97</v>
      </c>
      <c r="E36" s="277">
        <f t="shared" si="13"/>
        <v>249794.75</v>
      </c>
      <c r="F36" s="277">
        <f t="shared" si="13"/>
        <v>278453.62</v>
      </c>
      <c r="G36" s="277">
        <f t="shared" si="13"/>
        <v>345966.97</v>
      </c>
      <c r="H36" s="277">
        <f t="shared" si="13"/>
        <v>434016</v>
      </c>
      <c r="I36" s="277">
        <f t="shared" si="13"/>
        <v>439695</v>
      </c>
      <c r="J36" s="273"/>
    </row>
    <row r="37" spans="1:10">
      <c r="A37" s="273"/>
      <c r="B37" s="280" t="s">
        <v>452</v>
      </c>
      <c r="C37" s="281">
        <f t="shared" ref="C37:I37" si="14">C35/C36</f>
        <v>-9.5470566181711222E-2</v>
      </c>
      <c r="D37" s="281">
        <f t="shared" si="14"/>
        <v>-4.6236426475450051E-2</v>
      </c>
      <c r="E37" s="281">
        <f t="shared" si="14"/>
        <v>-5.3849770661713266E-2</v>
      </c>
      <c r="F37" s="281">
        <f t="shared" si="14"/>
        <v>-4.1089320368684734E-2</v>
      </c>
      <c r="G37" s="281">
        <f t="shared" si="14"/>
        <v>6.9783829363826268E-3</v>
      </c>
      <c r="H37" s="281">
        <f t="shared" si="14"/>
        <v>7.2345259160952594E-2</v>
      </c>
      <c r="I37" s="281">
        <f t="shared" si="14"/>
        <v>6.3293874162771921E-2</v>
      </c>
      <c r="J37" s="273"/>
    </row>
    <row r="38" spans="1:10">
      <c r="A38" s="273"/>
      <c r="B38" s="273"/>
      <c r="C38" s="273"/>
      <c r="D38" s="273"/>
      <c r="E38" s="273"/>
      <c r="F38" s="273"/>
      <c r="G38" s="273"/>
      <c r="H38" s="273"/>
      <c r="I38" s="273"/>
      <c r="J38" s="273"/>
    </row>
    <row r="39" spans="1:10">
      <c r="A39" s="273"/>
      <c r="B39" s="273" t="s">
        <v>393</v>
      </c>
      <c r="C39" s="277">
        <f t="shared" ref="C39:I39" si="15">C36</f>
        <v>301938.40000000002</v>
      </c>
      <c r="D39" s="277">
        <f t="shared" si="15"/>
        <v>261067.97</v>
      </c>
      <c r="E39" s="277">
        <f t="shared" si="15"/>
        <v>249794.75</v>
      </c>
      <c r="F39" s="277">
        <f t="shared" si="15"/>
        <v>278453.62</v>
      </c>
      <c r="G39" s="277">
        <f t="shared" si="15"/>
        <v>345966.97</v>
      </c>
      <c r="H39" s="277">
        <f t="shared" si="15"/>
        <v>434016</v>
      </c>
      <c r="I39" s="277">
        <f t="shared" si="15"/>
        <v>439695</v>
      </c>
      <c r="J39" s="273"/>
    </row>
    <row r="40" spans="1:10">
      <c r="A40" s="273"/>
      <c r="B40" s="273" t="s">
        <v>453</v>
      </c>
      <c r="C40" s="277">
        <f t="shared" ref="C40:I40" si="16">C30</f>
        <v>305703.49</v>
      </c>
      <c r="D40" s="277">
        <f t="shared" si="16"/>
        <v>320179.39</v>
      </c>
      <c r="E40" s="277">
        <f t="shared" si="16"/>
        <v>341569.91</v>
      </c>
      <c r="F40" s="277">
        <f t="shared" si="16"/>
        <v>329061.49</v>
      </c>
      <c r="G40" s="277">
        <f t="shared" si="16"/>
        <v>334674.43</v>
      </c>
      <c r="H40" s="277">
        <f t="shared" si="16"/>
        <v>369521</v>
      </c>
      <c r="I40" s="277">
        <f t="shared" si="16"/>
        <v>376973</v>
      </c>
      <c r="J40" s="273"/>
    </row>
    <row r="41" spans="1:10">
      <c r="A41" s="273"/>
      <c r="B41" s="280" t="s">
        <v>454</v>
      </c>
      <c r="C41" s="282">
        <f t="shared" ref="C41:I41" si="17">C39/C40</f>
        <v>0.98768385012549265</v>
      </c>
      <c r="D41" s="282">
        <f t="shared" si="17"/>
        <v>0.81538030914482029</v>
      </c>
      <c r="E41" s="282">
        <f t="shared" si="17"/>
        <v>0.73131368626703686</v>
      </c>
      <c r="F41" s="282">
        <f t="shared" si="17"/>
        <v>0.84620543108827473</v>
      </c>
      <c r="G41" s="282">
        <f t="shared" si="17"/>
        <v>1.0337418666851841</v>
      </c>
      <c r="H41" s="282">
        <f t="shared" si="17"/>
        <v>1.1745367651635497</v>
      </c>
      <c r="I41" s="282">
        <f t="shared" si="17"/>
        <v>1.1663832688282716</v>
      </c>
      <c r="J41" s="273"/>
    </row>
    <row r="42" spans="1:10">
      <c r="A42" s="273"/>
      <c r="B42" s="273"/>
      <c r="C42" s="273"/>
      <c r="D42" s="273"/>
      <c r="E42" s="273"/>
      <c r="F42" s="273"/>
      <c r="G42" s="273"/>
      <c r="H42" s="273"/>
      <c r="I42" s="273"/>
      <c r="J42" s="273"/>
    </row>
    <row r="43" spans="1:10">
      <c r="A43" s="273"/>
      <c r="B43" s="280" t="s">
        <v>459</v>
      </c>
      <c r="C43" s="281">
        <f t="shared" ref="C43:I43" si="18">C41*C37</f>
        <v>-9.4294736380013192E-2</v>
      </c>
      <c r="D43" s="281">
        <f t="shared" si="18"/>
        <v>-3.7700271713304215E-2</v>
      </c>
      <c r="E43" s="281">
        <f t="shared" si="18"/>
        <v>-3.9381074287252057E-2</v>
      </c>
      <c r="F43" s="281">
        <f t="shared" si="18"/>
        <v>-3.4770006055707091E-2</v>
      </c>
      <c r="G43" s="281">
        <f t="shared" si="18"/>
        <v>7.2138466031002125E-3</v>
      </c>
      <c r="H43" s="281">
        <f t="shared" si="18"/>
        <v>8.497216666982392E-2</v>
      </c>
      <c r="I43" s="281">
        <f t="shared" si="18"/>
        <v>7.3824915842779198E-2</v>
      </c>
      <c r="J43" s="273"/>
    </row>
    <row r="44" spans="1:10">
      <c r="A44" s="273"/>
      <c r="B44" s="273"/>
      <c r="C44" s="273"/>
      <c r="D44" s="273"/>
      <c r="E44" s="273"/>
      <c r="F44" s="273"/>
      <c r="G44" s="273"/>
      <c r="H44" s="273"/>
      <c r="I44" s="273"/>
      <c r="J44" s="273"/>
    </row>
    <row r="45" spans="1:10">
      <c r="A45" s="273"/>
      <c r="B45" s="273"/>
      <c r="C45" s="273"/>
      <c r="D45" s="273"/>
      <c r="E45" s="273"/>
      <c r="F45" s="273"/>
      <c r="G45" s="273"/>
      <c r="H45" s="273"/>
      <c r="I45" s="273"/>
      <c r="J45" s="273"/>
    </row>
    <row r="46" spans="1:10">
      <c r="A46" s="273"/>
      <c r="B46" s="273"/>
      <c r="C46" s="273"/>
      <c r="D46" s="273"/>
      <c r="E46" s="273"/>
      <c r="F46" s="273"/>
      <c r="G46" s="273"/>
      <c r="H46" s="273"/>
      <c r="I46" s="273"/>
      <c r="J46" s="273"/>
    </row>
    <row r="47" spans="1:10">
      <c r="A47" s="273"/>
      <c r="B47" s="273"/>
      <c r="C47" s="273"/>
      <c r="D47" s="273"/>
      <c r="E47" s="273"/>
      <c r="F47" s="273"/>
      <c r="G47" s="273"/>
      <c r="H47" s="273"/>
      <c r="I47" s="273"/>
      <c r="J47" s="273"/>
    </row>
    <row r="48" spans="1:10">
      <c r="A48" s="273"/>
      <c r="B48" s="273"/>
      <c r="C48" s="273"/>
      <c r="D48" s="273"/>
      <c r="E48" s="273"/>
      <c r="F48" s="273"/>
      <c r="G48" s="273"/>
      <c r="H48" s="273"/>
      <c r="I48" s="273"/>
      <c r="J48" s="273"/>
    </row>
    <row r="49" spans="1:10">
      <c r="A49" s="273"/>
      <c r="B49" s="273"/>
      <c r="C49" s="273"/>
      <c r="D49" s="273"/>
      <c r="E49" s="273"/>
      <c r="F49" s="273"/>
      <c r="G49" s="273"/>
      <c r="H49" s="273"/>
      <c r="I49" s="273"/>
      <c r="J49" s="273"/>
    </row>
    <row r="50" spans="1:10">
      <c r="A50" s="273"/>
      <c r="B50" s="273"/>
      <c r="C50" s="273"/>
      <c r="D50" s="273"/>
      <c r="E50" s="273"/>
      <c r="F50" s="273"/>
      <c r="G50" s="273"/>
      <c r="H50" s="273"/>
      <c r="I50" s="273"/>
      <c r="J50" s="273"/>
    </row>
    <row r="51" spans="1:10">
      <c r="A51" s="273"/>
      <c r="B51" s="273"/>
      <c r="C51" s="273"/>
      <c r="D51" s="273"/>
      <c r="E51" s="273"/>
      <c r="F51" s="273"/>
      <c r="G51" s="273"/>
      <c r="H51" s="273"/>
      <c r="I51" s="273"/>
      <c r="J51" s="273"/>
    </row>
    <row r="52" spans="1:10">
      <c r="A52" s="273"/>
      <c r="B52" s="273"/>
      <c r="C52" s="273"/>
      <c r="D52" s="273"/>
      <c r="E52" s="273"/>
      <c r="F52" s="273"/>
      <c r="G52" s="273"/>
      <c r="H52" s="273"/>
      <c r="I52" s="273"/>
      <c r="J52" s="273"/>
    </row>
    <row r="53" spans="1:10">
      <c r="A53" s="273"/>
      <c r="B53" s="273"/>
      <c r="C53" s="273"/>
      <c r="D53" s="273"/>
      <c r="E53" s="273"/>
      <c r="F53" s="273"/>
      <c r="G53" s="273"/>
      <c r="H53" s="273"/>
      <c r="I53" s="273"/>
      <c r="J53" s="273"/>
    </row>
    <row r="54" spans="1:10">
      <c r="A54" s="273"/>
      <c r="B54" s="273"/>
      <c r="C54" s="273"/>
      <c r="D54" s="273"/>
      <c r="E54" s="273"/>
      <c r="F54" s="273"/>
      <c r="G54" s="273"/>
      <c r="H54" s="273"/>
      <c r="I54" s="273"/>
      <c r="J54" s="273"/>
    </row>
    <row r="55" spans="1:10">
      <c r="A55" s="273"/>
      <c r="B55" s="273"/>
      <c r="C55" s="273"/>
      <c r="D55" s="273"/>
      <c r="E55" s="273"/>
      <c r="F55" s="273"/>
      <c r="G55" s="273"/>
      <c r="H55" s="273"/>
      <c r="I55" s="273"/>
      <c r="J55" s="273"/>
    </row>
    <row r="56" spans="1:10">
      <c r="A56" s="273"/>
      <c r="B56" s="273"/>
      <c r="C56" s="273"/>
      <c r="D56" s="273"/>
      <c r="E56" s="273"/>
      <c r="F56" s="273"/>
      <c r="G56" s="273"/>
      <c r="H56" s="273"/>
      <c r="I56" s="273"/>
      <c r="J56" s="273"/>
    </row>
    <row r="57" spans="1:10">
      <c r="A57" s="273"/>
      <c r="B57" s="273"/>
      <c r="C57" s="273"/>
      <c r="D57" s="273"/>
      <c r="E57" s="273"/>
      <c r="F57" s="273"/>
      <c r="G57" s="273"/>
      <c r="H57" s="273"/>
      <c r="I57" s="273"/>
      <c r="J57" s="273"/>
    </row>
    <row r="58" spans="1:10">
      <c r="A58" s="273"/>
      <c r="B58" s="273"/>
      <c r="C58" s="273"/>
      <c r="D58" s="273"/>
      <c r="E58" s="273"/>
      <c r="F58" s="273"/>
      <c r="G58" s="273"/>
      <c r="H58" s="273"/>
      <c r="I58" s="273"/>
      <c r="J58" s="273"/>
    </row>
    <row r="59" spans="1:10">
      <c r="A59" s="273"/>
      <c r="B59" s="273"/>
      <c r="C59" s="273"/>
      <c r="D59" s="273"/>
      <c r="E59" s="273"/>
      <c r="F59" s="273"/>
      <c r="G59" s="273"/>
      <c r="H59" s="273"/>
      <c r="I59" s="273"/>
      <c r="J59" s="273"/>
    </row>
    <row r="60" spans="1:10">
      <c r="A60" s="273"/>
      <c r="B60" s="345"/>
      <c r="C60" s="345"/>
      <c r="D60" s="345"/>
      <c r="E60" s="345"/>
      <c r="F60" s="345"/>
      <c r="G60" s="345"/>
      <c r="H60" s="345"/>
      <c r="I60" s="345"/>
      <c r="J60" s="273"/>
    </row>
    <row r="61" spans="1:10">
      <c r="A61" s="273"/>
      <c r="B61" s="273"/>
      <c r="C61" s="273"/>
      <c r="D61" s="273"/>
      <c r="E61" s="273"/>
      <c r="F61" s="273"/>
      <c r="G61" s="273"/>
      <c r="H61" s="273"/>
      <c r="I61" s="273"/>
      <c r="J61" s="273"/>
    </row>
  </sheetData>
  <mergeCells count="4">
    <mergeCell ref="B5:I5"/>
    <mergeCell ref="B11:I11"/>
    <mergeCell ref="B27:I27"/>
    <mergeCell ref="B33:I33"/>
  </mergeCells>
  <pageMargins left="0.7" right="0.7" top="0.75" bottom="0.75" header="0.3" footer="0.3"/>
  <pageSetup scale="78"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AB627-6CA5-442A-8413-6478AD693684}">
  <sheetPr codeName="Sheet34">
    <pageSetUpPr fitToPage="1"/>
  </sheetPr>
  <dimension ref="B1:I96"/>
  <sheetViews>
    <sheetView showGridLines="0" zoomScale="90" zoomScaleNormal="89" zoomScaleSheetLayoutView="140" workbookViewId="0">
      <selection sqref="A1:J53"/>
    </sheetView>
  </sheetViews>
  <sheetFormatPr defaultRowHeight="14.5"/>
  <cols>
    <col min="1" max="1" width="1.81640625" style="286" customWidth="1"/>
    <col min="2" max="2" width="35.7265625" style="286" customWidth="1"/>
    <col min="3" max="9" width="10.6328125" style="286" bestFit="1" customWidth="1"/>
    <col min="10" max="10" width="1.90625" style="286" customWidth="1"/>
    <col min="11" max="16384" width="8.7265625" style="286"/>
  </cols>
  <sheetData>
    <row r="1" spans="2:9" s="273" customFormat="1" ht="10.5" customHeight="1">
      <c r="B1" s="361"/>
      <c r="C1" s="361"/>
      <c r="D1" s="361"/>
      <c r="E1" s="361"/>
      <c r="F1" s="361"/>
      <c r="G1" s="361"/>
      <c r="H1" s="361"/>
      <c r="I1" s="361"/>
    </row>
    <row r="2" spans="2:9" s="273" customFormat="1" ht="6" customHeight="1"/>
    <row r="3" spans="2:9" s="273" customFormat="1" ht="26.25" customHeight="1">
      <c r="B3" s="362" t="str">
        <f>'Data Sheet'!B1</f>
        <v>TATA MOTORS LTD</v>
      </c>
    </row>
    <row r="4" spans="2:9" s="273" customFormat="1">
      <c r="B4" s="274" t="s">
        <v>460</v>
      </c>
    </row>
    <row r="5" spans="2:9" s="273" customFormat="1" ht="21.75" customHeight="1">
      <c r="B5" s="363" t="s">
        <v>461</v>
      </c>
    </row>
    <row r="6" spans="2:9" s="273" customFormat="1">
      <c r="B6" s="279" t="s">
        <v>463</v>
      </c>
    </row>
    <row r="7" spans="2:9" s="273" customFormat="1" ht="4" customHeight="1" thickBot="1">
      <c r="B7" s="393"/>
      <c r="C7" s="393"/>
      <c r="D7" s="393"/>
      <c r="E7" s="393"/>
      <c r="F7" s="393"/>
      <c r="G7" s="393"/>
      <c r="H7" s="393"/>
      <c r="I7" s="393"/>
    </row>
    <row r="8" spans="2:9" s="273" customFormat="1" ht="10.5" customHeight="1"/>
    <row r="9" spans="2:9" s="273" customFormat="1" ht="10.5" customHeight="1"/>
    <row r="10" spans="2:9" s="273" customFormat="1" ht="10.5" customHeight="1"/>
    <row r="11" spans="2:9" ht="29.25" customHeight="1">
      <c r="B11" s="444" t="s">
        <v>464</v>
      </c>
      <c r="C11" s="445"/>
      <c r="D11" s="445"/>
      <c r="E11" s="445"/>
      <c r="F11" s="445"/>
      <c r="G11" s="445"/>
      <c r="H11" s="445"/>
      <c r="I11" s="445"/>
    </row>
    <row r="12" spans="2:9" ht="29.25" customHeight="1">
      <c r="B12" s="296"/>
      <c r="C12" s="297"/>
      <c r="D12" s="297"/>
      <c r="E12" s="297"/>
      <c r="F12" s="297"/>
      <c r="G12" s="297"/>
      <c r="H12" s="297"/>
      <c r="I12" s="297"/>
    </row>
    <row r="13" spans="2:9" ht="21.75" customHeight="1">
      <c r="B13" s="394" t="s">
        <v>448</v>
      </c>
      <c r="C13" s="287"/>
      <c r="D13" s="287"/>
      <c r="E13" s="287"/>
      <c r="F13" s="287"/>
      <c r="G13" s="287"/>
      <c r="H13" s="287"/>
      <c r="I13" s="287"/>
    </row>
    <row r="14" spans="2:9" ht="6" customHeight="1">
      <c r="B14" s="287"/>
      <c r="C14" s="287"/>
      <c r="D14" s="287"/>
      <c r="E14" s="287"/>
      <c r="F14" s="287"/>
      <c r="G14" s="287"/>
      <c r="H14" s="287"/>
      <c r="I14" s="287"/>
    </row>
    <row r="15" spans="2:9">
      <c r="B15" s="287"/>
      <c r="C15" s="287"/>
      <c r="D15" s="287"/>
      <c r="E15" s="287"/>
      <c r="F15" s="287"/>
      <c r="G15" s="287"/>
      <c r="H15" s="287"/>
      <c r="I15" s="287"/>
    </row>
    <row r="52" spans="2:9" ht="28.5" customHeight="1"/>
    <row r="53" spans="2:9" ht="11.25" customHeight="1">
      <c r="B53" s="395"/>
      <c r="C53" s="395"/>
      <c r="D53" s="395"/>
      <c r="E53" s="395"/>
      <c r="F53" s="395"/>
      <c r="G53" s="395"/>
      <c r="H53" s="395"/>
      <c r="I53" s="395"/>
    </row>
    <row r="54" spans="2:9" ht="1.5" customHeight="1">
      <c r="B54" s="395"/>
      <c r="C54" s="395"/>
      <c r="D54" s="395"/>
      <c r="E54" s="395"/>
      <c r="F54" s="395"/>
      <c r="G54" s="395"/>
      <c r="H54" s="395"/>
      <c r="I54" s="395"/>
    </row>
    <row r="55" spans="2:9" ht="11.25" customHeight="1"/>
    <row r="72" s="291" customFormat="1"/>
    <row r="78" s="294" customFormat="1"/>
    <row r="96" ht="11.25" customHeight="1"/>
  </sheetData>
  <mergeCells count="1">
    <mergeCell ref="B11:I11"/>
  </mergeCells>
  <pageMargins left="0.7" right="0.7" top="0.75" bottom="0.75" header="0.3" footer="0.3"/>
  <pageSetup paperSize="9" scale="78" orientation="portrait" r:id="rId1"/>
  <headerFooter>
    <oddFooter>&amp;RPage &amp;P</oddFooter>
  </headerFooter>
  <rowBreaks count="1" manualBreakCount="1">
    <brk id="53" max="16383"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46EC-D12C-4125-8096-C5D8ED6CDB9C}">
  <sheetPr>
    <pageSetUpPr fitToPage="1"/>
  </sheetPr>
  <dimension ref="A1:J43"/>
  <sheetViews>
    <sheetView showGridLines="0" topLeftCell="A26" workbookViewId="0">
      <selection activeCell="K37" sqref="K37"/>
    </sheetView>
  </sheetViews>
  <sheetFormatPr defaultRowHeight="14.5"/>
  <cols>
    <col min="1" max="1" width="1.90625" customWidth="1"/>
    <col min="2" max="2" width="32.453125" bestFit="1" customWidth="1"/>
    <col min="3" max="9" width="12.1796875" customWidth="1"/>
    <col min="10" max="10" width="1.90625" customWidth="1"/>
  </cols>
  <sheetData>
    <row r="1" spans="1:10">
      <c r="A1" s="286"/>
      <c r="B1" s="395"/>
      <c r="C1" s="395"/>
      <c r="D1" s="395"/>
      <c r="E1" s="395"/>
      <c r="F1" s="395"/>
      <c r="G1" s="395"/>
      <c r="H1" s="395"/>
      <c r="I1" s="395"/>
      <c r="J1" s="286"/>
    </row>
    <row r="2" spans="1:10">
      <c r="A2" s="286"/>
      <c r="B2" s="286"/>
      <c r="C2" s="286"/>
      <c r="D2" s="286"/>
      <c r="E2" s="286"/>
      <c r="F2" s="286"/>
      <c r="G2" s="286"/>
      <c r="H2" s="286"/>
      <c r="I2" s="286"/>
      <c r="J2" s="286"/>
    </row>
    <row r="3" spans="1:10">
      <c r="A3" s="286"/>
      <c r="B3" s="286"/>
      <c r="C3" s="286"/>
      <c r="D3" s="286"/>
      <c r="E3" s="286"/>
      <c r="F3" s="286"/>
      <c r="G3" s="286"/>
      <c r="H3" s="286"/>
      <c r="I3" s="286"/>
      <c r="J3" s="286"/>
    </row>
    <row r="4" spans="1:10">
      <c r="A4" s="286"/>
      <c r="B4" s="286"/>
      <c r="C4" s="286"/>
      <c r="D4" s="286"/>
      <c r="E4" s="286"/>
      <c r="F4" s="286"/>
      <c r="G4" s="286"/>
      <c r="H4" s="286"/>
      <c r="I4" s="286"/>
      <c r="J4" s="286"/>
    </row>
    <row r="5" spans="1:10" ht="15.5">
      <c r="A5" s="286"/>
      <c r="B5" s="446" t="s">
        <v>465</v>
      </c>
      <c r="C5" s="446"/>
      <c r="D5" s="446"/>
      <c r="E5" s="446"/>
      <c r="F5" s="446"/>
      <c r="G5" s="446"/>
      <c r="H5" s="446"/>
      <c r="I5" s="446"/>
      <c r="J5" s="286"/>
    </row>
    <row r="6" spans="1:10">
      <c r="A6" s="286"/>
      <c r="B6" s="286"/>
      <c r="C6" s="288">
        <f>'Data Sheet'!E16</f>
        <v>43555</v>
      </c>
      <c r="D6" s="288">
        <f>'Data Sheet'!F16</f>
        <v>43921</v>
      </c>
      <c r="E6" s="288">
        <f>'Data Sheet'!G16</f>
        <v>44286</v>
      </c>
      <c r="F6" s="288">
        <f>'Data Sheet'!H16</f>
        <v>44651</v>
      </c>
      <c r="G6" s="288">
        <f>'Data Sheet'!I16</f>
        <v>45016</v>
      </c>
      <c r="H6" s="288">
        <f>'Data Sheet'!J16</f>
        <v>45382</v>
      </c>
      <c r="I6" s="288">
        <f>'Data Sheet'!K16</f>
        <v>45747</v>
      </c>
      <c r="J6" s="286"/>
    </row>
    <row r="7" spans="1:10">
      <c r="A7" s="286"/>
      <c r="B7" s="286" t="s">
        <v>30</v>
      </c>
      <c r="C7" s="290">
        <f>'Data Sheet'!E66-'Data Sheet'!E61</f>
        <v>7465.8699999999953</v>
      </c>
      <c r="D7" s="290">
        <f>'Data Sheet'!F66-'Data Sheet'!F61</f>
        <v>8828.2600000000093</v>
      </c>
      <c r="E7" s="290">
        <f>'Data Sheet'!G66-'Data Sheet'!G61</f>
        <v>13085.470000000001</v>
      </c>
      <c r="F7" s="290">
        <f>'Data Sheet'!H66-'Data Sheet'!H61</f>
        <v>12524.200000000012</v>
      </c>
      <c r="G7" s="290">
        <f>'Data Sheet'!I66-'Data Sheet'!I61</f>
        <v>6701.8099999999977</v>
      </c>
      <c r="H7" s="290">
        <f>'Data Sheet'!J66-'Data Sheet'!J61</f>
        <v>12228</v>
      </c>
      <c r="I7" s="290">
        <f>'Data Sheet'!K66-'Data Sheet'!K61</f>
        <v>-29475</v>
      </c>
      <c r="J7" s="286"/>
    </row>
    <row r="8" spans="1:10">
      <c r="A8" s="286"/>
      <c r="B8" s="286" t="s">
        <v>121</v>
      </c>
      <c r="C8" s="290">
        <f>'Data Sheet'!E67</f>
        <v>305703.49</v>
      </c>
      <c r="D8" s="290">
        <f>'Data Sheet'!F67</f>
        <v>320179.39</v>
      </c>
      <c r="E8" s="290">
        <f>'Data Sheet'!G67</f>
        <v>341569.91</v>
      </c>
      <c r="F8" s="290">
        <f>'Data Sheet'!H67</f>
        <v>329061.49</v>
      </c>
      <c r="G8" s="290">
        <f>'Data Sheet'!I67</f>
        <v>334674.43</v>
      </c>
      <c r="H8" s="290">
        <f>'Data Sheet'!J67</f>
        <v>369521</v>
      </c>
      <c r="I8" s="290">
        <f>'Data Sheet'!K67</f>
        <v>376973</v>
      </c>
      <c r="J8" s="286"/>
    </row>
    <row r="9" spans="1:10">
      <c r="A9" s="286"/>
      <c r="B9" s="298" t="s">
        <v>466</v>
      </c>
      <c r="C9" s="300">
        <f t="shared" ref="C9:I9" si="0">C7/C8</f>
        <v>2.4421932507214739E-2</v>
      </c>
      <c r="D9" s="300">
        <f t="shared" si="0"/>
        <v>2.7572855329632582E-2</v>
      </c>
      <c r="E9" s="300">
        <f t="shared" si="0"/>
        <v>3.8309785542877596E-2</v>
      </c>
      <c r="F9" s="300">
        <f t="shared" si="0"/>
        <v>3.8060363733234209E-2</v>
      </c>
      <c r="G9" s="300">
        <f t="shared" si="0"/>
        <v>2.002486416425658E-2</v>
      </c>
      <c r="H9" s="300">
        <f t="shared" si="0"/>
        <v>3.3091488711061073E-2</v>
      </c>
      <c r="I9" s="300">
        <f t="shared" si="0"/>
        <v>-7.8188623588426751E-2</v>
      </c>
      <c r="J9" s="286"/>
    </row>
    <row r="10" spans="1:10">
      <c r="A10" s="286"/>
      <c r="B10" s="286"/>
      <c r="C10" s="286"/>
      <c r="D10" s="286"/>
      <c r="E10" s="286"/>
      <c r="F10" s="286"/>
      <c r="G10" s="286"/>
      <c r="H10" s="286"/>
      <c r="I10" s="286"/>
      <c r="J10" s="286"/>
    </row>
    <row r="11" spans="1:10" ht="15.5">
      <c r="A11" s="286"/>
      <c r="B11" s="446" t="s">
        <v>467</v>
      </c>
      <c r="C11" s="446"/>
      <c r="D11" s="446"/>
      <c r="E11" s="446"/>
      <c r="F11" s="446"/>
      <c r="G11" s="446"/>
      <c r="H11" s="446"/>
      <c r="I11" s="446"/>
      <c r="J11" s="286"/>
    </row>
    <row r="12" spans="1:10">
      <c r="A12" s="286"/>
      <c r="B12" s="286"/>
      <c r="C12" s="288">
        <f t="shared" ref="C12:I12" si="1">C6</f>
        <v>43555</v>
      </c>
      <c r="D12" s="288">
        <f t="shared" si="1"/>
        <v>43921</v>
      </c>
      <c r="E12" s="288">
        <f t="shared" si="1"/>
        <v>44286</v>
      </c>
      <c r="F12" s="288">
        <f t="shared" si="1"/>
        <v>44651</v>
      </c>
      <c r="G12" s="288">
        <f t="shared" si="1"/>
        <v>45016</v>
      </c>
      <c r="H12" s="288">
        <f t="shared" si="1"/>
        <v>45382</v>
      </c>
      <c r="I12" s="288">
        <f t="shared" si="1"/>
        <v>45747</v>
      </c>
      <c r="J12" s="286"/>
    </row>
    <row r="13" spans="1:10">
      <c r="A13" s="286"/>
      <c r="B13" s="286" t="s">
        <v>115</v>
      </c>
      <c r="C13" s="290">
        <f>'Historical FS'!F42*'Historical FS'!F44*'Historical FS'!F50</f>
        <v>0</v>
      </c>
      <c r="D13" s="290">
        <f>'Historical FS'!G42*'Historical FS'!G44*'Historical FS'!G50</f>
        <v>0</v>
      </c>
      <c r="E13" s="290">
        <f>'Historical FS'!H42*'Historical FS'!H44*'Historical FS'!H50</f>
        <v>0</v>
      </c>
      <c r="F13" s="290">
        <f>'Historical FS'!I42*'Historical FS'!I44*'Historical FS'!I50</f>
        <v>0</v>
      </c>
      <c r="G13" s="290">
        <f>'Historical FS'!J42*'Historical FS'!J44*'Historical FS'!J50</f>
        <v>0</v>
      </c>
      <c r="H13" s="290">
        <f>'Historical FS'!K42*'Historical FS'!K44*'Historical FS'!K50</f>
        <v>24714.000000000004</v>
      </c>
      <c r="I13" s="290">
        <f>'Historical FS'!L42*'Historical FS'!L44*'Historical FS'!L50</f>
        <v>14167</v>
      </c>
      <c r="J13" s="286"/>
    </row>
    <row r="14" spans="1:10">
      <c r="A14" s="286"/>
      <c r="B14" s="286" t="s">
        <v>121</v>
      </c>
      <c r="C14" s="290">
        <f t="shared" ref="C14:I14" si="2">C$8</f>
        <v>305703.49</v>
      </c>
      <c r="D14" s="290">
        <f t="shared" si="2"/>
        <v>320179.39</v>
      </c>
      <c r="E14" s="290">
        <f t="shared" si="2"/>
        <v>341569.91</v>
      </c>
      <c r="F14" s="290">
        <f t="shared" si="2"/>
        <v>329061.49</v>
      </c>
      <c r="G14" s="290">
        <f t="shared" si="2"/>
        <v>334674.43</v>
      </c>
      <c r="H14" s="290">
        <f t="shared" si="2"/>
        <v>369521</v>
      </c>
      <c r="I14" s="290">
        <f t="shared" si="2"/>
        <v>376973</v>
      </c>
      <c r="J14" s="286"/>
    </row>
    <row r="15" spans="1:10">
      <c r="A15" s="286"/>
      <c r="B15" s="298" t="s">
        <v>468</v>
      </c>
      <c r="C15" s="300">
        <f t="shared" ref="C15:I15" si="3">C13/C14</f>
        <v>0</v>
      </c>
      <c r="D15" s="300">
        <f t="shared" si="3"/>
        <v>0</v>
      </c>
      <c r="E15" s="300">
        <f t="shared" si="3"/>
        <v>0</v>
      </c>
      <c r="F15" s="300">
        <f t="shared" si="3"/>
        <v>0</v>
      </c>
      <c r="G15" s="300">
        <f t="shared" si="3"/>
        <v>0</v>
      </c>
      <c r="H15" s="300">
        <f t="shared" si="3"/>
        <v>6.6881178606899211E-2</v>
      </c>
      <c r="I15" s="300">
        <f t="shared" si="3"/>
        <v>3.7580940810084541E-2</v>
      </c>
      <c r="J15" s="286"/>
    </row>
    <row r="16" spans="1:10">
      <c r="A16" s="286"/>
      <c r="B16" s="286"/>
      <c r="C16" s="286"/>
      <c r="D16" s="286"/>
      <c r="E16" s="286"/>
      <c r="F16" s="286"/>
      <c r="G16" s="286"/>
      <c r="H16" s="286"/>
      <c r="I16" s="286"/>
      <c r="J16" s="286"/>
    </row>
    <row r="17" spans="1:10" ht="15.5">
      <c r="A17" s="286"/>
      <c r="B17" s="446" t="s">
        <v>469</v>
      </c>
      <c r="C17" s="446"/>
      <c r="D17" s="446"/>
      <c r="E17" s="446"/>
      <c r="F17" s="446"/>
      <c r="G17" s="446"/>
      <c r="H17" s="446"/>
      <c r="I17" s="446"/>
      <c r="J17" s="286"/>
    </row>
    <row r="18" spans="1:10" ht="15.5">
      <c r="A18" s="291"/>
      <c r="B18" s="292"/>
      <c r="C18" s="293">
        <f t="shared" ref="C18:I18" si="4">C12</f>
        <v>43555</v>
      </c>
      <c r="D18" s="293">
        <f t="shared" si="4"/>
        <v>43921</v>
      </c>
      <c r="E18" s="293">
        <f t="shared" si="4"/>
        <v>44286</v>
      </c>
      <c r="F18" s="293">
        <f t="shared" si="4"/>
        <v>44651</v>
      </c>
      <c r="G18" s="293">
        <f t="shared" si="4"/>
        <v>45016</v>
      </c>
      <c r="H18" s="293">
        <f t="shared" si="4"/>
        <v>45382</v>
      </c>
      <c r="I18" s="293">
        <f t="shared" si="4"/>
        <v>45747</v>
      </c>
      <c r="J18" s="291"/>
    </row>
    <row r="19" spans="1:10">
      <c r="A19" s="286"/>
      <c r="B19" s="286" t="s">
        <v>271</v>
      </c>
      <c r="C19" s="290">
        <f>'Historical FS'!F24-'Historical FS'!F30</f>
        <v>1073.7000000000226</v>
      </c>
      <c r="D19" s="290">
        <f>'Historical FS'!G24-'Historical FS'!G30</f>
        <v>-3438.360000000037</v>
      </c>
      <c r="E19" s="290">
        <f>'Historical FS'!H24-'Historical FS'!H30</f>
        <v>8740.7200000000194</v>
      </c>
      <c r="F19" s="290">
        <f>'Historical FS'!I24-'Historical FS'!I30</f>
        <v>-115.6000000000131</v>
      </c>
      <c r="G19" s="290">
        <f>'Historical FS'!J24-'Historical FS'!J30</f>
        <v>6955.4399999999587</v>
      </c>
      <c r="H19" s="290">
        <f>'Historical FS'!K24-'Historical FS'!K30</f>
        <v>30585</v>
      </c>
      <c r="I19" s="290">
        <f>'Historical FS'!L24-'Historical FS'!L30</f>
        <v>31960</v>
      </c>
      <c r="J19" s="286"/>
    </row>
    <row r="20" spans="1:10">
      <c r="A20" s="286"/>
      <c r="B20" s="286" t="s">
        <v>121</v>
      </c>
      <c r="C20" s="290">
        <f t="shared" ref="C20:I20" si="5">C$8</f>
        <v>305703.49</v>
      </c>
      <c r="D20" s="290">
        <f t="shared" si="5"/>
        <v>320179.39</v>
      </c>
      <c r="E20" s="290">
        <f t="shared" si="5"/>
        <v>341569.91</v>
      </c>
      <c r="F20" s="290">
        <f t="shared" si="5"/>
        <v>329061.49</v>
      </c>
      <c r="G20" s="290">
        <f t="shared" si="5"/>
        <v>334674.43</v>
      </c>
      <c r="H20" s="290">
        <f t="shared" si="5"/>
        <v>369521</v>
      </c>
      <c r="I20" s="290">
        <f t="shared" si="5"/>
        <v>376973</v>
      </c>
      <c r="J20" s="286"/>
    </row>
    <row r="21" spans="1:10">
      <c r="A21" s="286"/>
      <c r="B21" s="298" t="s">
        <v>470</v>
      </c>
      <c r="C21" s="300">
        <f t="shared" ref="C21:I21" si="6">C19/C20</f>
        <v>3.5122268312999063E-3</v>
      </c>
      <c r="D21" s="300">
        <f t="shared" si="6"/>
        <v>-1.0738854865080593E-2</v>
      </c>
      <c r="E21" s="300">
        <f t="shared" si="6"/>
        <v>2.5589841915524759E-2</v>
      </c>
      <c r="F21" s="300">
        <f t="shared" si="6"/>
        <v>-3.5130212289506468E-4</v>
      </c>
      <c r="G21" s="300">
        <f t="shared" si="6"/>
        <v>2.0782705150196142E-2</v>
      </c>
      <c r="H21" s="300">
        <f t="shared" si="6"/>
        <v>8.2769314869790889E-2</v>
      </c>
      <c r="I21" s="300">
        <f t="shared" si="6"/>
        <v>8.4780607629724142E-2</v>
      </c>
      <c r="J21" s="286"/>
    </row>
    <row r="22" spans="1:10">
      <c r="A22" s="286"/>
      <c r="B22" s="286"/>
      <c r="C22" s="286"/>
      <c r="D22" s="286"/>
      <c r="E22" s="286"/>
      <c r="F22" s="286"/>
      <c r="G22" s="286"/>
      <c r="H22" s="286"/>
      <c r="I22" s="286"/>
      <c r="J22" s="286"/>
    </row>
    <row r="23" spans="1:10" ht="15.5">
      <c r="A23" s="286"/>
      <c r="B23" s="446" t="s">
        <v>471</v>
      </c>
      <c r="C23" s="446"/>
      <c r="D23" s="446"/>
      <c r="E23" s="446"/>
      <c r="F23" s="446"/>
      <c r="G23" s="446"/>
      <c r="H23" s="446"/>
      <c r="I23" s="446"/>
      <c r="J23" s="286"/>
    </row>
    <row r="24" spans="1:10">
      <c r="A24" s="294"/>
      <c r="B24" s="295"/>
      <c r="C24" s="293">
        <f t="shared" ref="C24:I24" si="7">C18</f>
        <v>43555</v>
      </c>
      <c r="D24" s="293">
        <f t="shared" si="7"/>
        <v>43921</v>
      </c>
      <c r="E24" s="293">
        <f t="shared" si="7"/>
        <v>44286</v>
      </c>
      <c r="F24" s="293">
        <f t="shared" si="7"/>
        <v>44651</v>
      </c>
      <c r="G24" s="293">
        <f t="shared" si="7"/>
        <v>45016</v>
      </c>
      <c r="H24" s="293">
        <f t="shared" si="7"/>
        <v>45382</v>
      </c>
      <c r="I24" s="293">
        <f t="shared" si="7"/>
        <v>45747</v>
      </c>
      <c r="J24" s="294"/>
    </row>
    <row r="25" spans="1:10">
      <c r="A25" s="286"/>
      <c r="B25" s="286" t="s">
        <v>407</v>
      </c>
      <c r="C25" s="290">
        <f>('Data Sheet'!E71*'Data Sheet'!E91)/10000000</f>
        <v>59177.055028575</v>
      </c>
      <c r="D25" s="290">
        <f>('Data Sheet'!F71*'Data Sheet'!F91)/10000000</f>
        <v>25561.844544424999</v>
      </c>
      <c r="E25" s="290">
        <f>('Data Sheet'!G71*'Data Sheet'!G91)/10000000</f>
        <v>115561.05074898001</v>
      </c>
      <c r="F25" s="290">
        <f>('Data Sheet'!H71*'Data Sheet'!H91)/10000000</f>
        <v>166100.87141762499</v>
      </c>
      <c r="G25" s="290">
        <f>('Data Sheet'!I71*'Data Sheet'!I91)/10000000</f>
        <v>161170.49105968</v>
      </c>
      <c r="H25" s="290">
        <f>('Data Sheet'!J71*'Data Sheet'!J91)/10000000</f>
        <v>380489.79553415999</v>
      </c>
      <c r="I25" s="290">
        <f>('Data Sheet'!K71*'Data Sheet'!K91)/10000000</f>
        <v>248288.56590419004</v>
      </c>
      <c r="J25" s="286"/>
    </row>
    <row r="26" spans="1:10">
      <c r="A26" s="286"/>
      <c r="B26" s="286" t="s">
        <v>472</v>
      </c>
      <c r="C26" s="290">
        <f>'Data Sheet'!E60</f>
        <v>106175.34</v>
      </c>
      <c r="D26" s="290">
        <f>'Data Sheet'!F60</f>
        <v>124787.64</v>
      </c>
      <c r="E26" s="290">
        <f>'Data Sheet'!G60</f>
        <v>142130.57</v>
      </c>
      <c r="F26" s="290">
        <f>'Data Sheet'!H60</f>
        <v>146449.03</v>
      </c>
      <c r="G26" s="290">
        <f>'Data Sheet'!I60</f>
        <v>134113.44</v>
      </c>
      <c r="H26" s="290">
        <f>'Data Sheet'!J60</f>
        <v>107264</v>
      </c>
      <c r="I26" s="290">
        <f>'Data Sheet'!K60</f>
        <v>71540</v>
      </c>
      <c r="J26" s="286"/>
    </row>
    <row r="27" spans="1:10">
      <c r="A27" s="286"/>
      <c r="B27" s="298" t="s">
        <v>473</v>
      </c>
      <c r="C27" s="300">
        <f t="shared" ref="C27:I27" si="8">C25/C26</f>
        <v>0.55735215944281413</v>
      </c>
      <c r="D27" s="300">
        <f t="shared" si="8"/>
        <v>0.2048427596228681</v>
      </c>
      <c r="E27" s="300">
        <f t="shared" si="8"/>
        <v>0.81306259975584427</v>
      </c>
      <c r="F27" s="300">
        <f t="shared" si="8"/>
        <v>1.1341889489990136</v>
      </c>
      <c r="G27" s="300">
        <f t="shared" si="8"/>
        <v>1.2017474986823096</v>
      </c>
      <c r="H27" s="300">
        <f t="shared" si="8"/>
        <v>3.5472273599172133</v>
      </c>
      <c r="I27" s="300">
        <f t="shared" si="8"/>
        <v>3.4706257464941297</v>
      </c>
      <c r="J27" s="286"/>
    </row>
    <row r="28" spans="1:10">
      <c r="A28" s="286"/>
      <c r="B28" s="286"/>
      <c r="C28" s="286"/>
      <c r="D28" s="286"/>
      <c r="E28" s="286"/>
      <c r="F28" s="286"/>
      <c r="G28" s="286"/>
      <c r="H28" s="286"/>
      <c r="I28" s="286"/>
      <c r="J28" s="286"/>
    </row>
    <row r="29" spans="1:10" ht="15.5">
      <c r="A29" s="286"/>
      <c r="B29" s="446" t="s">
        <v>474</v>
      </c>
      <c r="C29" s="446"/>
      <c r="D29" s="446"/>
      <c r="E29" s="446"/>
      <c r="F29" s="446"/>
      <c r="G29" s="446"/>
      <c r="H29" s="446"/>
      <c r="I29" s="446"/>
      <c r="J29" s="286"/>
    </row>
    <row r="30" spans="1:10">
      <c r="A30" s="286"/>
      <c r="B30" s="286"/>
      <c r="C30" s="288">
        <f t="shared" ref="C30:I30" si="9">C12</f>
        <v>43555</v>
      </c>
      <c r="D30" s="288">
        <f t="shared" si="9"/>
        <v>43921</v>
      </c>
      <c r="E30" s="288">
        <f t="shared" si="9"/>
        <v>44286</v>
      </c>
      <c r="F30" s="288">
        <f t="shared" si="9"/>
        <v>44651</v>
      </c>
      <c r="G30" s="288">
        <f t="shared" si="9"/>
        <v>45016</v>
      </c>
      <c r="H30" s="288">
        <f t="shared" si="9"/>
        <v>45382</v>
      </c>
      <c r="I30" s="288">
        <f t="shared" si="9"/>
        <v>45747</v>
      </c>
      <c r="J30" s="286"/>
    </row>
    <row r="31" spans="1:10">
      <c r="A31" s="286"/>
      <c r="B31" s="286" t="s">
        <v>475</v>
      </c>
      <c r="C31" s="290">
        <f>'Data Sheet'!E17</f>
        <v>301938.40000000002</v>
      </c>
      <c r="D31" s="290">
        <f>'Data Sheet'!F17</f>
        <v>261067.97</v>
      </c>
      <c r="E31" s="290">
        <f>'Data Sheet'!G17</f>
        <v>249794.75</v>
      </c>
      <c r="F31" s="290">
        <f>'Data Sheet'!H17</f>
        <v>278453.62</v>
      </c>
      <c r="G31" s="290">
        <f>'Data Sheet'!I17</f>
        <v>345966.97</v>
      </c>
      <c r="H31" s="290">
        <f>'Data Sheet'!J17</f>
        <v>434016</v>
      </c>
      <c r="I31" s="290">
        <f>'Data Sheet'!K17</f>
        <v>439695</v>
      </c>
      <c r="J31" s="286"/>
    </row>
    <row r="32" spans="1:10">
      <c r="A32" s="286"/>
      <c r="B32" s="286" t="s">
        <v>121</v>
      </c>
      <c r="C32" s="290">
        <f t="shared" ref="C32:I32" si="10">C20</f>
        <v>305703.49</v>
      </c>
      <c r="D32" s="290">
        <f t="shared" si="10"/>
        <v>320179.39</v>
      </c>
      <c r="E32" s="290">
        <f t="shared" si="10"/>
        <v>341569.91</v>
      </c>
      <c r="F32" s="290">
        <f t="shared" si="10"/>
        <v>329061.49</v>
      </c>
      <c r="G32" s="290">
        <f t="shared" si="10"/>
        <v>334674.43</v>
      </c>
      <c r="H32" s="290">
        <f t="shared" si="10"/>
        <v>369521</v>
      </c>
      <c r="I32" s="290">
        <f t="shared" si="10"/>
        <v>376973</v>
      </c>
      <c r="J32" s="286"/>
    </row>
    <row r="33" spans="1:10">
      <c r="A33" s="286"/>
      <c r="B33" s="298" t="s">
        <v>476</v>
      </c>
      <c r="C33" s="300">
        <f t="shared" ref="C33:I33" si="11">C31/C32</f>
        <v>0.98768385012549265</v>
      </c>
      <c r="D33" s="300">
        <f t="shared" si="11"/>
        <v>0.81538030914482029</v>
      </c>
      <c r="E33" s="300">
        <f t="shared" si="11"/>
        <v>0.73131368626703686</v>
      </c>
      <c r="F33" s="300">
        <f t="shared" si="11"/>
        <v>0.84620543108827473</v>
      </c>
      <c r="G33" s="300">
        <f t="shared" si="11"/>
        <v>1.0337418666851841</v>
      </c>
      <c r="H33" s="300">
        <f t="shared" si="11"/>
        <v>1.1745367651635497</v>
      </c>
      <c r="I33" s="300">
        <f t="shared" si="11"/>
        <v>1.1663832688282716</v>
      </c>
      <c r="J33" s="286"/>
    </row>
    <row r="34" spans="1:10">
      <c r="A34" s="286"/>
      <c r="B34" s="286"/>
      <c r="C34" s="286"/>
      <c r="D34" s="286"/>
      <c r="E34" s="286"/>
      <c r="F34" s="286"/>
      <c r="G34" s="286"/>
      <c r="H34" s="286"/>
      <c r="I34" s="286"/>
      <c r="J34" s="286"/>
    </row>
    <row r="35" spans="1:10" ht="15.5">
      <c r="A35" s="286"/>
      <c r="B35" s="446" t="s">
        <v>477</v>
      </c>
      <c r="C35" s="446"/>
      <c r="D35" s="446"/>
      <c r="E35" s="446"/>
      <c r="F35" s="446"/>
      <c r="G35" s="446"/>
      <c r="H35" s="446"/>
      <c r="I35" s="446"/>
      <c r="J35" s="286"/>
    </row>
    <row r="36" spans="1:10">
      <c r="A36" s="286"/>
      <c r="B36" s="286"/>
      <c r="C36" s="288">
        <f t="shared" ref="C36:I36" si="12">C30</f>
        <v>43555</v>
      </c>
      <c r="D36" s="288">
        <f t="shared" si="12"/>
        <v>43921</v>
      </c>
      <c r="E36" s="288">
        <f t="shared" si="12"/>
        <v>44286</v>
      </c>
      <c r="F36" s="288">
        <f t="shared" si="12"/>
        <v>44651</v>
      </c>
      <c r="G36" s="288">
        <f t="shared" si="12"/>
        <v>45016</v>
      </c>
      <c r="H36" s="288">
        <f t="shared" si="12"/>
        <v>45382</v>
      </c>
      <c r="I36" s="288">
        <f t="shared" si="12"/>
        <v>45747</v>
      </c>
      <c r="J36" s="286"/>
    </row>
    <row r="37" spans="1:10">
      <c r="A37" s="286"/>
      <c r="B37" s="298" t="s">
        <v>478</v>
      </c>
      <c r="C37" s="299">
        <f t="shared" ref="C37:I37" si="13">(C9*1.2)+(C15*1.4)+(C21*3.3)+(C27*0.6)+(C33*1)</f>
        <v>1.3629918133431285</v>
      </c>
      <c r="D37" s="299">
        <f t="shared" si="13"/>
        <v>0.93593517025933426</v>
      </c>
      <c r="E37" s="299">
        <f t="shared" si="13"/>
        <v>1.3495694670932283</v>
      </c>
      <c r="F37" s="299">
        <f t="shared" si="13"/>
        <v>1.57123193996201</v>
      </c>
      <c r="G37" s="299">
        <f t="shared" si="13"/>
        <v>1.847403129887325</v>
      </c>
      <c r="H37" s="299">
        <f t="shared" si="13"/>
        <v>3.7093553566871198</v>
      </c>
      <c r="I37" s="299">
        <f t="shared" si="13"/>
        <v>3.4873216907308446</v>
      </c>
      <c r="J37" s="286"/>
    </row>
    <row r="38" spans="1:10">
      <c r="A38" s="286"/>
      <c r="B38" s="289" t="s">
        <v>479</v>
      </c>
      <c r="C38" s="396" t="str">
        <f t="shared" ref="C38:I38" si="14">IF(C37&lt;1.81," Distressed",IF(C37&gt;3,"Strong","Grey Zone"))</f>
        <v xml:space="preserve"> Distressed</v>
      </c>
      <c r="D38" s="396" t="str">
        <f t="shared" si="14"/>
        <v xml:space="preserve"> Distressed</v>
      </c>
      <c r="E38" s="396" t="str">
        <f t="shared" si="14"/>
        <v xml:space="preserve"> Distressed</v>
      </c>
      <c r="F38" s="396" t="str">
        <f t="shared" si="14"/>
        <v xml:space="preserve"> Distressed</v>
      </c>
      <c r="G38" s="396" t="str">
        <f t="shared" si="14"/>
        <v>Grey Zone</v>
      </c>
      <c r="H38" s="396" t="str">
        <f t="shared" si="14"/>
        <v>Strong</v>
      </c>
      <c r="I38" s="396" t="str">
        <f t="shared" si="14"/>
        <v>Strong</v>
      </c>
      <c r="J38" s="286"/>
    </row>
    <row r="39" spans="1:10">
      <c r="A39" s="286"/>
      <c r="B39" s="286"/>
      <c r="C39" s="286"/>
      <c r="D39" s="286"/>
      <c r="E39" s="286"/>
      <c r="F39" s="286"/>
      <c r="G39" s="286"/>
      <c r="H39" s="286"/>
      <c r="I39" s="286"/>
      <c r="J39" s="286"/>
    </row>
    <row r="40" spans="1:10">
      <c r="A40" s="286"/>
      <c r="B40" s="286"/>
      <c r="C40" s="286"/>
      <c r="D40" s="286"/>
      <c r="E40" s="286"/>
      <c r="F40" s="286"/>
      <c r="G40" s="286"/>
      <c r="H40" s="286"/>
      <c r="I40" s="286"/>
      <c r="J40" s="286"/>
    </row>
    <row r="41" spans="1:10">
      <c r="A41" s="286"/>
      <c r="B41" s="286"/>
      <c r="C41" s="286"/>
      <c r="D41" s="286"/>
      <c r="E41" s="286"/>
      <c r="F41" s="286"/>
      <c r="G41" s="286"/>
      <c r="H41" s="286"/>
      <c r="I41" s="286"/>
      <c r="J41" s="286"/>
    </row>
    <row r="42" spans="1:10">
      <c r="A42" s="286"/>
      <c r="B42" s="395"/>
      <c r="C42" s="395"/>
      <c r="D42" s="395"/>
      <c r="E42" s="395"/>
      <c r="F42" s="395"/>
      <c r="G42" s="395"/>
      <c r="H42" s="395"/>
      <c r="I42" s="395"/>
      <c r="J42" s="286"/>
    </row>
    <row r="43" spans="1:10">
      <c r="A43" s="286"/>
      <c r="B43" s="286"/>
      <c r="C43" s="286"/>
      <c r="D43" s="286"/>
      <c r="E43" s="286"/>
      <c r="F43" s="286"/>
      <c r="G43" s="286"/>
      <c r="H43" s="286"/>
      <c r="I43" s="286"/>
      <c r="J43" s="286"/>
    </row>
  </sheetData>
  <mergeCells count="6">
    <mergeCell ref="B29:I29"/>
    <mergeCell ref="B35:I35"/>
    <mergeCell ref="B5:I5"/>
    <mergeCell ref="B11:I11"/>
    <mergeCell ref="B17:I17"/>
    <mergeCell ref="B23:I23"/>
  </mergeCells>
  <pageMargins left="0.7" right="0.7" top="0.75" bottom="0.75" header="0.3" footer="0.3"/>
  <pageSetup scale="74"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4B4E1-3BFE-4250-833C-F521C9CEB323}">
  <sheetPr codeName="Sheet35">
    <tabColor theme="9" tint="0.59999389629810485"/>
  </sheetPr>
  <dimension ref="A1"/>
  <sheetViews>
    <sheetView topLeftCell="D1" workbookViewId="0">
      <selection activeCell="M14" sqref="M14"/>
    </sheetView>
  </sheetViews>
  <sheetFormatPr defaultRowHeight="14.5"/>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08647-D4AA-41E2-87A8-7B6C3131E0B9}">
  <sheetPr codeName="Sheet36"/>
  <dimension ref="B2:J1283"/>
  <sheetViews>
    <sheetView showGridLines="0" zoomScale="106" workbookViewId="0">
      <selection activeCell="D9" sqref="D9"/>
    </sheetView>
  </sheetViews>
  <sheetFormatPr defaultRowHeight="14.5"/>
  <cols>
    <col min="1" max="1" width="1.90625" style="306" customWidth="1"/>
    <col min="2" max="2" width="10.08984375" style="306" bestFit="1" customWidth="1"/>
    <col min="3" max="3" width="13.36328125" style="306" customWidth="1"/>
    <col min="4" max="4" width="19.26953125" style="306" bestFit="1" customWidth="1"/>
    <col min="5" max="5" width="29.54296875" style="306" bestFit="1" customWidth="1"/>
    <col min="6" max="6" width="17.81640625" style="306" customWidth="1"/>
    <col min="7" max="16384" width="8.7265625" style="306"/>
  </cols>
  <sheetData>
    <row r="2" spans="2:9">
      <c r="B2" s="376" t="s">
        <v>1603</v>
      </c>
    </row>
    <row r="4" spans="2:9">
      <c r="B4" s="375" t="s">
        <v>362</v>
      </c>
      <c r="C4" s="375" t="s">
        <v>510</v>
      </c>
      <c r="D4" s="375" t="s">
        <v>58</v>
      </c>
      <c r="E4" s="375" t="s">
        <v>511</v>
      </c>
      <c r="F4" s="375" t="s">
        <v>398</v>
      </c>
      <c r="G4" s="375" t="s">
        <v>401</v>
      </c>
      <c r="H4" s="375" t="s">
        <v>510</v>
      </c>
      <c r="I4" s="375" t="s">
        <v>512</v>
      </c>
    </row>
    <row r="5" spans="2:9">
      <c r="B5" s="307">
        <v>44063</v>
      </c>
      <c r="C5" s="306">
        <v>43.53</v>
      </c>
      <c r="D5" s="306">
        <v>121.7</v>
      </c>
      <c r="E5" s="306">
        <v>123.45</v>
      </c>
      <c r="F5" s="306">
        <v>125.65</v>
      </c>
      <c r="G5" s="306">
        <v>121.1</v>
      </c>
      <c r="H5" s="306" t="s">
        <v>513</v>
      </c>
      <c r="I5" s="308">
        <v>-2.76E-2</v>
      </c>
    </row>
    <row r="6" spans="2:9">
      <c r="B6" s="307">
        <v>44064</v>
      </c>
      <c r="C6" s="306">
        <v>48.65</v>
      </c>
      <c r="D6" s="306">
        <v>120.9</v>
      </c>
      <c r="E6" s="306">
        <v>124.2</v>
      </c>
      <c r="F6" s="306">
        <v>124.2</v>
      </c>
      <c r="G6" s="306">
        <v>120.15</v>
      </c>
      <c r="H6" s="306" t="s">
        <v>514</v>
      </c>
      <c r="I6" s="308">
        <v>-6.6E-3</v>
      </c>
    </row>
    <row r="7" spans="2:9">
      <c r="B7" s="307">
        <v>44067</v>
      </c>
      <c r="C7" s="306">
        <v>31.3</v>
      </c>
      <c r="D7" s="306">
        <v>121.2</v>
      </c>
      <c r="E7" s="306">
        <v>122</v>
      </c>
      <c r="F7" s="306">
        <v>123</v>
      </c>
      <c r="G7" s="306">
        <v>120.8</v>
      </c>
      <c r="H7" s="306" t="s">
        <v>515</v>
      </c>
      <c r="I7" s="308">
        <v>2.5000000000000001E-3</v>
      </c>
    </row>
    <row r="8" spans="2:9">
      <c r="B8" s="307">
        <v>44068</v>
      </c>
      <c r="C8" s="306">
        <v>90.27</v>
      </c>
      <c r="D8" s="306">
        <v>127.1</v>
      </c>
      <c r="E8" s="306">
        <v>121.8</v>
      </c>
      <c r="F8" s="306">
        <v>128.35</v>
      </c>
      <c r="G8" s="306">
        <v>121.1</v>
      </c>
      <c r="H8" s="306" t="s">
        <v>516</v>
      </c>
      <c r="I8" s="308">
        <v>4.87E-2</v>
      </c>
    </row>
    <row r="9" spans="2:9">
      <c r="B9" s="307">
        <v>44069</v>
      </c>
      <c r="C9" s="306">
        <v>197.52</v>
      </c>
      <c r="D9" s="306">
        <v>137.9</v>
      </c>
      <c r="E9" s="306">
        <v>130.5</v>
      </c>
      <c r="F9" s="306">
        <v>139</v>
      </c>
      <c r="G9" s="306">
        <v>128.35</v>
      </c>
      <c r="H9" s="306" t="s">
        <v>517</v>
      </c>
      <c r="I9" s="308">
        <v>8.5000000000000006E-2</v>
      </c>
    </row>
    <row r="10" spans="2:9">
      <c r="B10" s="307">
        <v>44070</v>
      </c>
      <c r="C10" s="306">
        <v>181.38</v>
      </c>
      <c r="D10" s="306">
        <v>144.25</v>
      </c>
      <c r="E10" s="306">
        <v>140.1</v>
      </c>
      <c r="F10" s="306">
        <v>146.85</v>
      </c>
      <c r="G10" s="306">
        <v>139.30000000000001</v>
      </c>
      <c r="H10" s="306" t="s">
        <v>518</v>
      </c>
      <c r="I10" s="308">
        <v>4.5999999999999999E-2</v>
      </c>
    </row>
    <row r="11" spans="2:9">
      <c r="B11" s="307">
        <v>44071</v>
      </c>
      <c r="C11" s="306">
        <v>95.2</v>
      </c>
      <c r="D11" s="306">
        <v>142.80000000000001</v>
      </c>
      <c r="E11" s="306">
        <v>144.15</v>
      </c>
      <c r="F11" s="306">
        <v>146.19999999999999</v>
      </c>
      <c r="G11" s="306">
        <v>140.5</v>
      </c>
      <c r="H11" s="306" t="s">
        <v>519</v>
      </c>
      <c r="I11" s="308">
        <v>-1.01E-2</v>
      </c>
    </row>
    <row r="12" spans="2:9">
      <c r="B12" s="307">
        <v>44074</v>
      </c>
      <c r="C12" s="306">
        <v>160.56</v>
      </c>
      <c r="D12" s="306">
        <v>143.19999999999999</v>
      </c>
      <c r="E12" s="306">
        <v>144.5</v>
      </c>
      <c r="F12" s="306">
        <v>147.94999999999999</v>
      </c>
      <c r="G12" s="306">
        <v>138.19999999999999</v>
      </c>
      <c r="H12" s="306" t="s">
        <v>520</v>
      </c>
      <c r="I12" s="308">
        <v>2.8E-3</v>
      </c>
    </row>
    <row r="13" spans="2:9">
      <c r="B13" s="307">
        <v>44075</v>
      </c>
      <c r="C13" s="306">
        <v>58.81</v>
      </c>
      <c r="D13" s="306">
        <v>143.80000000000001</v>
      </c>
      <c r="E13" s="306">
        <v>143.4</v>
      </c>
      <c r="F13" s="306">
        <v>145.15</v>
      </c>
      <c r="G13" s="306">
        <v>140.4</v>
      </c>
      <c r="H13" s="306" t="s">
        <v>521</v>
      </c>
      <c r="I13" s="308">
        <v>4.1999999999999997E-3</v>
      </c>
    </row>
    <row r="14" spans="2:9">
      <c r="B14" s="307">
        <v>44076</v>
      </c>
      <c r="C14" s="306">
        <v>74.95</v>
      </c>
      <c r="D14" s="306">
        <v>150.30000000000001</v>
      </c>
      <c r="E14" s="306">
        <v>144.30000000000001</v>
      </c>
      <c r="F14" s="306">
        <v>151.65</v>
      </c>
      <c r="G14" s="306">
        <v>141.44999999999999</v>
      </c>
      <c r="H14" s="306" t="s">
        <v>522</v>
      </c>
      <c r="I14" s="308">
        <v>4.5199999999999997E-2</v>
      </c>
    </row>
    <row r="15" spans="2:9">
      <c r="B15" s="307">
        <v>44077</v>
      </c>
      <c r="C15" s="306">
        <v>110.16</v>
      </c>
      <c r="D15" s="306">
        <v>151.85</v>
      </c>
      <c r="E15" s="306">
        <v>151.6</v>
      </c>
      <c r="F15" s="306">
        <v>155.19999999999999</v>
      </c>
      <c r="G15" s="306">
        <v>149.55000000000001</v>
      </c>
      <c r="H15" s="306" t="s">
        <v>523</v>
      </c>
      <c r="I15" s="308">
        <v>1.03E-2</v>
      </c>
    </row>
    <row r="16" spans="2:9">
      <c r="B16" s="307">
        <v>44078</v>
      </c>
      <c r="C16" s="306">
        <v>95.57</v>
      </c>
      <c r="D16" s="306">
        <v>147.80000000000001</v>
      </c>
      <c r="E16" s="306">
        <v>147.9</v>
      </c>
      <c r="F16" s="306">
        <v>153.65</v>
      </c>
      <c r="G16" s="306">
        <v>147</v>
      </c>
      <c r="H16" s="306" t="s">
        <v>524</v>
      </c>
      <c r="I16" s="308">
        <v>-2.6700000000000002E-2</v>
      </c>
    </row>
    <row r="17" spans="2:9">
      <c r="B17" s="307">
        <v>44081</v>
      </c>
      <c r="C17" s="306">
        <v>82.62</v>
      </c>
      <c r="D17" s="306">
        <v>149.4</v>
      </c>
      <c r="E17" s="306">
        <v>150</v>
      </c>
      <c r="F17" s="306">
        <v>152</v>
      </c>
      <c r="G17" s="306">
        <v>148</v>
      </c>
      <c r="H17" s="306" t="s">
        <v>525</v>
      </c>
      <c r="I17" s="308">
        <v>1.0800000000000001E-2</v>
      </c>
    </row>
    <row r="18" spans="2:9">
      <c r="B18" s="307">
        <v>44082</v>
      </c>
      <c r="C18" s="306">
        <v>76.3</v>
      </c>
      <c r="D18" s="306">
        <v>142.30000000000001</v>
      </c>
      <c r="E18" s="306">
        <v>149.44999999999999</v>
      </c>
      <c r="F18" s="306">
        <v>149.6</v>
      </c>
      <c r="G18" s="306">
        <v>141.19999999999999</v>
      </c>
      <c r="H18" s="306" t="s">
        <v>526</v>
      </c>
      <c r="I18" s="308">
        <v>-4.7500000000000001E-2</v>
      </c>
    </row>
    <row r="19" spans="2:9">
      <c r="B19" s="307">
        <v>44083</v>
      </c>
      <c r="C19" s="306">
        <v>105.36</v>
      </c>
      <c r="D19" s="306">
        <v>140.1</v>
      </c>
      <c r="E19" s="306">
        <v>141</v>
      </c>
      <c r="F19" s="306">
        <v>141.75</v>
      </c>
      <c r="G19" s="306">
        <v>135.69999999999999</v>
      </c>
      <c r="H19" s="306" t="s">
        <v>527</v>
      </c>
      <c r="I19" s="308">
        <v>-1.55E-2</v>
      </c>
    </row>
    <row r="20" spans="2:9">
      <c r="B20" s="307">
        <v>44084</v>
      </c>
      <c r="C20" s="306">
        <v>79.61</v>
      </c>
      <c r="D20" s="306">
        <v>143.30000000000001</v>
      </c>
      <c r="E20" s="306">
        <v>142.80000000000001</v>
      </c>
      <c r="F20" s="306">
        <v>144.5</v>
      </c>
      <c r="G20" s="306">
        <v>138</v>
      </c>
      <c r="H20" s="306" t="s">
        <v>528</v>
      </c>
      <c r="I20" s="308">
        <v>2.2800000000000001E-2</v>
      </c>
    </row>
    <row r="21" spans="2:9">
      <c r="B21" s="307">
        <v>44085</v>
      </c>
      <c r="C21" s="306">
        <v>65.14</v>
      </c>
      <c r="D21" s="306">
        <v>144.30000000000001</v>
      </c>
      <c r="E21" s="306">
        <v>143.1</v>
      </c>
      <c r="F21" s="306">
        <v>146.80000000000001</v>
      </c>
      <c r="G21" s="306">
        <v>141.65</v>
      </c>
      <c r="H21" s="306" t="s">
        <v>529</v>
      </c>
      <c r="I21" s="308">
        <v>7.0000000000000001E-3</v>
      </c>
    </row>
    <row r="22" spans="2:9">
      <c r="B22" s="307">
        <v>44088</v>
      </c>
      <c r="C22" s="306">
        <v>84.51</v>
      </c>
      <c r="D22" s="306">
        <v>148.55000000000001</v>
      </c>
      <c r="E22" s="306">
        <v>147.19999999999999</v>
      </c>
      <c r="F22" s="306">
        <v>151.1</v>
      </c>
      <c r="G22" s="306">
        <v>145.5</v>
      </c>
      <c r="H22" s="306" t="s">
        <v>530</v>
      </c>
      <c r="I22" s="308">
        <v>2.9499999999999998E-2</v>
      </c>
    </row>
    <row r="23" spans="2:9">
      <c r="B23" s="307">
        <v>44089</v>
      </c>
      <c r="C23" s="306">
        <v>42.89</v>
      </c>
      <c r="D23" s="306">
        <v>148.4</v>
      </c>
      <c r="E23" s="306">
        <v>149.4</v>
      </c>
      <c r="F23" s="306">
        <v>149.4</v>
      </c>
      <c r="G23" s="306">
        <v>146.55000000000001</v>
      </c>
      <c r="H23" s="306" t="s">
        <v>531</v>
      </c>
      <c r="I23" s="308">
        <v>-1E-3</v>
      </c>
    </row>
    <row r="24" spans="2:9">
      <c r="B24" s="307">
        <v>44090</v>
      </c>
      <c r="C24" s="306">
        <v>85.06</v>
      </c>
      <c r="D24" s="306">
        <v>151.44999999999999</v>
      </c>
      <c r="E24" s="306">
        <v>149.19999999999999</v>
      </c>
      <c r="F24" s="306">
        <v>154.30000000000001</v>
      </c>
      <c r="G24" s="306">
        <v>148.55000000000001</v>
      </c>
      <c r="H24" s="306" t="s">
        <v>532</v>
      </c>
      <c r="I24" s="308">
        <v>2.06E-2</v>
      </c>
    </row>
    <row r="25" spans="2:9">
      <c r="B25" s="307">
        <v>44091</v>
      </c>
      <c r="C25" s="306">
        <v>48.12</v>
      </c>
      <c r="D25" s="306">
        <v>147.65</v>
      </c>
      <c r="E25" s="306">
        <v>150.80000000000001</v>
      </c>
      <c r="F25" s="306">
        <v>151</v>
      </c>
      <c r="G25" s="306">
        <v>146.19999999999999</v>
      </c>
      <c r="H25" s="306" t="s">
        <v>533</v>
      </c>
      <c r="I25" s="308">
        <v>-2.5100000000000001E-2</v>
      </c>
    </row>
    <row r="26" spans="2:9">
      <c r="B26" s="307">
        <v>44092</v>
      </c>
      <c r="C26" s="306">
        <v>46.27</v>
      </c>
      <c r="D26" s="306">
        <v>147.9</v>
      </c>
      <c r="E26" s="306">
        <v>148.69999999999999</v>
      </c>
      <c r="F26" s="306">
        <v>150.5</v>
      </c>
      <c r="G26" s="306">
        <v>146.25</v>
      </c>
      <c r="H26" s="306" t="s">
        <v>534</v>
      </c>
      <c r="I26" s="308">
        <v>1.6999999999999999E-3</v>
      </c>
    </row>
    <row r="27" spans="2:9">
      <c r="B27" s="307">
        <v>44095</v>
      </c>
      <c r="C27" s="306">
        <v>64.739999999999995</v>
      </c>
      <c r="D27" s="306">
        <v>137.44999999999999</v>
      </c>
      <c r="E27" s="306">
        <v>147.75</v>
      </c>
      <c r="F27" s="306">
        <v>147.75</v>
      </c>
      <c r="G27" s="306">
        <v>135.5</v>
      </c>
      <c r="H27" s="306" t="s">
        <v>535</v>
      </c>
      <c r="I27" s="308">
        <v>-7.0699999999999999E-2</v>
      </c>
    </row>
    <row r="28" spans="2:9">
      <c r="B28" s="307">
        <v>44096</v>
      </c>
      <c r="C28" s="306">
        <v>87.3</v>
      </c>
      <c r="D28" s="306">
        <v>133.1</v>
      </c>
      <c r="E28" s="306">
        <v>138</v>
      </c>
      <c r="F28" s="306">
        <v>138.15</v>
      </c>
      <c r="G28" s="306">
        <v>129.65</v>
      </c>
      <c r="H28" s="306" t="s">
        <v>536</v>
      </c>
      <c r="I28" s="308">
        <v>-3.1600000000000003E-2</v>
      </c>
    </row>
    <row r="29" spans="2:9">
      <c r="B29" s="307">
        <v>44097</v>
      </c>
      <c r="C29" s="306">
        <v>74.98</v>
      </c>
      <c r="D29" s="306">
        <v>131.4</v>
      </c>
      <c r="E29" s="306">
        <v>135.5</v>
      </c>
      <c r="F29" s="306">
        <v>136.69999999999999</v>
      </c>
      <c r="G29" s="306">
        <v>127.9</v>
      </c>
      <c r="H29" s="306" t="s">
        <v>537</v>
      </c>
      <c r="I29" s="308">
        <v>-1.2800000000000001E-2</v>
      </c>
    </row>
    <row r="30" spans="2:9">
      <c r="B30" s="307">
        <v>44098</v>
      </c>
      <c r="C30" s="306">
        <v>62.42</v>
      </c>
      <c r="D30" s="306">
        <v>122.8</v>
      </c>
      <c r="E30" s="306">
        <v>127.9</v>
      </c>
      <c r="F30" s="306">
        <v>128.80000000000001</v>
      </c>
      <c r="G30" s="306">
        <v>122.15</v>
      </c>
      <c r="H30" s="306" t="s">
        <v>538</v>
      </c>
      <c r="I30" s="308">
        <v>-6.54E-2</v>
      </c>
    </row>
    <row r="31" spans="2:9">
      <c r="B31" s="307">
        <v>44099</v>
      </c>
      <c r="C31" s="306">
        <v>65.040000000000006</v>
      </c>
      <c r="D31" s="306">
        <v>127.25</v>
      </c>
      <c r="E31" s="306">
        <v>123.7</v>
      </c>
      <c r="F31" s="306">
        <v>128.35</v>
      </c>
      <c r="G31" s="306">
        <v>123.1</v>
      </c>
      <c r="H31" s="306" t="s">
        <v>539</v>
      </c>
      <c r="I31" s="308">
        <v>3.6200000000000003E-2</v>
      </c>
    </row>
    <row r="32" spans="2:9">
      <c r="B32" s="307">
        <v>44102</v>
      </c>
      <c r="C32" s="306">
        <v>61.83</v>
      </c>
      <c r="D32" s="306">
        <v>132.85</v>
      </c>
      <c r="E32" s="306">
        <v>128.9</v>
      </c>
      <c r="F32" s="306">
        <v>134.30000000000001</v>
      </c>
      <c r="G32" s="306">
        <v>127.5</v>
      </c>
      <c r="H32" s="306" t="s">
        <v>540</v>
      </c>
      <c r="I32" s="308">
        <v>4.3999999999999997E-2</v>
      </c>
    </row>
    <row r="33" spans="2:9">
      <c r="B33" s="307">
        <v>44103</v>
      </c>
      <c r="C33" s="306">
        <v>63.37</v>
      </c>
      <c r="D33" s="306">
        <v>131.69999999999999</v>
      </c>
      <c r="E33" s="306">
        <v>134.94999999999999</v>
      </c>
      <c r="F33" s="306">
        <v>136</v>
      </c>
      <c r="G33" s="306">
        <v>130.69999999999999</v>
      </c>
      <c r="H33" s="306" t="s">
        <v>541</v>
      </c>
      <c r="I33" s="308">
        <v>-8.6999999999999994E-3</v>
      </c>
    </row>
    <row r="34" spans="2:9">
      <c r="B34" s="307">
        <v>44104</v>
      </c>
      <c r="C34" s="306">
        <v>48.86</v>
      </c>
      <c r="D34" s="306">
        <v>133.30000000000001</v>
      </c>
      <c r="E34" s="306">
        <v>131.55000000000001</v>
      </c>
      <c r="F34" s="306">
        <v>134.4</v>
      </c>
      <c r="G34" s="306">
        <v>130.30000000000001</v>
      </c>
      <c r="H34" s="306" t="s">
        <v>542</v>
      </c>
      <c r="I34" s="308">
        <v>1.21E-2</v>
      </c>
    </row>
    <row r="35" spans="2:9">
      <c r="B35" s="307">
        <v>44105</v>
      </c>
      <c r="C35" s="306">
        <v>40.49</v>
      </c>
      <c r="D35" s="306">
        <v>133.5</v>
      </c>
      <c r="E35" s="306">
        <v>135.9</v>
      </c>
      <c r="F35" s="306">
        <v>136.5</v>
      </c>
      <c r="G35" s="306">
        <v>132.55000000000001</v>
      </c>
      <c r="H35" s="306" t="s">
        <v>543</v>
      </c>
      <c r="I35" s="308">
        <v>1.5E-3</v>
      </c>
    </row>
    <row r="36" spans="2:9">
      <c r="B36" s="307">
        <v>44109</v>
      </c>
      <c r="C36" s="306">
        <v>55.27</v>
      </c>
      <c r="D36" s="306">
        <v>133.9</v>
      </c>
      <c r="E36" s="306">
        <v>136.94999999999999</v>
      </c>
      <c r="F36" s="306">
        <v>137.5</v>
      </c>
      <c r="G36" s="306">
        <v>132.05000000000001</v>
      </c>
      <c r="H36" s="306" t="s">
        <v>544</v>
      </c>
      <c r="I36" s="308">
        <v>3.0000000000000001E-3</v>
      </c>
    </row>
    <row r="37" spans="2:9">
      <c r="B37" s="307">
        <v>44110</v>
      </c>
      <c r="C37" s="306">
        <v>162.05000000000001</v>
      </c>
      <c r="D37" s="306">
        <v>144.75</v>
      </c>
      <c r="E37" s="306">
        <v>138</v>
      </c>
      <c r="F37" s="306">
        <v>145.80000000000001</v>
      </c>
      <c r="G37" s="306">
        <v>136</v>
      </c>
      <c r="H37" s="306" t="s">
        <v>545</v>
      </c>
      <c r="I37" s="308">
        <v>8.1000000000000003E-2</v>
      </c>
    </row>
    <row r="38" spans="2:9">
      <c r="B38" s="307">
        <v>44111</v>
      </c>
      <c r="C38" s="306">
        <v>68.27</v>
      </c>
      <c r="D38" s="306">
        <v>141</v>
      </c>
      <c r="E38" s="306">
        <v>144.25</v>
      </c>
      <c r="F38" s="306">
        <v>144.5</v>
      </c>
      <c r="G38" s="306">
        <v>139.80000000000001</v>
      </c>
      <c r="H38" s="306" t="s">
        <v>546</v>
      </c>
      <c r="I38" s="308">
        <v>-2.5899999999999999E-2</v>
      </c>
    </row>
    <row r="39" spans="2:9">
      <c r="B39" s="307">
        <v>44112</v>
      </c>
      <c r="C39" s="306">
        <v>40.94</v>
      </c>
      <c r="D39" s="306">
        <v>140.94999999999999</v>
      </c>
      <c r="E39" s="306">
        <v>142.85</v>
      </c>
      <c r="F39" s="306">
        <v>143.5</v>
      </c>
      <c r="G39" s="306">
        <v>139.6</v>
      </c>
      <c r="H39" s="306" t="s">
        <v>547</v>
      </c>
      <c r="I39" s="308">
        <v>-4.0000000000000002E-4</v>
      </c>
    </row>
    <row r="40" spans="2:9">
      <c r="B40" s="307">
        <v>44113</v>
      </c>
      <c r="C40" s="306">
        <v>37.1</v>
      </c>
      <c r="D40" s="306">
        <v>138.44999999999999</v>
      </c>
      <c r="E40" s="306">
        <v>141.15</v>
      </c>
      <c r="F40" s="306">
        <v>142.65</v>
      </c>
      <c r="G40" s="306">
        <v>138</v>
      </c>
      <c r="H40" s="306" t="s">
        <v>548</v>
      </c>
      <c r="I40" s="308">
        <v>-1.77E-2</v>
      </c>
    </row>
    <row r="41" spans="2:9">
      <c r="B41" s="307">
        <v>44116</v>
      </c>
      <c r="C41" s="306">
        <v>39.28</v>
      </c>
      <c r="D41" s="306">
        <v>135.9</v>
      </c>
      <c r="E41" s="306">
        <v>139.65</v>
      </c>
      <c r="F41" s="306">
        <v>139.65</v>
      </c>
      <c r="G41" s="306">
        <v>133</v>
      </c>
      <c r="H41" s="306" t="s">
        <v>549</v>
      </c>
      <c r="I41" s="308">
        <v>-1.84E-2</v>
      </c>
    </row>
    <row r="42" spans="2:9">
      <c r="B42" s="307">
        <v>44117</v>
      </c>
      <c r="C42" s="306">
        <v>38.97</v>
      </c>
      <c r="D42" s="306">
        <v>134.1</v>
      </c>
      <c r="E42" s="306">
        <v>135.4</v>
      </c>
      <c r="F42" s="306">
        <v>137.1</v>
      </c>
      <c r="G42" s="306">
        <v>132.85</v>
      </c>
      <c r="H42" s="306" t="s">
        <v>550</v>
      </c>
      <c r="I42" s="308">
        <v>-1.32E-2</v>
      </c>
    </row>
    <row r="43" spans="2:9">
      <c r="B43" s="307">
        <v>44118</v>
      </c>
      <c r="C43" s="306">
        <v>45.79</v>
      </c>
      <c r="D43" s="306">
        <v>130.69999999999999</v>
      </c>
      <c r="E43" s="306">
        <v>133.75</v>
      </c>
      <c r="F43" s="306">
        <v>134.65</v>
      </c>
      <c r="G43" s="306">
        <v>128.80000000000001</v>
      </c>
      <c r="H43" s="306" t="s">
        <v>551</v>
      </c>
      <c r="I43" s="308">
        <v>-2.5399999999999999E-2</v>
      </c>
    </row>
    <row r="44" spans="2:9">
      <c r="B44" s="307">
        <v>44119</v>
      </c>
      <c r="C44" s="306">
        <v>64</v>
      </c>
      <c r="D44" s="306">
        <v>126.95</v>
      </c>
      <c r="E44" s="306">
        <v>131.5</v>
      </c>
      <c r="F44" s="306">
        <v>134.35</v>
      </c>
      <c r="G44" s="306">
        <v>126.5</v>
      </c>
      <c r="H44" s="306" t="s">
        <v>552</v>
      </c>
      <c r="I44" s="308">
        <v>-2.87E-2</v>
      </c>
    </row>
    <row r="45" spans="2:9">
      <c r="B45" s="307">
        <v>44120</v>
      </c>
      <c r="C45" s="306">
        <v>62.55</v>
      </c>
      <c r="D45" s="306">
        <v>127.75</v>
      </c>
      <c r="E45" s="306">
        <v>129.4</v>
      </c>
      <c r="F45" s="306">
        <v>130.05000000000001</v>
      </c>
      <c r="G45" s="306">
        <v>126</v>
      </c>
      <c r="H45" s="306" t="s">
        <v>553</v>
      </c>
      <c r="I45" s="308">
        <v>6.3E-3</v>
      </c>
    </row>
    <row r="46" spans="2:9">
      <c r="B46" s="307">
        <v>44123</v>
      </c>
      <c r="C46" s="306">
        <v>33.159999999999997</v>
      </c>
      <c r="D46" s="306">
        <v>128.25</v>
      </c>
      <c r="E46" s="306">
        <v>129.80000000000001</v>
      </c>
      <c r="F46" s="306">
        <v>130.4</v>
      </c>
      <c r="G46" s="306">
        <v>127.8</v>
      </c>
      <c r="H46" s="306" t="s">
        <v>554</v>
      </c>
      <c r="I46" s="308">
        <v>3.8999999999999998E-3</v>
      </c>
    </row>
    <row r="47" spans="2:9">
      <c r="B47" s="307">
        <v>44124</v>
      </c>
      <c r="C47" s="306">
        <v>27.47</v>
      </c>
      <c r="D47" s="306">
        <v>129.65</v>
      </c>
      <c r="E47" s="306">
        <v>128.1</v>
      </c>
      <c r="F47" s="306">
        <v>130.30000000000001</v>
      </c>
      <c r="G47" s="306">
        <v>126.35</v>
      </c>
      <c r="H47" s="306" t="s">
        <v>555</v>
      </c>
      <c r="I47" s="308">
        <v>1.09E-2</v>
      </c>
    </row>
    <row r="48" spans="2:9">
      <c r="B48" s="307">
        <v>44125</v>
      </c>
      <c r="C48" s="306">
        <v>39.25</v>
      </c>
      <c r="D48" s="306">
        <v>130.25</v>
      </c>
      <c r="E48" s="306">
        <v>131.05000000000001</v>
      </c>
      <c r="F48" s="306">
        <v>133.1</v>
      </c>
      <c r="G48" s="306">
        <v>128.30000000000001</v>
      </c>
      <c r="H48" s="306" t="s">
        <v>556</v>
      </c>
      <c r="I48" s="308">
        <v>4.5999999999999999E-3</v>
      </c>
    </row>
    <row r="49" spans="2:9">
      <c r="B49" s="307">
        <v>44126</v>
      </c>
      <c r="C49" s="306">
        <v>48.81</v>
      </c>
      <c r="D49" s="306">
        <v>133.5</v>
      </c>
      <c r="E49" s="306">
        <v>129.69999999999999</v>
      </c>
      <c r="F49" s="306">
        <v>134.6</v>
      </c>
      <c r="G49" s="306">
        <v>128.44999999999999</v>
      </c>
      <c r="H49" s="306" t="s">
        <v>557</v>
      </c>
      <c r="I49" s="308">
        <v>2.5000000000000001E-2</v>
      </c>
    </row>
    <row r="50" spans="2:9">
      <c r="B50" s="307">
        <v>44127</v>
      </c>
      <c r="C50" s="306">
        <v>68.709999999999994</v>
      </c>
      <c r="D50" s="306">
        <v>137</v>
      </c>
      <c r="E50" s="306">
        <v>134.9</v>
      </c>
      <c r="F50" s="306">
        <v>138.9</v>
      </c>
      <c r="G50" s="306">
        <v>134.1</v>
      </c>
      <c r="H50" s="306" t="s">
        <v>558</v>
      </c>
      <c r="I50" s="308">
        <v>2.6200000000000001E-2</v>
      </c>
    </row>
    <row r="51" spans="2:9">
      <c r="B51" s="307">
        <v>44130</v>
      </c>
      <c r="C51" s="306">
        <v>88.53</v>
      </c>
      <c r="D51" s="306">
        <v>133.69999999999999</v>
      </c>
      <c r="E51" s="306">
        <v>138.4</v>
      </c>
      <c r="F51" s="306">
        <v>140.80000000000001</v>
      </c>
      <c r="G51" s="306">
        <v>131.25</v>
      </c>
      <c r="H51" s="306" t="s">
        <v>559</v>
      </c>
      <c r="I51" s="308">
        <v>-2.41E-2</v>
      </c>
    </row>
    <row r="52" spans="2:9">
      <c r="B52" s="307">
        <v>44131</v>
      </c>
      <c r="C52" s="306">
        <v>56.86</v>
      </c>
      <c r="D52" s="306">
        <v>135.65</v>
      </c>
      <c r="E52" s="306">
        <v>134.15</v>
      </c>
      <c r="F52" s="306">
        <v>136.75</v>
      </c>
      <c r="G52" s="306">
        <v>130.85</v>
      </c>
      <c r="H52" s="306" t="s">
        <v>560</v>
      </c>
      <c r="I52" s="308">
        <v>1.46E-2</v>
      </c>
    </row>
    <row r="53" spans="2:9">
      <c r="B53" s="307">
        <v>44132</v>
      </c>
      <c r="C53" s="306">
        <v>152.36000000000001</v>
      </c>
      <c r="D53" s="306">
        <v>134.80000000000001</v>
      </c>
      <c r="E53" s="306">
        <v>139</v>
      </c>
      <c r="F53" s="306">
        <v>143.25</v>
      </c>
      <c r="G53" s="306">
        <v>133.5</v>
      </c>
      <c r="H53" s="306" t="s">
        <v>561</v>
      </c>
      <c r="I53" s="308">
        <v>-6.3E-3</v>
      </c>
    </row>
    <row r="54" spans="2:9">
      <c r="B54" s="307">
        <v>44133</v>
      </c>
      <c r="C54" s="306">
        <v>66.63</v>
      </c>
      <c r="D54" s="306">
        <v>131.9</v>
      </c>
      <c r="E54" s="306">
        <v>132</v>
      </c>
      <c r="F54" s="306">
        <v>133</v>
      </c>
      <c r="G54" s="306">
        <v>130</v>
      </c>
      <c r="H54" s="306" t="s">
        <v>562</v>
      </c>
      <c r="I54" s="308">
        <v>-2.1499999999999998E-2</v>
      </c>
    </row>
    <row r="55" spans="2:9">
      <c r="B55" s="307">
        <v>44134</v>
      </c>
      <c r="C55" s="306">
        <v>51.13</v>
      </c>
      <c r="D55" s="306">
        <v>132.65</v>
      </c>
      <c r="E55" s="306">
        <v>133.19999999999999</v>
      </c>
      <c r="F55" s="306">
        <v>134.5</v>
      </c>
      <c r="G55" s="306">
        <v>130.30000000000001</v>
      </c>
      <c r="H55" s="306" t="s">
        <v>563</v>
      </c>
      <c r="I55" s="308">
        <v>5.7000000000000002E-3</v>
      </c>
    </row>
    <row r="56" spans="2:9">
      <c r="B56" s="307">
        <v>44137</v>
      </c>
      <c r="C56" s="306">
        <v>40.39</v>
      </c>
      <c r="D56" s="306">
        <v>132.85</v>
      </c>
      <c r="E56" s="306">
        <v>133.65</v>
      </c>
      <c r="F56" s="306">
        <v>134</v>
      </c>
      <c r="G56" s="306">
        <v>131.1</v>
      </c>
      <c r="H56" s="306" t="s">
        <v>564</v>
      </c>
      <c r="I56" s="308">
        <v>1.5E-3</v>
      </c>
    </row>
    <row r="57" spans="2:9">
      <c r="B57" s="307">
        <v>44138</v>
      </c>
      <c r="C57" s="306">
        <v>52.07</v>
      </c>
      <c r="D57" s="306">
        <v>134.1</v>
      </c>
      <c r="E57" s="306">
        <v>135</v>
      </c>
      <c r="F57" s="306">
        <v>137.4</v>
      </c>
      <c r="G57" s="306">
        <v>133.55000000000001</v>
      </c>
      <c r="H57" s="306" t="s">
        <v>565</v>
      </c>
      <c r="I57" s="308">
        <v>9.4000000000000004E-3</v>
      </c>
    </row>
    <row r="58" spans="2:9">
      <c r="B58" s="307">
        <v>44139</v>
      </c>
      <c r="C58" s="306">
        <v>44.68</v>
      </c>
      <c r="D58" s="306">
        <v>135.9</v>
      </c>
      <c r="E58" s="306">
        <v>135.6</v>
      </c>
      <c r="F58" s="306">
        <v>137</v>
      </c>
      <c r="G58" s="306">
        <v>134</v>
      </c>
      <c r="H58" s="306" t="s">
        <v>566</v>
      </c>
      <c r="I58" s="308">
        <v>1.34E-2</v>
      </c>
    </row>
    <row r="59" spans="2:9">
      <c r="B59" s="307">
        <v>44140</v>
      </c>
      <c r="C59" s="306">
        <v>38.93</v>
      </c>
      <c r="D59" s="306">
        <v>137.65</v>
      </c>
      <c r="E59" s="306">
        <v>137</v>
      </c>
      <c r="F59" s="306">
        <v>138</v>
      </c>
      <c r="G59" s="306">
        <v>136</v>
      </c>
      <c r="H59" s="306" t="s">
        <v>567</v>
      </c>
      <c r="I59" s="308">
        <v>1.29E-2</v>
      </c>
    </row>
    <row r="60" spans="2:9">
      <c r="B60" s="307">
        <v>44141</v>
      </c>
      <c r="C60" s="306">
        <v>67.97</v>
      </c>
      <c r="D60" s="306">
        <v>139</v>
      </c>
      <c r="E60" s="306">
        <v>137.65</v>
      </c>
      <c r="F60" s="306">
        <v>142.30000000000001</v>
      </c>
      <c r="G60" s="306">
        <v>137.65</v>
      </c>
      <c r="H60" s="306" t="s">
        <v>568</v>
      </c>
      <c r="I60" s="308">
        <v>9.7999999999999997E-3</v>
      </c>
    </row>
    <row r="61" spans="2:9">
      <c r="B61" s="307">
        <v>44144</v>
      </c>
      <c r="C61" s="306">
        <v>40.28</v>
      </c>
      <c r="D61" s="306">
        <v>141</v>
      </c>
      <c r="E61" s="306">
        <v>140.6</v>
      </c>
      <c r="F61" s="306">
        <v>141.5</v>
      </c>
      <c r="G61" s="306">
        <v>138.69999999999999</v>
      </c>
      <c r="H61" s="306" t="s">
        <v>569</v>
      </c>
      <c r="I61" s="308">
        <v>1.44E-2</v>
      </c>
    </row>
    <row r="62" spans="2:9">
      <c r="B62" s="307">
        <v>44145</v>
      </c>
      <c r="C62" s="306">
        <v>68.790000000000006</v>
      </c>
      <c r="D62" s="306">
        <v>146</v>
      </c>
      <c r="E62" s="306">
        <v>144.05000000000001</v>
      </c>
      <c r="F62" s="306">
        <v>146.69999999999999</v>
      </c>
      <c r="G62" s="306">
        <v>142.75</v>
      </c>
      <c r="H62" s="306" t="s">
        <v>570</v>
      </c>
      <c r="I62" s="308">
        <v>3.5499999999999997E-2</v>
      </c>
    </row>
    <row r="63" spans="2:9">
      <c r="B63" s="307">
        <v>44146</v>
      </c>
      <c r="C63" s="306">
        <v>78.58</v>
      </c>
      <c r="D63" s="306">
        <v>150.94999999999999</v>
      </c>
      <c r="E63" s="306">
        <v>146.5</v>
      </c>
      <c r="F63" s="306">
        <v>151.5</v>
      </c>
      <c r="G63" s="306">
        <v>145.65</v>
      </c>
      <c r="H63" s="306" t="s">
        <v>571</v>
      </c>
      <c r="I63" s="308">
        <v>3.39E-2</v>
      </c>
    </row>
    <row r="64" spans="2:9">
      <c r="B64" s="307">
        <v>44147</v>
      </c>
      <c r="C64" s="306">
        <v>56.15</v>
      </c>
      <c r="D64" s="306">
        <v>151.19999999999999</v>
      </c>
      <c r="E64" s="306">
        <v>150.94999999999999</v>
      </c>
      <c r="F64" s="306">
        <v>153.85</v>
      </c>
      <c r="G64" s="306">
        <v>150</v>
      </c>
      <c r="H64" s="306" t="s">
        <v>572</v>
      </c>
      <c r="I64" s="308">
        <v>1.6999999999999999E-3</v>
      </c>
    </row>
    <row r="65" spans="2:9">
      <c r="B65" s="307">
        <v>44148</v>
      </c>
      <c r="C65" s="306">
        <v>32.57</v>
      </c>
      <c r="D65" s="306">
        <v>146.35</v>
      </c>
      <c r="E65" s="306">
        <v>150</v>
      </c>
      <c r="F65" s="306">
        <v>150</v>
      </c>
      <c r="G65" s="306">
        <v>145.35</v>
      </c>
      <c r="H65" s="306" t="s">
        <v>573</v>
      </c>
      <c r="I65" s="308">
        <v>-3.2099999999999997E-2</v>
      </c>
    </row>
    <row r="66" spans="2:9">
      <c r="B66" s="307">
        <v>44152</v>
      </c>
      <c r="C66" s="306">
        <v>82.64</v>
      </c>
      <c r="D66" s="306">
        <v>158</v>
      </c>
      <c r="E66" s="306">
        <v>152.5</v>
      </c>
      <c r="F66" s="306">
        <v>159.35</v>
      </c>
      <c r="G66" s="306">
        <v>152.19999999999999</v>
      </c>
      <c r="H66" s="306" t="s">
        <v>574</v>
      </c>
      <c r="I66" s="308">
        <v>7.9600000000000004E-2</v>
      </c>
    </row>
    <row r="67" spans="2:9">
      <c r="B67" s="307">
        <v>44153</v>
      </c>
      <c r="C67" s="306">
        <v>171.8</v>
      </c>
      <c r="D67" s="306">
        <v>173.5</v>
      </c>
      <c r="E67" s="306">
        <v>158.85</v>
      </c>
      <c r="F67" s="306">
        <v>178.8</v>
      </c>
      <c r="G67" s="306">
        <v>158.55000000000001</v>
      </c>
      <c r="H67" s="306" t="s">
        <v>575</v>
      </c>
      <c r="I67" s="308">
        <v>9.8100000000000007E-2</v>
      </c>
    </row>
    <row r="68" spans="2:9">
      <c r="B68" s="307">
        <v>44154</v>
      </c>
      <c r="C68" s="306">
        <v>109.45</v>
      </c>
      <c r="D68" s="306">
        <v>167.95</v>
      </c>
      <c r="E68" s="306">
        <v>171.4</v>
      </c>
      <c r="F68" s="306">
        <v>176.35</v>
      </c>
      <c r="G68" s="306">
        <v>166.55</v>
      </c>
      <c r="H68" s="306" t="s">
        <v>576</v>
      </c>
      <c r="I68" s="308">
        <v>-3.2000000000000001E-2</v>
      </c>
    </row>
    <row r="69" spans="2:9">
      <c r="B69" s="307">
        <v>44155</v>
      </c>
      <c r="C69" s="306">
        <v>66.94</v>
      </c>
      <c r="D69" s="306">
        <v>169.1</v>
      </c>
      <c r="E69" s="306">
        <v>170.05</v>
      </c>
      <c r="F69" s="306">
        <v>171.55</v>
      </c>
      <c r="G69" s="306">
        <v>165.55</v>
      </c>
      <c r="H69" s="306" t="s">
        <v>577</v>
      </c>
      <c r="I69" s="308">
        <v>6.7999999999999996E-3</v>
      </c>
    </row>
    <row r="70" spans="2:9">
      <c r="B70" s="307">
        <v>44158</v>
      </c>
      <c r="C70" s="306">
        <v>54.57</v>
      </c>
      <c r="D70" s="306">
        <v>170.7</v>
      </c>
      <c r="E70" s="306">
        <v>169.5</v>
      </c>
      <c r="F70" s="306">
        <v>173.9</v>
      </c>
      <c r="G70" s="306">
        <v>165.55</v>
      </c>
      <c r="H70" s="306" t="s">
        <v>578</v>
      </c>
      <c r="I70" s="308">
        <v>9.4999999999999998E-3</v>
      </c>
    </row>
    <row r="71" spans="2:9">
      <c r="B71" s="307">
        <v>44159</v>
      </c>
      <c r="C71" s="306">
        <v>47.7</v>
      </c>
      <c r="D71" s="306">
        <v>172.05</v>
      </c>
      <c r="E71" s="306">
        <v>171.85</v>
      </c>
      <c r="F71" s="306">
        <v>175.5</v>
      </c>
      <c r="G71" s="306">
        <v>171.1</v>
      </c>
      <c r="H71" s="306" t="s">
        <v>579</v>
      </c>
      <c r="I71" s="308">
        <v>7.9000000000000008E-3</v>
      </c>
    </row>
    <row r="72" spans="2:9">
      <c r="B72" s="307">
        <v>44160</v>
      </c>
      <c r="C72" s="306">
        <v>54.37</v>
      </c>
      <c r="D72" s="306">
        <v>171.45</v>
      </c>
      <c r="E72" s="306">
        <v>175</v>
      </c>
      <c r="F72" s="306">
        <v>176.8</v>
      </c>
      <c r="G72" s="306">
        <v>169.25</v>
      </c>
      <c r="H72" s="306" t="s">
        <v>580</v>
      </c>
      <c r="I72" s="308">
        <v>-3.5000000000000001E-3</v>
      </c>
    </row>
    <row r="73" spans="2:9">
      <c r="B73" s="307">
        <v>44161</v>
      </c>
      <c r="C73" s="306">
        <v>39.090000000000003</v>
      </c>
      <c r="D73" s="306">
        <v>173.75</v>
      </c>
      <c r="E73" s="306">
        <v>171.6</v>
      </c>
      <c r="F73" s="306">
        <v>175</v>
      </c>
      <c r="G73" s="306">
        <v>171.05</v>
      </c>
      <c r="H73" s="306" t="s">
        <v>581</v>
      </c>
      <c r="I73" s="308">
        <v>1.34E-2</v>
      </c>
    </row>
    <row r="74" spans="2:9">
      <c r="B74" s="307">
        <v>44162</v>
      </c>
      <c r="C74" s="306">
        <v>125.93</v>
      </c>
      <c r="D74" s="306">
        <v>180.35</v>
      </c>
      <c r="E74" s="306">
        <v>174.65</v>
      </c>
      <c r="F74" s="306">
        <v>183.85</v>
      </c>
      <c r="G74" s="306">
        <v>174.65</v>
      </c>
      <c r="H74" s="306" t="s">
        <v>582</v>
      </c>
      <c r="I74" s="308">
        <v>3.7999999999999999E-2</v>
      </c>
    </row>
    <row r="75" spans="2:9">
      <c r="B75" s="307">
        <v>44166</v>
      </c>
      <c r="C75" s="306">
        <v>48.88</v>
      </c>
      <c r="D75" s="306">
        <v>179.75</v>
      </c>
      <c r="E75" s="306">
        <v>182.35</v>
      </c>
      <c r="F75" s="306">
        <v>182.4</v>
      </c>
      <c r="G75" s="306">
        <v>178.1</v>
      </c>
      <c r="H75" s="306" t="s">
        <v>583</v>
      </c>
      <c r="I75" s="308">
        <v>-3.3E-3</v>
      </c>
    </row>
    <row r="76" spans="2:9">
      <c r="B76" s="307">
        <v>44167</v>
      </c>
      <c r="C76" s="306">
        <v>88.11</v>
      </c>
      <c r="D76" s="306">
        <v>183.6</v>
      </c>
      <c r="E76" s="306">
        <v>184</v>
      </c>
      <c r="F76" s="306">
        <v>187.35</v>
      </c>
      <c r="G76" s="306">
        <v>181.1</v>
      </c>
      <c r="H76" s="306" t="s">
        <v>584</v>
      </c>
      <c r="I76" s="308">
        <v>2.1399999999999999E-2</v>
      </c>
    </row>
    <row r="77" spans="2:9">
      <c r="B77" s="307">
        <v>44168</v>
      </c>
      <c r="C77" s="306">
        <v>33.33</v>
      </c>
      <c r="D77" s="306">
        <v>184.85</v>
      </c>
      <c r="E77" s="306">
        <v>185</v>
      </c>
      <c r="F77" s="306">
        <v>186</v>
      </c>
      <c r="G77" s="306">
        <v>183.25</v>
      </c>
      <c r="H77" s="306" t="s">
        <v>585</v>
      </c>
      <c r="I77" s="308">
        <v>6.7999999999999996E-3</v>
      </c>
    </row>
    <row r="78" spans="2:9">
      <c r="B78" s="307">
        <v>44169</v>
      </c>
      <c r="C78" s="306">
        <v>48</v>
      </c>
      <c r="D78" s="306">
        <v>184.15</v>
      </c>
      <c r="E78" s="306">
        <v>186.5</v>
      </c>
      <c r="F78" s="306">
        <v>188.8</v>
      </c>
      <c r="G78" s="306">
        <v>182.2</v>
      </c>
      <c r="H78" s="306" t="s">
        <v>586</v>
      </c>
      <c r="I78" s="308">
        <v>-3.8E-3</v>
      </c>
    </row>
    <row r="79" spans="2:9">
      <c r="B79" s="307">
        <v>44172</v>
      </c>
      <c r="C79" s="306">
        <v>29.8</v>
      </c>
      <c r="D79" s="306">
        <v>183.55</v>
      </c>
      <c r="E79" s="306">
        <v>184.45</v>
      </c>
      <c r="F79" s="306">
        <v>186.45</v>
      </c>
      <c r="G79" s="306">
        <v>182.7</v>
      </c>
      <c r="H79" s="306" t="s">
        <v>587</v>
      </c>
      <c r="I79" s="308">
        <v>-3.3E-3</v>
      </c>
    </row>
    <row r="80" spans="2:9">
      <c r="B80" s="307">
        <v>44173</v>
      </c>
      <c r="C80" s="306">
        <v>42.14</v>
      </c>
      <c r="D80" s="306">
        <v>181.8</v>
      </c>
      <c r="E80" s="306">
        <v>184.95</v>
      </c>
      <c r="F80" s="306">
        <v>185.7</v>
      </c>
      <c r="G80" s="306">
        <v>178.95</v>
      </c>
      <c r="H80" s="306" t="s">
        <v>588</v>
      </c>
      <c r="I80" s="308">
        <v>-9.4999999999999998E-3</v>
      </c>
    </row>
    <row r="81" spans="2:9">
      <c r="B81" s="307">
        <v>44174</v>
      </c>
      <c r="C81" s="306">
        <v>40.299999999999997</v>
      </c>
      <c r="D81" s="306">
        <v>182.7</v>
      </c>
      <c r="E81" s="306">
        <v>183</v>
      </c>
      <c r="F81" s="306">
        <v>186.4</v>
      </c>
      <c r="G81" s="306">
        <v>181.65</v>
      </c>
      <c r="H81" s="306" t="s">
        <v>589</v>
      </c>
      <c r="I81" s="308">
        <v>5.0000000000000001E-3</v>
      </c>
    </row>
    <row r="82" spans="2:9">
      <c r="B82" s="307">
        <v>44175</v>
      </c>
      <c r="C82" s="306">
        <v>38.369999999999997</v>
      </c>
      <c r="D82" s="306">
        <v>177.6</v>
      </c>
      <c r="E82" s="306">
        <v>182.7</v>
      </c>
      <c r="F82" s="306">
        <v>182.7</v>
      </c>
      <c r="G82" s="306">
        <v>176.4</v>
      </c>
      <c r="H82" s="306" t="s">
        <v>590</v>
      </c>
      <c r="I82" s="308">
        <v>-2.7900000000000001E-2</v>
      </c>
    </row>
    <row r="83" spans="2:9">
      <c r="B83" s="307">
        <v>44176</v>
      </c>
      <c r="C83" s="306">
        <v>43.07</v>
      </c>
      <c r="D83" s="306">
        <v>178.85</v>
      </c>
      <c r="E83" s="306">
        <v>177.95</v>
      </c>
      <c r="F83" s="306">
        <v>181.45</v>
      </c>
      <c r="G83" s="306">
        <v>176.5</v>
      </c>
      <c r="H83" s="306" t="s">
        <v>591</v>
      </c>
      <c r="I83" s="308">
        <v>7.0000000000000001E-3</v>
      </c>
    </row>
    <row r="84" spans="2:9">
      <c r="B84" s="307">
        <v>44179</v>
      </c>
      <c r="C84" s="306">
        <v>33.19</v>
      </c>
      <c r="D84" s="306">
        <v>177.65</v>
      </c>
      <c r="E84" s="306">
        <v>181</v>
      </c>
      <c r="F84" s="306">
        <v>181.5</v>
      </c>
      <c r="G84" s="306">
        <v>176.7</v>
      </c>
      <c r="H84" s="306" t="s">
        <v>592</v>
      </c>
      <c r="I84" s="308">
        <v>-6.7000000000000002E-3</v>
      </c>
    </row>
    <row r="85" spans="2:9">
      <c r="B85" s="307">
        <v>44180</v>
      </c>
      <c r="C85" s="306">
        <v>41.19</v>
      </c>
      <c r="D85" s="306">
        <v>178.9</v>
      </c>
      <c r="E85" s="306">
        <v>176.45</v>
      </c>
      <c r="F85" s="306">
        <v>179.7</v>
      </c>
      <c r="G85" s="306">
        <v>173.25</v>
      </c>
      <c r="H85" s="306" t="s">
        <v>593</v>
      </c>
      <c r="I85" s="308">
        <v>7.0000000000000001E-3</v>
      </c>
    </row>
    <row r="86" spans="2:9">
      <c r="B86" s="307">
        <v>44181</v>
      </c>
      <c r="C86" s="306">
        <v>51.26</v>
      </c>
      <c r="D86" s="306">
        <v>182.55</v>
      </c>
      <c r="E86" s="306">
        <v>181</v>
      </c>
      <c r="F86" s="306">
        <v>183.8</v>
      </c>
      <c r="G86" s="306">
        <v>180.1</v>
      </c>
      <c r="H86" s="306" t="s">
        <v>594</v>
      </c>
      <c r="I86" s="308">
        <v>2.0400000000000001E-2</v>
      </c>
    </row>
    <row r="87" spans="2:9">
      <c r="B87" s="307">
        <v>44182</v>
      </c>
      <c r="C87" s="306">
        <v>34.1</v>
      </c>
      <c r="D87" s="306">
        <v>181.7</v>
      </c>
      <c r="E87" s="306">
        <v>184</v>
      </c>
      <c r="F87" s="306">
        <v>184</v>
      </c>
      <c r="G87" s="306">
        <v>180.65</v>
      </c>
      <c r="H87" s="306" t="s">
        <v>595</v>
      </c>
      <c r="I87" s="308">
        <v>-4.7000000000000002E-3</v>
      </c>
    </row>
    <row r="88" spans="2:9">
      <c r="B88" s="307">
        <v>44183</v>
      </c>
      <c r="C88" s="306">
        <v>46.07</v>
      </c>
      <c r="D88" s="306">
        <v>180.55</v>
      </c>
      <c r="E88" s="306">
        <v>180.9</v>
      </c>
      <c r="F88" s="306">
        <v>181.5</v>
      </c>
      <c r="G88" s="306">
        <v>176.65</v>
      </c>
      <c r="H88" s="306" t="s">
        <v>596</v>
      </c>
      <c r="I88" s="308">
        <v>-6.3E-3</v>
      </c>
    </row>
    <row r="89" spans="2:9">
      <c r="B89" s="307">
        <v>44186</v>
      </c>
      <c r="C89" s="306">
        <v>75.58</v>
      </c>
      <c r="D89" s="306">
        <v>164.55</v>
      </c>
      <c r="E89" s="306">
        <v>176</v>
      </c>
      <c r="F89" s="306">
        <v>177.55</v>
      </c>
      <c r="G89" s="306">
        <v>162.5</v>
      </c>
      <c r="H89" s="306" t="s">
        <v>597</v>
      </c>
      <c r="I89" s="308">
        <v>-8.8599999999999998E-2</v>
      </c>
    </row>
    <row r="90" spans="2:9">
      <c r="B90" s="307">
        <v>44187</v>
      </c>
      <c r="C90" s="306">
        <v>110.01</v>
      </c>
      <c r="D90" s="306">
        <v>164.95</v>
      </c>
      <c r="E90" s="306">
        <v>164.55</v>
      </c>
      <c r="F90" s="306">
        <v>169.2</v>
      </c>
      <c r="G90" s="306">
        <v>156.69999999999999</v>
      </c>
      <c r="H90" s="306" t="s">
        <v>598</v>
      </c>
      <c r="I90" s="308">
        <v>2.3999999999999998E-3</v>
      </c>
    </row>
    <row r="91" spans="2:9">
      <c r="B91" s="307">
        <v>44188</v>
      </c>
      <c r="C91" s="306">
        <v>56.93</v>
      </c>
      <c r="D91" s="306">
        <v>169.2</v>
      </c>
      <c r="E91" s="306">
        <v>165</v>
      </c>
      <c r="F91" s="306">
        <v>169.7</v>
      </c>
      <c r="G91" s="306">
        <v>163.4</v>
      </c>
      <c r="H91" s="306" t="s">
        <v>599</v>
      </c>
      <c r="I91" s="308">
        <v>2.58E-2</v>
      </c>
    </row>
    <row r="92" spans="2:9">
      <c r="B92" s="307">
        <v>44189</v>
      </c>
      <c r="C92" s="306">
        <v>73.83</v>
      </c>
      <c r="D92" s="306">
        <v>175.95</v>
      </c>
      <c r="E92" s="306">
        <v>172</v>
      </c>
      <c r="F92" s="306">
        <v>178</v>
      </c>
      <c r="G92" s="306">
        <v>172</v>
      </c>
      <c r="H92" s="306" t="s">
        <v>600</v>
      </c>
      <c r="I92" s="308">
        <v>3.9899999999999998E-2</v>
      </c>
    </row>
    <row r="93" spans="2:9">
      <c r="B93" s="307">
        <v>44193</v>
      </c>
      <c r="C93" s="306">
        <v>98.01</v>
      </c>
      <c r="D93" s="306">
        <v>186.35</v>
      </c>
      <c r="E93" s="306">
        <v>179.85</v>
      </c>
      <c r="F93" s="306">
        <v>187.4</v>
      </c>
      <c r="G93" s="306">
        <v>179</v>
      </c>
      <c r="H93" s="306" t="s">
        <v>601</v>
      </c>
      <c r="I93" s="308">
        <v>5.91E-2</v>
      </c>
    </row>
    <row r="94" spans="2:9">
      <c r="B94" s="307">
        <v>44194</v>
      </c>
      <c r="C94" s="306">
        <v>71.319999999999993</v>
      </c>
      <c r="D94" s="306">
        <v>183.45</v>
      </c>
      <c r="E94" s="306">
        <v>187.9</v>
      </c>
      <c r="F94" s="306">
        <v>188.45</v>
      </c>
      <c r="G94" s="306">
        <v>181.1</v>
      </c>
      <c r="H94" s="306" t="s">
        <v>602</v>
      </c>
      <c r="I94" s="308">
        <v>-1.5599999999999999E-2</v>
      </c>
    </row>
    <row r="95" spans="2:9">
      <c r="B95" s="307">
        <v>44195</v>
      </c>
      <c r="C95" s="306">
        <v>38.58</v>
      </c>
      <c r="D95" s="306">
        <v>184.15</v>
      </c>
      <c r="E95" s="306">
        <v>183.1</v>
      </c>
      <c r="F95" s="306">
        <v>185.4</v>
      </c>
      <c r="G95" s="306">
        <v>180.4</v>
      </c>
      <c r="H95" s="306" t="s">
        <v>603</v>
      </c>
      <c r="I95" s="308">
        <v>3.8E-3</v>
      </c>
    </row>
    <row r="96" spans="2:9">
      <c r="B96" s="307">
        <v>44196</v>
      </c>
      <c r="C96" s="306">
        <v>48.98</v>
      </c>
      <c r="D96" s="306">
        <v>183.85</v>
      </c>
      <c r="E96" s="306">
        <v>184.85</v>
      </c>
      <c r="F96" s="306">
        <v>187.5</v>
      </c>
      <c r="G96" s="306">
        <v>182.8</v>
      </c>
      <c r="H96" s="306" t="s">
        <v>604</v>
      </c>
      <c r="I96" s="308">
        <v>-1.6000000000000001E-3</v>
      </c>
    </row>
    <row r="97" spans="2:9">
      <c r="B97" s="307">
        <v>44197</v>
      </c>
      <c r="C97" s="306">
        <v>27.33</v>
      </c>
      <c r="D97" s="306">
        <v>186.5</v>
      </c>
      <c r="E97" s="306">
        <v>184.95</v>
      </c>
      <c r="F97" s="306">
        <v>187</v>
      </c>
      <c r="G97" s="306">
        <v>184.5</v>
      </c>
      <c r="H97" s="306" t="s">
        <v>605</v>
      </c>
      <c r="I97" s="308">
        <v>1.44E-2</v>
      </c>
    </row>
    <row r="98" spans="2:9">
      <c r="B98" s="307">
        <v>44200</v>
      </c>
      <c r="C98" s="306">
        <v>63.98</v>
      </c>
      <c r="D98" s="306">
        <v>191.3</v>
      </c>
      <c r="E98" s="306">
        <v>191.8</v>
      </c>
      <c r="F98" s="306">
        <v>193</v>
      </c>
      <c r="G98" s="306">
        <v>188.75</v>
      </c>
      <c r="H98" s="306" t="s">
        <v>606</v>
      </c>
      <c r="I98" s="308">
        <v>2.5700000000000001E-2</v>
      </c>
    </row>
    <row r="99" spans="2:9">
      <c r="B99" s="307">
        <v>44201</v>
      </c>
      <c r="C99" s="306">
        <v>75.75</v>
      </c>
      <c r="D99" s="306">
        <v>193.2</v>
      </c>
      <c r="E99" s="306">
        <v>187.1</v>
      </c>
      <c r="F99" s="306">
        <v>193.9</v>
      </c>
      <c r="G99" s="306">
        <v>185.05</v>
      </c>
      <c r="H99" s="306" t="s">
        <v>607</v>
      </c>
      <c r="I99" s="308">
        <v>9.9000000000000008E-3</v>
      </c>
    </row>
    <row r="100" spans="2:9">
      <c r="B100" s="307">
        <v>44202</v>
      </c>
      <c r="C100" s="306">
        <v>75.62</v>
      </c>
      <c r="D100" s="306">
        <v>195.4</v>
      </c>
      <c r="E100" s="306">
        <v>194.45</v>
      </c>
      <c r="F100" s="306">
        <v>197.6</v>
      </c>
      <c r="G100" s="306">
        <v>190.65</v>
      </c>
      <c r="H100" s="306" t="s">
        <v>608</v>
      </c>
      <c r="I100" s="308">
        <v>1.14E-2</v>
      </c>
    </row>
    <row r="101" spans="2:9">
      <c r="B101" s="307">
        <v>44203</v>
      </c>
      <c r="C101" s="306">
        <v>66.02</v>
      </c>
      <c r="D101" s="306">
        <v>196.75</v>
      </c>
      <c r="E101" s="306">
        <v>197</v>
      </c>
      <c r="F101" s="306">
        <v>200.35</v>
      </c>
      <c r="G101" s="306">
        <v>195.1</v>
      </c>
      <c r="H101" s="306" t="s">
        <v>609</v>
      </c>
      <c r="I101" s="308">
        <v>6.8999999999999999E-3</v>
      </c>
    </row>
    <row r="102" spans="2:9">
      <c r="B102" s="307">
        <v>44204</v>
      </c>
      <c r="C102" s="306">
        <v>53.99</v>
      </c>
      <c r="D102" s="306">
        <v>198.15</v>
      </c>
      <c r="E102" s="306">
        <v>198.75</v>
      </c>
      <c r="F102" s="306">
        <v>201.5</v>
      </c>
      <c r="G102" s="306">
        <v>197.1</v>
      </c>
      <c r="H102" s="306" t="s">
        <v>610</v>
      </c>
      <c r="I102" s="308">
        <v>7.1000000000000004E-3</v>
      </c>
    </row>
    <row r="103" spans="2:9">
      <c r="B103" s="307">
        <v>44207</v>
      </c>
      <c r="C103" s="306">
        <v>182.48</v>
      </c>
      <c r="D103" s="306">
        <v>220.65</v>
      </c>
      <c r="E103" s="306">
        <v>199.9</v>
      </c>
      <c r="F103" s="306">
        <v>225.4</v>
      </c>
      <c r="G103" s="306">
        <v>199.65</v>
      </c>
      <c r="H103" s="306" t="s">
        <v>611</v>
      </c>
      <c r="I103" s="308">
        <v>0.11360000000000001</v>
      </c>
    </row>
    <row r="104" spans="2:9">
      <c r="B104" s="307">
        <v>44208</v>
      </c>
      <c r="C104" s="306">
        <v>390.58</v>
      </c>
      <c r="D104" s="306">
        <v>237.8</v>
      </c>
      <c r="E104" s="306">
        <v>227</v>
      </c>
      <c r="F104" s="306">
        <v>252.4</v>
      </c>
      <c r="G104" s="306">
        <v>224.1</v>
      </c>
      <c r="H104" s="306" t="s">
        <v>612</v>
      </c>
      <c r="I104" s="308">
        <v>7.7700000000000005E-2</v>
      </c>
    </row>
    <row r="105" spans="2:9">
      <c r="B105" s="307">
        <v>44209</v>
      </c>
      <c r="C105" s="306">
        <v>164.65</v>
      </c>
      <c r="D105" s="306">
        <v>242.6</v>
      </c>
      <c r="E105" s="306">
        <v>242.9</v>
      </c>
      <c r="F105" s="306">
        <v>248.8</v>
      </c>
      <c r="G105" s="306">
        <v>238.4</v>
      </c>
      <c r="H105" s="306" t="s">
        <v>613</v>
      </c>
      <c r="I105" s="308">
        <v>2.0199999999999999E-2</v>
      </c>
    </row>
    <row r="106" spans="2:9">
      <c r="B106" s="307">
        <v>44210</v>
      </c>
      <c r="C106" s="306">
        <v>86.82</v>
      </c>
      <c r="D106" s="306">
        <v>245.1</v>
      </c>
      <c r="E106" s="306">
        <v>242.85</v>
      </c>
      <c r="F106" s="306">
        <v>249.8</v>
      </c>
      <c r="G106" s="306">
        <v>238.6</v>
      </c>
      <c r="H106" s="306" t="s">
        <v>614</v>
      </c>
      <c r="I106" s="308">
        <v>1.03E-2</v>
      </c>
    </row>
    <row r="107" spans="2:9">
      <c r="B107" s="307">
        <v>44211</v>
      </c>
      <c r="C107" s="306">
        <v>250.04</v>
      </c>
      <c r="D107" s="306">
        <v>260.3</v>
      </c>
      <c r="E107" s="306">
        <v>246</v>
      </c>
      <c r="F107" s="306">
        <v>264.64999999999998</v>
      </c>
      <c r="G107" s="306">
        <v>242.6</v>
      </c>
      <c r="H107" s="306" t="s">
        <v>615</v>
      </c>
      <c r="I107" s="308">
        <v>6.2E-2</v>
      </c>
    </row>
    <row r="108" spans="2:9">
      <c r="B108" s="307">
        <v>44214</v>
      </c>
      <c r="C108" s="306">
        <v>173.38</v>
      </c>
      <c r="D108" s="306">
        <v>245.95</v>
      </c>
      <c r="E108" s="306">
        <v>261.64999999999998</v>
      </c>
      <c r="F108" s="306">
        <v>262.45</v>
      </c>
      <c r="G108" s="306">
        <v>241.15</v>
      </c>
      <c r="H108" s="306" t="s">
        <v>616</v>
      </c>
      <c r="I108" s="308">
        <v>-5.5100000000000003E-2</v>
      </c>
    </row>
    <row r="109" spans="2:9">
      <c r="B109" s="307">
        <v>44215</v>
      </c>
      <c r="C109" s="306">
        <v>136.86000000000001</v>
      </c>
      <c r="D109" s="306">
        <v>258.64999999999998</v>
      </c>
      <c r="E109" s="306">
        <v>251.5</v>
      </c>
      <c r="F109" s="306">
        <v>261.7</v>
      </c>
      <c r="G109" s="306">
        <v>251.3</v>
      </c>
      <c r="H109" s="306" t="s">
        <v>617</v>
      </c>
      <c r="I109" s="308">
        <v>5.16E-2</v>
      </c>
    </row>
    <row r="110" spans="2:9">
      <c r="B110" s="307">
        <v>44216</v>
      </c>
      <c r="C110" s="306">
        <v>205.15</v>
      </c>
      <c r="D110" s="306">
        <v>274.89999999999998</v>
      </c>
      <c r="E110" s="306">
        <v>260</v>
      </c>
      <c r="F110" s="306">
        <v>277.5</v>
      </c>
      <c r="G110" s="306">
        <v>258.85000000000002</v>
      </c>
      <c r="H110" s="306" t="s">
        <v>618</v>
      </c>
      <c r="I110" s="308">
        <v>6.2799999999999995E-2</v>
      </c>
    </row>
    <row r="111" spans="2:9">
      <c r="B111" s="307">
        <v>44217</v>
      </c>
      <c r="C111" s="306">
        <v>283.61</v>
      </c>
      <c r="D111" s="306">
        <v>290.60000000000002</v>
      </c>
      <c r="E111" s="306">
        <v>281</v>
      </c>
      <c r="F111" s="306">
        <v>299</v>
      </c>
      <c r="G111" s="306">
        <v>280</v>
      </c>
      <c r="H111" s="306" t="s">
        <v>619</v>
      </c>
      <c r="I111" s="308">
        <v>5.7099999999999998E-2</v>
      </c>
    </row>
    <row r="112" spans="2:9">
      <c r="B112" s="307">
        <v>44218</v>
      </c>
      <c r="C112" s="306">
        <v>316.01</v>
      </c>
      <c r="D112" s="306">
        <v>289.35000000000002</v>
      </c>
      <c r="E112" s="306">
        <v>295.95</v>
      </c>
      <c r="F112" s="306">
        <v>306.89999999999998</v>
      </c>
      <c r="G112" s="306">
        <v>278.35000000000002</v>
      </c>
      <c r="H112" s="306" t="s">
        <v>620</v>
      </c>
      <c r="I112" s="308">
        <v>-4.3E-3</v>
      </c>
    </row>
    <row r="113" spans="2:9">
      <c r="B113" s="307">
        <v>44221</v>
      </c>
      <c r="C113" s="306">
        <v>164.35</v>
      </c>
      <c r="D113" s="306">
        <v>279.14999999999998</v>
      </c>
      <c r="E113" s="306">
        <v>296.89999999999998</v>
      </c>
      <c r="F113" s="306">
        <v>299.5</v>
      </c>
      <c r="G113" s="306">
        <v>277.35000000000002</v>
      </c>
      <c r="H113" s="306" t="s">
        <v>621</v>
      </c>
      <c r="I113" s="308">
        <v>-3.5299999999999998E-2</v>
      </c>
    </row>
    <row r="114" spans="2:9">
      <c r="B114" s="307">
        <v>44223</v>
      </c>
      <c r="C114" s="306">
        <v>126.59</v>
      </c>
      <c r="D114" s="306">
        <v>267.5</v>
      </c>
      <c r="E114" s="306">
        <v>274.89999999999998</v>
      </c>
      <c r="F114" s="306">
        <v>275</v>
      </c>
      <c r="G114" s="306">
        <v>265.7</v>
      </c>
      <c r="H114" s="306" t="s">
        <v>622</v>
      </c>
      <c r="I114" s="308">
        <v>-4.1700000000000001E-2</v>
      </c>
    </row>
    <row r="115" spans="2:9">
      <c r="B115" s="307">
        <v>44224</v>
      </c>
      <c r="C115" s="306">
        <v>129.16</v>
      </c>
      <c r="D115" s="306">
        <v>266.8</v>
      </c>
      <c r="E115" s="306">
        <v>260.05</v>
      </c>
      <c r="F115" s="306">
        <v>273.39999999999998</v>
      </c>
      <c r="G115" s="306">
        <v>259.05</v>
      </c>
      <c r="H115" s="306" t="s">
        <v>623</v>
      </c>
      <c r="I115" s="308">
        <v>-2.5999999999999999E-3</v>
      </c>
    </row>
    <row r="116" spans="2:9">
      <c r="B116" s="307">
        <v>44225</v>
      </c>
      <c r="C116" s="306">
        <v>138.44</v>
      </c>
      <c r="D116" s="306">
        <v>262.7</v>
      </c>
      <c r="E116" s="306">
        <v>273</v>
      </c>
      <c r="F116" s="306">
        <v>278.8</v>
      </c>
      <c r="G116" s="306">
        <v>260.60000000000002</v>
      </c>
      <c r="H116" s="306" t="s">
        <v>624</v>
      </c>
      <c r="I116" s="308">
        <v>-1.54E-2</v>
      </c>
    </row>
    <row r="117" spans="2:9">
      <c r="B117" s="307">
        <v>44228</v>
      </c>
      <c r="C117" s="306">
        <v>165.66</v>
      </c>
      <c r="D117" s="306">
        <v>279.60000000000002</v>
      </c>
      <c r="E117" s="306">
        <v>269.75</v>
      </c>
      <c r="F117" s="306">
        <v>282</v>
      </c>
      <c r="G117" s="306">
        <v>255.35</v>
      </c>
      <c r="H117" s="306" t="s">
        <v>625</v>
      </c>
      <c r="I117" s="308">
        <v>6.4299999999999996E-2</v>
      </c>
    </row>
    <row r="118" spans="2:9">
      <c r="B118" s="307">
        <v>44229</v>
      </c>
      <c r="C118" s="306">
        <v>251.97</v>
      </c>
      <c r="D118" s="306">
        <v>322</v>
      </c>
      <c r="E118" s="306">
        <v>293.60000000000002</v>
      </c>
      <c r="F118" s="306">
        <v>328.85</v>
      </c>
      <c r="G118" s="306">
        <v>290.39999999999998</v>
      </c>
      <c r="H118" s="306" t="s">
        <v>626</v>
      </c>
      <c r="I118" s="308">
        <v>0.15160000000000001</v>
      </c>
    </row>
    <row r="119" spans="2:9">
      <c r="B119" s="307">
        <v>44230</v>
      </c>
      <c r="C119" s="306">
        <v>224.19</v>
      </c>
      <c r="D119" s="306">
        <v>331</v>
      </c>
      <c r="E119" s="306">
        <v>339.2</v>
      </c>
      <c r="F119" s="306">
        <v>341.9</v>
      </c>
      <c r="G119" s="306">
        <v>326.2</v>
      </c>
      <c r="H119" s="306" t="s">
        <v>627</v>
      </c>
      <c r="I119" s="308">
        <v>2.8000000000000001E-2</v>
      </c>
    </row>
    <row r="120" spans="2:9">
      <c r="B120" s="307">
        <v>44231</v>
      </c>
      <c r="C120" s="306">
        <v>121.03</v>
      </c>
      <c r="D120" s="306">
        <v>326.14999999999998</v>
      </c>
      <c r="E120" s="306">
        <v>329</v>
      </c>
      <c r="F120" s="306">
        <v>334.5</v>
      </c>
      <c r="G120" s="306">
        <v>322.45</v>
      </c>
      <c r="H120" s="306" t="s">
        <v>628</v>
      </c>
      <c r="I120" s="308">
        <v>-1.47E-2</v>
      </c>
    </row>
    <row r="121" spans="2:9">
      <c r="B121" s="307">
        <v>44232</v>
      </c>
      <c r="C121" s="306">
        <v>103.51</v>
      </c>
      <c r="D121" s="306">
        <v>315.89999999999998</v>
      </c>
      <c r="E121" s="306">
        <v>327.60000000000002</v>
      </c>
      <c r="F121" s="306">
        <v>330</v>
      </c>
      <c r="G121" s="306">
        <v>312.60000000000002</v>
      </c>
      <c r="H121" s="306" t="s">
        <v>629</v>
      </c>
      <c r="I121" s="308">
        <v>-3.1399999999999997E-2</v>
      </c>
    </row>
    <row r="122" spans="2:9">
      <c r="B122" s="307">
        <v>44235</v>
      </c>
      <c r="C122" s="306">
        <v>102.12</v>
      </c>
      <c r="D122" s="306">
        <v>335.95</v>
      </c>
      <c r="E122" s="306">
        <v>318.75</v>
      </c>
      <c r="F122" s="306">
        <v>339.25</v>
      </c>
      <c r="G122" s="306">
        <v>318</v>
      </c>
      <c r="H122" s="306" t="s">
        <v>630</v>
      </c>
      <c r="I122" s="308">
        <v>6.3500000000000001E-2</v>
      </c>
    </row>
    <row r="123" spans="2:9">
      <c r="B123" s="307">
        <v>44236</v>
      </c>
      <c r="C123" s="306">
        <v>105.98</v>
      </c>
      <c r="D123" s="306">
        <v>325.05</v>
      </c>
      <c r="E123" s="306">
        <v>337</v>
      </c>
      <c r="F123" s="306">
        <v>338.5</v>
      </c>
      <c r="G123" s="306">
        <v>322.2</v>
      </c>
      <c r="H123" s="306" t="s">
        <v>631</v>
      </c>
      <c r="I123" s="308">
        <v>-3.2399999999999998E-2</v>
      </c>
    </row>
    <row r="124" spans="2:9">
      <c r="B124" s="307">
        <v>44237</v>
      </c>
      <c r="C124" s="306">
        <v>93.47</v>
      </c>
      <c r="D124" s="306">
        <v>328.9</v>
      </c>
      <c r="E124" s="306">
        <v>326</v>
      </c>
      <c r="F124" s="306">
        <v>332.65</v>
      </c>
      <c r="G124" s="306">
        <v>319.5</v>
      </c>
      <c r="H124" s="306" t="s">
        <v>632</v>
      </c>
      <c r="I124" s="308">
        <v>1.18E-2</v>
      </c>
    </row>
    <row r="125" spans="2:9">
      <c r="B125" s="307">
        <v>44238</v>
      </c>
      <c r="C125" s="306">
        <v>55.26</v>
      </c>
      <c r="D125" s="306">
        <v>325</v>
      </c>
      <c r="E125" s="306">
        <v>326.45</v>
      </c>
      <c r="F125" s="306">
        <v>331.35</v>
      </c>
      <c r="G125" s="306">
        <v>323.39999999999998</v>
      </c>
      <c r="H125" s="306" t="s">
        <v>633</v>
      </c>
      <c r="I125" s="308">
        <v>-1.1900000000000001E-2</v>
      </c>
    </row>
    <row r="126" spans="2:9">
      <c r="B126" s="307">
        <v>44239</v>
      </c>
      <c r="C126" s="306">
        <v>64.09</v>
      </c>
      <c r="D126" s="306">
        <v>325.39999999999998</v>
      </c>
      <c r="E126" s="306">
        <v>326.39999999999998</v>
      </c>
      <c r="F126" s="306">
        <v>330.5</v>
      </c>
      <c r="G126" s="306">
        <v>321.25</v>
      </c>
      <c r="H126" s="306" t="s">
        <v>634</v>
      </c>
      <c r="I126" s="308">
        <v>1.1999999999999999E-3</v>
      </c>
    </row>
    <row r="127" spans="2:9">
      <c r="B127" s="307">
        <v>44242</v>
      </c>
      <c r="C127" s="306">
        <v>78.680000000000007</v>
      </c>
      <c r="D127" s="306">
        <v>333.35</v>
      </c>
      <c r="E127" s="306">
        <v>329.9</v>
      </c>
      <c r="F127" s="306">
        <v>335.8</v>
      </c>
      <c r="G127" s="306">
        <v>324</v>
      </c>
      <c r="H127" s="306" t="s">
        <v>635</v>
      </c>
      <c r="I127" s="308">
        <v>2.4400000000000002E-2</v>
      </c>
    </row>
    <row r="128" spans="2:9">
      <c r="B128" s="307">
        <v>44243</v>
      </c>
      <c r="C128" s="306">
        <v>65.94</v>
      </c>
      <c r="D128" s="306">
        <v>329.2</v>
      </c>
      <c r="E128" s="306">
        <v>335.45</v>
      </c>
      <c r="F128" s="306">
        <v>337.9</v>
      </c>
      <c r="G128" s="306">
        <v>327.5</v>
      </c>
      <c r="H128" s="306" t="s">
        <v>636</v>
      </c>
      <c r="I128" s="308">
        <v>-1.24E-2</v>
      </c>
    </row>
    <row r="129" spans="2:9">
      <c r="B129" s="307">
        <v>44244</v>
      </c>
      <c r="C129" s="306">
        <v>52.15</v>
      </c>
      <c r="D129" s="306">
        <v>330.15</v>
      </c>
      <c r="E129" s="306">
        <v>326.89999999999998</v>
      </c>
      <c r="F129" s="306">
        <v>334.25</v>
      </c>
      <c r="G129" s="306">
        <v>325.45</v>
      </c>
      <c r="H129" s="306" t="s">
        <v>637</v>
      </c>
      <c r="I129" s="308">
        <v>2.8999999999999998E-3</v>
      </c>
    </row>
    <row r="130" spans="2:9">
      <c r="B130" s="307">
        <v>44245</v>
      </c>
      <c r="C130" s="306">
        <v>49.2</v>
      </c>
      <c r="D130" s="306">
        <v>323.85000000000002</v>
      </c>
      <c r="E130" s="306">
        <v>331.5</v>
      </c>
      <c r="F130" s="306">
        <v>331.75</v>
      </c>
      <c r="G130" s="306">
        <v>321.10000000000002</v>
      </c>
      <c r="H130" s="306" t="s">
        <v>638</v>
      </c>
      <c r="I130" s="308">
        <v>-1.9099999999999999E-2</v>
      </c>
    </row>
    <row r="131" spans="2:9">
      <c r="B131" s="307">
        <v>44246</v>
      </c>
      <c r="C131" s="306">
        <v>80.27</v>
      </c>
      <c r="D131" s="306">
        <v>311.85000000000002</v>
      </c>
      <c r="E131" s="306">
        <v>321.95</v>
      </c>
      <c r="F131" s="306">
        <v>321.95</v>
      </c>
      <c r="G131" s="306">
        <v>301.39999999999998</v>
      </c>
      <c r="H131" s="306" t="s">
        <v>639</v>
      </c>
      <c r="I131" s="308">
        <v>-3.7100000000000001E-2</v>
      </c>
    </row>
    <row r="132" spans="2:9">
      <c r="B132" s="307">
        <v>44249</v>
      </c>
      <c r="C132" s="306">
        <v>57.72</v>
      </c>
      <c r="D132" s="306">
        <v>304.5</v>
      </c>
      <c r="E132" s="306">
        <v>312.45</v>
      </c>
      <c r="F132" s="306">
        <v>313.89999999999998</v>
      </c>
      <c r="G132" s="306">
        <v>302.14999999999998</v>
      </c>
      <c r="H132" s="306" t="s">
        <v>640</v>
      </c>
      <c r="I132" s="308">
        <v>-2.3599999999999999E-2</v>
      </c>
    </row>
    <row r="133" spans="2:9">
      <c r="B133" s="307">
        <v>44250</v>
      </c>
      <c r="C133" s="306">
        <v>133.31</v>
      </c>
      <c r="D133" s="306">
        <v>324</v>
      </c>
      <c r="E133" s="306">
        <v>308.5</v>
      </c>
      <c r="F133" s="306">
        <v>328.9</v>
      </c>
      <c r="G133" s="306">
        <v>308.5</v>
      </c>
      <c r="H133" s="306" t="s">
        <v>641</v>
      </c>
      <c r="I133" s="308">
        <v>6.4000000000000001E-2</v>
      </c>
    </row>
    <row r="134" spans="2:9">
      <c r="B134" s="307">
        <v>44251</v>
      </c>
      <c r="C134" s="306">
        <v>50.82</v>
      </c>
      <c r="D134" s="306">
        <v>321.64999999999998</v>
      </c>
      <c r="E134" s="306">
        <v>325</v>
      </c>
      <c r="F134" s="306">
        <v>330</v>
      </c>
      <c r="G134" s="306">
        <v>316.5</v>
      </c>
      <c r="H134" s="306" t="s">
        <v>642</v>
      </c>
      <c r="I134" s="308">
        <v>-7.3000000000000001E-3</v>
      </c>
    </row>
    <row r="135" spans="2:9">
      <c r="B135" s="307">
        <v>44252</v>
      </c>
      <c r="C135" s="306">
        <v>64.510000000000005</v>
      </c>
      <c r="D135" s="306">
        <v>333.15</v>
      </c>
      <c r="E135" s="306">
        <v>325.35000000000002</v>
      </c>
      <c r="F135" s="306">
        <v>334.7</v>
      </c>
      <c r="G135" s="306">
        <v>323.25</v>
      </c>
      <c r="H135" s="306" t="s">
        <v>643</v>
      </c>
      <c r="I135" s="308">
        <v>3.5799999999999998E-2</v>
      </c>
    </row>
    <row r="136" spans="2:9">
      <c r="B136" s="307">
        <v>44253</v>
      </c>
      <c r="C136" s="306">
        <v>91.9</v>
      </c>
      <c r="D136" s="306">
        <v>322.95</v>
      </c>
      <c r="E136" s="306">
        <v>323</v>
      </c>
      <c r="F136" s="306">
        <v>332.95</v>
      </c>
      <c r="G136" s="306">
        <v>318.85000000000002</v>
      </c>
      <c r="H136" s="306" t="s">
        <v>644</v>
      </c>
      <c r="I136" s="308">
        <v>-3.0599999999999999E-2</v>
      </c>
    </row>
    <row r="137" spans="2:9">
      <c r="B137" s="307">
        <v>44256</v>
      </c>
      <c r="C137" s="306">
        <v>61.19</v>
      </c>
      <c r="D137" s="306">
        <v>328.3</v>
      </c>
      <c r="E137" s="306">
        <v>330</v>
      </c>
      <c r="F137" s="306">
        <v>331.85</v>
      </c>
      <c r="G137" s="306">
        <v>322.7</v>
      </c>
      <c r="H137" s="306" t="s">
        <v>645</v>
      </c>
      <c r="I137" s="308">
        <v>1.66E-2</v>
      </c>
    </row>
    <row r="138" spans="2:9">
      <c r="B138" s="307">
        <v>44257</v>
      </c>
      <c r="C138" s="306">
        <v>127.71</v>
      </c>
      <c r="D138" s="306">
        <v>345.75</v>
      </c>
      <c r="E138" s="306">
        <v>331.1</v>
      </c>
      <c r="F138" s="306">
        <v>347.2</v>
      </c>
      <c r="G138" s="306">
        <v>326.45</v>
      </c>
      <c r="H138" s="306" t="s">
        <v>646</v>
      </c>
      <c r="I138" s="308">
        <v>5.3199999999999997E-2</v>
      </c>
    </row>
    <row r="139" spans="2:9">
      <c r="B139" s="307">
        <v>44258</v>
      </c>
      <c r="C139" s="306">
        <v>92.01</v>
      </c>
      <c r="D139" s="306">
        <v>348.5</v>
      </c>
      <c r="E139" s="306">
        <v>348.65</v>
      </c>
      <c r="F139" s="306">
        <v>357</v>
      </c>
      <c r="G139" s="306">
        <v>346.5</v>
      </c>
      <c r="H139" s="306" t="s">
        <v>647</v>
      </c>
      <c r="I139" s="308">
        <v>8.0000000000000002E-3</v>
      </c>
    </row>
    <row r="140" spans="2:9">
      <c r="B140" s="307">
        <v>44259</v>
      </c>
      <c r="C140" s="306">
        <v>59.86</v>
      </c>
      <c r="D140" s="306">
        <v>339.2</v>
      </c>
      <c r="E140" s="306">
        <v>339</v>
      </c>
      <c r="F140" s="306">
        <v>345.4</v>
      </c>
      <c r="G140" s="306">
        <v>337.3</v>
      </c>
      <c r="H140" s="306" t="s">
        <v>648</v>
      </c>
      <c r="I140" s="308">
        <v>-2.6700000000000002E-2</v>
      </c>
    </row>
    <row r="141" spans="2:9">
      <c r="B141" s="307">
        <v>44260</v>
      </c>
      <c r="C141" s="306">
        <v>86.74</v>
      </c>
      <c r="D141" s="306">
        <v>325.14999999999998</v>
      </c>
      <c r="E141" s="306">
        <v>333</v>
      </c>
      <c r="F141" s="306">
        <v>337.85</v>
      </c>
      <c r="G141" s="306">
        <v>319.7</v>
      </c>
      <c r="H141" s="306" t="s">
        <v>649</v>
      </c>
      <c r="I141" s="308">
        <v>-4.1399999999999999E-2</v>
      </c>
    </row>
    <row r="142" spans="2:9">
      <c r="B142" s="307">
        <v>44263</v>
      </c>
      <c r="C142" s="306">
        <v>81.93</v>
      </c>
      <c r="D142" s="306">
        <v>321.25</v>
      </c>
      <c r="E142" s="306">
        <v>331.75</v>
      </c>
      <c r="F142" s="306">
        <v>331.75</v>
      </c>
      <c r="G142" s="306">
        <v>318.8</v>
      </c>
      <c r="H142" s="306" t="s">
        <v>650</v>
      </c>
      <c r="I142" s="308">
        <v>-1.2E-2</v>
      </c>
    </row>
    <row r="143" spans="2:9">
      <c r="B143" s="307">
        <v>44264</v>
      </c>
      <c r="C143" s="306">
        <v>74.7</v>
      </c>
      <c r="D143" s="306">
        <v>315.2</v>
      </c>
      <c r="E143" s="306">
        <v>325</v>
      </c>
      <c r="F143" s="306">
        <v>328.35</v>
      </c>
      <c r="G143" s="306">
        <v>309.60000000000002</v>
      </c>
      <c r="H143" s="306" t="s">
        <v>651</v>
      </c>
      <c r="I143" s="308">
        <v>-1.8800000000000001E-2</v>
      </c>
    </row>
    <row r="144" spans="2:9">
      <c r="B144" s="307">
        <v>44265</v>
      </c>
      <c r="C144" s="306">
        <v>58.64</v>
      </c>
      <c r="D144" s="306">
        <v>321.45</v>
      </c>
      <c r="E144" s="306">
        <v>319.5</v>
      </c>
      <c r="F144" s="306">
        <v>324.45</v>
      </c>
      <c r="G144" s="306">
        <v>316.7</v>
      </c>
      <c r="H144" s="306" t="s">
        <v>652</v>
      </c>
      <c r="I144" s="308">
        <v>1.9800000000000002E-2</v>
      </c>
    </row>
    <row r="145" spans="2:9">
      <c r="B145" s="307">
        <v>44267</v>
      </c>
      <c r="C145" s="306">
        <v>48.36</v>
      </c>
      <c r="D145" s="306">
        <v>317.55</v>
      </c>
      <c r="E145" s="306">
        <v>325.05</v>
      </c>
      <c r="F145" s="306">
        <v>326.5</v>
      </c>
      <c r="G145" s="306">
        <v>314.14999999999998</v>
      </c>
      <c r="H145" s="306" t="s">
        <v>653</v>
      </c>
      <c r="I145" s="308">
        <v>-1.21E-2</v>
      </c>
    </row>
    <row r="146" spans="2:9">
      <c r="B146" s="307">
        <v>44270</v>
      </c>
      <c r="C146" s="306">
        <v>45.08</v>
      </c>
      <c r="D146" s="306">
        <v>318.55</v>
      </c>
      <c r="E146" s="306">
        <v>320</v>
      </c>
      <c r="F146" s="306">
        <v>320.39999999999998</v>
      </c>
      <c r="G146" s="306">
        <v>310.05</v>
      </c>
      <c r="H146" s="306" t="s">
        <v>654</v>
      </c>
      <c r="I146" s="308">
        <v>3.0999999999999999E-3</v>
      </c>
    </row>
    <row r="147" spans="2:9">
      <c r="B147" s="307">
        <v>44271</v>
      </c>
      <c r="C147" s="306">
        <v>39.270000000000003</v>
      </c>
      <c r="D147" s="306">
        <v>319.95</v>
      </c>
      <c r="E147" s="306">
        <v>321</v>
      </c>
      <c r="F147" s="306">
        <v>321.89999999999998</v>
      </c>
      <c r="G147" s="306">
        <v>315.10000000000002</v>
      </c>
      <c r="H147" s="306" t="s">
        <v>655</v>
      </c>
      <c r="I147" s="308">
        <v>4.4000000000000003E-3</v>
      </c>
    </row>
    <row r="148" spans="2:9">
      <c r="B148" s="307">
        <v>44272</v>
      </c>
      <c r="C148" s="306">
        <v>47.26</v>
      </c>
      <c r="D148" s="306">
        <v>305.8</v>
      </c>
      <c r="E148" s="306">
        <v>318.60000000000002</v>
      </c>
      <c r="F148" s="306">
        <v>320</v>
      </c>
      <c r="G148" s="306">
        <v>304</v>
      </c>
      <c r="H148" s="306" t="s">
        <v>656</v>
      </c>
      <c r="I148" s="308">
        <v>-4.4200000000000003E-2</v>
      </c>
    </row>
    <row r="149" spans="2:9">
      <c r="B149" s="307">
        <v>44273</v>
      </c>
      <c r="C149" s="306">
        <v>73.73</v>
      </c>
      <c r="D149" s="306">
        <v>307</v>
      </c>
      <c r="E149" s="306">
        <v>311</v>
      </c>
      <c r="F149" s="306">
        <v>316.60000000000002</v>
      </c>
      <c r="G149" s="306">
        <v>299.75</v>
      </c>
      <c r="H149" s="306" t="s">
        <v>657</v>
      </c>
      <c r="I149" s="308">
        <v>3.8999999999999998E-3</v>
      </c>
    </row>
    <row r="150" spans="2:9">
      <c r="B150" s="307">
        <v>44274</v>
      </c>
      <c r="C150" s="306">
        <v>109.93</v>
      </c>
      <c r="D150" s="306">
        <v>308.95</v>
      </c>
      <c r="E150" s="306">
        <v>303.5</v>
      </c>
      <c r="F150" s="306">
        <v>311</v>
      </c>
      <c r="G150" s="306">
        <v>290.2</v>
      </c>
      <c r="H150" s="306" t="s">
        <v>658</v>
      </c>
      <c r="I150" s="308">
        <v>6.4000000000000003E-3</v>
      </c>
    </row>
    <row r="151" spans="2:9">
      <c r="B151" s="307">
        <v>44277</v>
      </c>
      <c r="C151" s="306">
        <v>56.39</v>
      </c>
      <c r="D151" s="306">
        <v>303.05</v>
      </c>
      <c r="E151" s="306">
        <v>306.45</v>
      </c>
      <c r="F151" s="306">
        <v>307.5</v>
      </c>
      <c r="G151" s="306">
        <v>300.10000000000002</v>
      </c>
      <c r="H151" s="306" t="s">
        <v>659</v>
      </c>
      <c r="I151" s="308">
        <v>-1.9099999999999999E-2</v>
      </c>
    </row>
    <row r="152" spans="2:9">
      <c r="B152" s="307">
        <v>44278</v>
      </c>
      <c r="C152" s="306">
        <v>60.24</v>
      </c>
      <c r="D152" s="306">
        <v>307.39999999999998</v>
      </c>
      <c r="E152" s="306">
        <v>305</v>
      </c>
      <c r="F152" s="306">
        <v>312.25</v>
      </c>
      <c r="G152" s="306">
        <v>304</v>
      </c>
      <c r="H152" s="306" t="s">
        <v>660</v>
      </c>
      <c r="I152" s="308">
        <v>1.44E-2</v>
      </c>
    </row>
    <row r="153" spans="2:9">
      <c r="B153" s="307">
        <v>44279</v>
      </c>
      <c r="C153" s="306">
        <v>61.52</v>
      </c>
      <c r="D153" s="306">
        <v>294.45</v>
      </c>
      <c r="E153" s="306">
        <v>303.55</v>
      </c>
      <c r="F153" s="306">
        <v>305</v>
      </c>
      <c r="G153" s="306">
        <v>293.2</v>
      </c>
      <c r="H153" s="306" t="s">
        <v>661</v>
      </c>
      <c r="I153" s="308">
        <v>-4.2099999999999999E-2</v>
      </c>
    </row>
    <row r="154" spans="2:9">
      <c r="B154" s="307">
        <v>44280</v>
      </c>
      <c r="C154" s="306">
        <v>84.53</v>
      </c>
      <c r="D154" s="306">
        <v>285.55</v>
      </c>
      <c r="E154" s="306">
        <v>294</v>
      </c>
      <c r="F154" s="306">
        <v>294</v>
      </c>
      <c r="G154" s="306">
        <v>282.25</v>
      </c>
      <c r="H154" s="306" t="s">
        <v>662</v>
      </c>
      <c r="I154" s="308">
        <v>-3.0200000000000001E-2</v>
      </c>
    </row>
    <row r="155" spans="2:9">
      <c r="B155" s="307">
        <v>44281</v>
      </c>
      <c r="C155" s="306">
        <v>80.92</v>
      </c>
      <c r="D155" s="306">
        <v>296.39999999999998</v>
      </c>
      <c r="E155" s="306">
        <v>290.5</v>
      </c>
      <c r="F155" s="306">
        <v>301.39999999999998</v>
      </c>
      <c r="G155" s="306">
        <v>290.5</v>
      </c>
      <c r="H155" s="306" t="s">
        <v>663</v>
      </c>
      <c r="I155" s="308">
        <v>3.7999999999999999E-2</v>
      </c>
    </row>
    <row r="156" spans="2:9">
      <c r="B156" s="307">
        <v>44285</v>
      </c>
      <c r="C156" s="306">
        <v>45.26</v>
      </c>
      <c r="D156" s="306">
        <v>297.05</v>
      </c>
      <c r="E156" s="306">
        <v>300.5</v>
      </c>
      <c r="F156" s="306">
        <v>301.3</v>
      </c>
      <c r="G156" s="306">
        <v>292.7</v>
      </c>
      <c r="H156" s="306" t="s">
        <v>664</v>
      </c>
      <c r="I156" s="308">
        <v>2.2000000000000001E-3</v>
      </c>
    </row>
    <row r="157" spans="2:9">
      <c r="B157" s="307">
        <v>44286</v>
      </c>
      <c r="C157" s="306">
        <v>58.57</v>
      </c>
      <c r="D157" s="306">
        <v>301.8</v>
      </c>
      <c r="E157" s="306">
        <v>299</v>
      </c>
      <c r="F157" s="306">
        <v>307.5</v>
      </c>
      <c r="G157" s="306">
        <v>297.5</v>
      </c>
      <c r="H157" s="306" t="s">
        <v>665</v>
      </c>
      <c r="I157" s="308">
        <v>1.6E-2</v>
      </c>
    </row>
    <row r="158" spans="2:9">
      <c r="B158" s="307">
        <v>44287</v>
      </c>
      <c r="C158" s="306">
        <v>44.09</v>
      </c>
      <c r="D158" s="306">
        <v>307.75</v>
      </c>
      <c r="E158" s="306">
        <v>306.75</v>
      </c>
      <c r="F158" s="306">
        <v>309.85000000000002</v>
      </c>
      <c r="G158" s="306">
        <v>303.05</v>
      </c>
      <c r="H158" s="306" t="s">
        <v>666</v>
      </c>
      <c r="I158" s="308">
        <v>1.9699999999999999E-2</v>
      </c>
    </row>
    <row r="159" spans="2:9">
      <c r="B159" s="307">
        <v>44291</v>
      </c>
      <c r="C159" s="306">
        <v>66.180000000000007</v>
      </c>
      <c r="D159" s="306">
        <v>305.05</v>
      </c>
      <c r="E159" s="306">
        <v>306.8</v>
      </c>
      <c r="F159" s="306">
        <v>311.7</v>
      </c>
      <c r="G159" s="306">
        <v>297.2</v>
      </c>
      <c r="H159" s="306" t="s">
        <v>667</v>
      </c>
      <c r="I159" s="308">
        <v>-8.8000000000000005E-3</v>
      </c>
    </row>
    <row r="160" spans="2:9">
      <c r="B160" s="307">
        <v>44292</v>
      </c>
      <c r="C160" s="306">
        <v>63.03</v>
      </c>
      <c r="D160" s="306">
        <v>307.75</v>
      </c>
      <c r="E160" s="306">
        <v>306.14999999999998</v>
      </c>
      <c r="F160" s="306">
        <v>313.8</v>
      </c>
      <c r="G160" s="306">
        <v>304.8</v>
      </c>
      <c r="H160" s="306" t="s">
        <v>668</v>
      </c>
      <c r="I160" s="308">
        <v>8.8999999999999999E-3</v>
      </c>
    </row>
    <row r="161" spans="2:9">
      <c r="B161" s="307">
        <v>44293</v>
      </c>
      <c r="C161" s="306">
        <v>39.07</v>
      </c>
      <c r="D161" s="306">
        <v>307.8</v>
      </c>
      <c r="E161" s="306">
        <v>306.75</v>
      </c>
      <c r="F161" s="306">
        <v>310.64999999999998</v>
      </c>
      <c r="G161" s="306">
        <v>305.10000000000002</v>
      </c>
      <c r="H161" s="306" t="s">
        <v>669</v>
      </c>
      <c r="I161" s="308">
        <v>2.0000000000000001E-4</v>
      </c>
    </row>
    <row r="162" spans="2:9">
      <c r="B162" s="307">
        <v>44294</v>
      </c>
      <c r="C162" s="306">
        <v>62.46</v>
      </c>
      <c r="D162" s="306">
        <v>313.95</v>
      </c>
      <c r="E162" s="306">
        <v>307.89999999999998</v>
      </c>
      <c r="F162" s="306">
        <v>319.8</v>
      </c>
      <c r="G162" s="306">
        <v>307.5</v>
      </c>
      <c r="H162" s="306" t="s">
        <v>670</v>
      </c>
      <c r="I162" s="308">
        <v>0.02</v>
      </c>
    </row>
    <row r="163" spans="2:9">
      <c r="B163" s="307">
        <v>44295</v>
      </c>
      <c r="C163" s="306">
        <v>75.459999999999994</v>
      </c>
      <c r="D163" s="306">
        <v>318.2</v>
      </c>
      <c r="E163" s="306">
        <v>313.2</v>
      </c>
      <c r="F163" s="306">
        <v>325</v>
      </c>
      <c r="G163" s="306">
        <v>312.5</v>
      </c>
      <c r="H163" s="306" t="s">
        <v>671</v>
      </c>
      <c r="I163" s="308">
        <v>1.35E-2</v>
      </c>
    </row>
    <row r="164" spans="2:9">
      <c r="B164" s="307">
        <v>44298</v>
      </c>
      <c r="C164" s="306">
        <v>105.34</v>
      </c>
      <c r="D164" s="306">
        <v>286.55</v>
      </c>
      <c r="E164" s="306">
        <v>307.85000000000002</v>
      </c>
      <c r="F164" s="306">
        <v>307.85000000000002</v>
      </c>
      <c r="G164" s="306">
        <v>282.89999999999998</v>
      </c>
      <c r="H164" s="306" t="s">
        <v>672</v>
      </c>
      <c r="I164" s="308">
        <v>-9.9500000000000005E-2</v>
      </c>
    </row>
    <row r="165" spans="2:9">
      <c r="B165" s="307">
        <v>44299</v>
      </c>
      <c r="C165" s="306">
        <v>116.87</v>
      </c>
      <c r="D165" s="306">
        <v>302.85000000000002</v>
      </c>
      <c r="E165" s="306">
        <v>287.25</v>
      </c>
      <c r="F165" s="306">
        <v>304.55</v>
      </c>
      <c r="G165" s="306">
        <v>280.55</v>
      </c>
      <c r="H165" s="306" t="s">
        <v>673</v>
      </c>
      <c r="I165" s="308">
        <v>5.6899999999999999E-2</v>
      </c>
    </row>
    <row r="166" spans="2:9">
      <c r="B166" s="307">
        <v>44301</v>
      </c>
      <c r="C166" s="306">
        <v>75.260000000000005</v>
      </c>
      <c r="D166" s="306">
        <v>303.5</v>
      </c>
      <c r="E166" s="306">
        <v>303</v>
      </c>
      <c r="F166" s="306">
        <v>307.55</v>
      </c>
      <c r="G166" s="306">
        <v>296.5</v>
      </c>
      <c r="H166" s="306" t="s">
        <v>674</v>
      </c>
      <c r="I166" s="308">
        <v>2.0999999999999999E-3</v>
      </c>
    </row>
    <row r="167" spans="2:9">
      <c r="B167" s="307">
        <v>44302</v>
      </c>
      <c r="C167" s="306">
        <v>75.33</v>
      </c>
      <c r="D167" s="306">
        <v>310</v>
      </c>
      <c r="E167" s="306">
        <v>302</v>
      </c>
      <c r="F167" s="306">
        <v>315</v>
      </c>
      <c r="G167" s="306">
        <v>300.14999999999998</v>
      </c>
      <c r="H167" s="306" t="s">
        <v>675</v>
      </c>
      <c r="I167" s="308">
        <v>2.1399999999999999E-2</v>
      </c>
    </row>
    <row r="168" spans="2:9">
      <c r="B168" s="307">
        <v>44305</v>
      </c>
      <c r="C168" s="306">
        <v>65.790000000000006</v>
      </c>
      <c r="D168" s="306">
        <v>301.39999999999998</v>
      </c>
      <c r="E168" s="306">
        <v>295</v>
      </c>
      <c r="F168" s="306">
        <v>304.5</v>
      </c>
      <c r="G168" s="306">
        <v>292.8</v>
      </c>
      <c r="H168" s="306" t="s">
        <v>676</v>
      </c>
      <c r="I168" s="308">
        <v>-2.7699999999999999E-2</v>
      </c>
    </row>
    <row r="169" spans="2:9">
      <c r="B169" s="307">
        <v>44306</v>
      </c>
      <c r="C169" s="306">
        <v>56.74</v>
      </c>
      <c r="D169" s="306">
        <v>298.05</v>
      </c>
      <c r="E169" s="306">
        <v>307.7</v>
      </c>
      <c r="F169" s="306">
        <v>308.14999999999998</v>
      </c>
      <c r="G169" s="306">
        <v>294.2</v>
      </c>
      <c r="H169" s="306" t="s">
        <v>677</v>
      </c>
      <c r="I169" s="308">
        <v>-1.11E-2</v>
      </c>
    </row>
    <row r="170" spans="2:9">
      <c r="B170" s="307">
        <v>44308</v>
      </c>
      <c r="C170" s="306">
        <v>61.02</v>
      </c>
      <c r="D170" s="306">
        <v>294.55</v>
      </c>
      <c r="E170" s="306">
        <v>294</v>
      </c>
      <c r="F170" s="306">
        <v>302.5</v>
      </c>
      <c r="G170" s="306">
        <v>292.2</v>
      </c>
      <c r="H170" s="306" t="s">
        <v>678</v>
      </c>
      <c r="I170" s="308">
        <v>-1.17E-2</v>
      </c>
    </row>
    <row r="171" spans="2:9">
      <c r="B171" s="307">
        <v>44309</v>
      </c>
      <c r="C171" s="306">
        <v>58.16</v>
      </c>
      <c r="D171" s="306">
        <v>294</v>
      </c>
      <c r="E171" s="306">
        <v>291</v>
      </c>
      <c r="F171" s="306">
        <v>300</v>
      </c>
      <c r="G171" s="306">
        <v>290.5</v>
      </c>
      <c r="H171" s="306" t="s">
        <v>679</v>
      </c>
      <c r="I171" s="308">
        <v>-1.9E-3</v>
      </c>
    </row>
    <row r="172" spans="2:9">
      <c r="B172" s="307">
        <v>44312</v>
      </c>
      <c r="C172" s="306">
        <v>30.58</v>
      </c>
      <c r="D172" s="306">
        <v>295.39999999999998</v>
      </c>
      <c r="E172" s="306">
        <v>297</v>
      </c>
      <c r="F172" s="306">
        <v>299</v>
      </c>
      <c r="G172" s="306">
        <v>294.60000000000002</v>
      </c>
      <c r="H172" s="306" t="s">
        <v>680</v>
      </c>
      <c r="I172" s="308">
        <v>4.7999999999999996E-3</v>
      </c>
    </row>
    <row r="173" spans="2:9">
      <c r="B173" s="307">
        <v>44313</v>
      </c>
      <c r="C173" s="306">
        <v>35.04</v>
      </c>
      <c r="D173" s="306">
        <v>301.5</v>
      </c>
      <c r="E173" s="306">
        <v>295.7</v>
      </c>
      <c r="F173" s="306">
        <v>302.5</v>
      </c>
      <c r="G173" s="306">
        <v>295.10000000000002</v>
      </c>
      <c r="H173" s="306" t="s">
        <v>681</v>
      </c>
      <c r="I173" s="308">
        <v>2.06E-2</v>
      </c>
    </row>
    <row r="174" spans="2:9">
      <c r="B174" s="307">
        <v>44314</v>
      </c>
      <c r="C174" s="306">
        <v>44.67</v>
      </c>
      <c r="D174" s="306">
        <v>305.89999999999998</v>
      </c>
      <c r="E174" s="306">
        <v>303.5</v>
      </c>
      <c r="F174" s="306">
        <v>309.5</v>
      </c>
      <c r="G174" s="306">
        <v>303</v>
      </c>
      <c r="H174" s="306" t="s">
        <v>682</v>
      </c>
      <c r="I174" s="308">
        <v>1.46E-2</v>
      </c>
    </row>
    <row r="175" spans="2:9">
      <c r="B175" s="307">
        <v>44315</v>
      </c>
      <c r="C175" s="306">
        <v>36.65</v>
      </c>
      <c r="D175" s="306">
        <v>301.89999999999998</v>
      </c>
      <c r="E175" s="306">
        <v>308.89999999999998</v>
      </c>
      <c r="F175" s="306">
        <v>310</v>
      </c>
      <c r="G175" s="306">
        <v>301.25</v>
      </c>
      <c r="H175" s="306" t="s">
        <v>683</v>
      </c>
      <c r="I175" s="308">
        <v>-1.3100000000000001E-2</v>
      </c>
    </row>
    <row r="176" spans="2:9">
      <c r="B176" s="307">
        <v>44316</v>
      </c>
      <c r="C176" s="306">
        <v>36.119999999999997</v>
      </c>
      <c r="D176" s="306">
        <v>293.85000000000002</v>
      </c>
      <c r="E176" s="306">
        <v>298.2</v>
      </c>
      <c r="F176" s="306">
        <v>301.3</v>
      </c>
      <c r="G176" s="306">
        <v>292.55</v>
      </c>
      <c r="H176" s="306" t="s">
        <v>684</v>
      </c>
      <c r="I176" s="308">
        <v>-2.6700000000000002E-2</v>
      </c>
    </row>
    <row r="177" spans="2:9">
      <c r="B177" s="307">
        <v>44319</v>
      </c>
      <c r="C177" s="306">
        <v>35.380000000000003</v>
      </c>
      <c r="D177" s="306">
        <v>293</v>
      </c>
      <c r="E177" s="306">
        <v>289.3</v>
      </c>
      <c r="F177" s="306">
        <v>294.75</v>
      </c>
      <c r="G177" s="306">
        <v>285</v>
      </c>
      <c r="H177" s="306" t="s">
        <v>685</v>
      </c>
      <c r="I177" s="308">
        <v>-2.8999999999999998E-3</v>
      </c>
    </row>
    <row r="178" spans="2:9">
      <c r="B178" s="307">
        <v>44320</v>
      </c>
      <c r="C178" s="306">
        <v>38.64</v>
      </c>
      <c r="D178" s="306">
        <v>289.45</v>
      </c>
      <c r="E178" s="306">
        <v>296.35000000000002</v>
      </c>
      <c r="F178" s="306">
        <v>299.75</v>
      </c>
      <c r="G178" s="306">
        <v>288.05</v>
      </c>
      <c r="H178" s="306" t="s">
        <v>686</v>
      </c>
      <c r="I178" s="308">
        <v>-1.21E-2</v>
      </c>
    </row>
    <row r="179" spans="2:9">
      <c r="B179" s="307">
        <v>44321</v>
      </c>
      <c r="C179" s="306">
        <v>29.35</v>
      </c>
      <c r="D179" s="306">
        <v>291.5</v>
      </c>
      <c r="E179" s="306">
        <v>293.5</v>
      </c>
      <c r="F179" s="306">
        <v>293.89999999999998</v>
      </c>
      <c r="G179" s="306">
        <v>288.5</v>
      </c>
      <c r="H179" s="306" t="s">
        <v>687</v>
      </c>
      <c r="I179" s="308">
        <v>7.1000000000000004E-3</v>
      </c>
    </row>
    <row r="180" spans="2:9">
      <c r="B180" s="307">
        <v>44322</v>
      </c>
      <c r="C180" s="306">
        <v>45.03</v>
      </c>
      <c r="D180" s="306">
        <v>301.25</v>
      </c>
      <c r="E180" s="306">
        <v>291.5</v>
      </c>
      <c r="F180" s="306">
        <v>302</v>
      </c>
      <c r="G180" s="306">
        <v>290.3</v>
      </c>
      <c r="H180" s="306" t="s">
        <v>688</v>
      </c>
      <c r="I180" s="308">
        <v>3.3399999999999999E-2</v>
      </c>
    </row>
    <row r="181" spans="2:9">
      <c r="B181" s="307">
        <v>44323</v>
      </c>
      <c r="C181" s="306">
        <v>41.59</v>
      </c>
      <c r="D181" s="306">
        <v>302.75</v>
      </c>
      <c r="E181" s="306">
        <v>303</v>
      </c>
      <c r="F181" s="306">
        <v>305.95</v>
      </c>
      <c r="G181" s="306">
        <v>300.5</v>
      </c>
      <c r="H181" s="306" t="s">
        <v>689</v>
      </c>
      <c r="I181" s="308">
        <v>5.0000000000000001E-3</v>
      </c>
    </row>
    <row r="182" spans="2:9">
      <c r="B182" s="307">
        <v>44326</v>
      </c>
      <c r="C182" s="306">
        <v>53.26</v>
      </c>
      <c r="D182" s="306">
        <v>314.85000000000002</v>
      </c>
      <c r="E182" s="306">
        <v>304.5</v>
      </c>
      <c r="F182" s="306">
        <v>315.7</v>
      </c>
      <c r="G182" s="306">
        <v>304</v>
      </c>
      <c r="H182" s="306" t="s">
        <v>690</v>
      </c>
      <c r="I182" s="308">
        <v>0.04</v>
      </c>
    </row>
    <row r="183" spans="2:9">
      <c r="B183" s="307">
        <v>44327</v>
      </c>
      <c r="C183" s="306">
        <v>58.47</v>
      </c>
      <c r="D183" s="306">
        <v>315.55</v>
      </c>
      <c r="E183" s="306">
        <v>309.55</v>
      </c>
      <c r="F183" s="306">
        <v>320.75</v>
      </c>
      <c r="G183" s="306">
        <v>308.10000000000002</v>
      </c>
      <c r="H183" s="306" t="s">
        <v>691</v>
      </c>
      <c r="I183" s="308">
        <v>2.2000000000000001E-3</v>
      </c>
    </row>
    <row r="184" spans="2:9">
      <c r="B184" s="307">
        <v>44328</v>
      </c>
      <c r="C184" s="306">
        <v>111.58</v>
      </c>
      <c r="D184" s="306">
        <v>326</v>
      </c>
      <c r="E184" s="306">
        <v>318.25</v>
      </c>
      <c r="F184" s="306">
        <v>334.75</v>
      </c>
      <c r="G184" s="306">
        <v>316.25</v>
      </c>
      <c r="H184" s="306" t="s">
        <v>692</v>
      </c>
      <c r="I184" s="308">
        <v>3.3099999999999997E-2</v>
      </c>
    </row>
    <row r="185" spans="2:9">
      <c r="B185" s="307">
        <v>44330</v>
      </c>
      <c r="C185" s="306">
        <v>81.31</v>
      </c>
      <c r="D185" s="306">
        <v>312.25</v>
      </c>
      <c r="E185" s="306">
        <v>329.35</v>
      </c>
      <c r="F185" s="306">
        <v>329.5</v>
      </c>
      <c r="G185" s="306">
        <v>310</v>
      </c>
      <c r="H185" s="306" t="s">
        <v>693</v>
      </c>
      <c r="I185" s="308">
        <v>-4.2200000000000001E-2</v>
      </c>
    </row>
    <row r="186" spans="2:9">
      <c r="B186" s="307">
        <v>44333</v>
      </c>
      <c r="C186" s="306">
        <v>51.16</v>
      </c>
      <c r="D186" s="306">
        <v>321.10000000000002</v>
      </c>
      <c r="E186" s="306">
        <v>315.39999999999998</v>
      </c>
      <c r="F186" s="306">
        <v>323.85000000000002</v>
      </c>
      <c r="G186" s="306">
        <v>311.39999999999998</v>
      </c>
      <c r="H186" s="306" t="s">
        <v>694</v>
      </c>
      <c r="I186" s="308">
        <v>2.8299999999999999E-2</v>
      </c>
    </row>
    <row r="187" spans="2:9">
      <c r="B187" s="307">
        <v>44334</v>
      </c>
      <c r="C187" s="306">
        <v>86.15</v>
      </c>
      <c r="D187" s="306">
        <v>332.45</v>
      </c>
      <c r="E187" s="306">
        <v>325.95</v>
      </c>
      <c r="F187" s="306">
        <v>336.65</v>
      </c>
      <c r="G187" s="306">
        <v>324</v>
      </c>
      <c r="H187" s="306" t="s">
        <v>695</v>
      </c>
      <c r="I187" s="308">
        <v>3.5299999999999998E-2</v>
      </c>
    </row>
    <row r="188" spans="2:9">
      <c r="B188" s="307">
        <v>44335</v>
      </c>
      <c r="C188" s="306">
        <v>119.41</v>
      </c>
      <c r="D188" s="306">
        <v>314.45</v>
      </c>
      <c r="E188" s="306">
        <v>313</v>
      </c>
      <c r="F188" s="306">
        <v>322.95</v>
      </c>
      <c r="G188" s="306">
        <v>312.10000000000002</v>
      </c>
      <c r="H188" s="306" t="s">
        <v>696</v>
      </c>
      <c r="I188" s="308">
        <v>-5.4100000000000002E-2</v>
      </c>
    </row>
    <row r="189" spans="2:9">
      <c r="B189" s="307">
        <v>44336</v>
      </c>
      <c r="C189" s="306">
        <v>54.04</v>
      </c>
      <c r="D189" s="306">
        <v>307.7</v>
      </c>
      <c r="E189" s="306">
        <v>316</v>
      </c>
      <c r="F189" s="306">
        <v>316.60000000000002</v>
      </c>
      <c r="G189" s="306">
        <v>306.10000000000002</v>
      </c>
      <c r="H189" s="306" t="s">
        <v>697</v>
      </c>
      <c r="I189" s="308">
        <v>-2.1499999999999998E-2</v>
      </c>
    </row>
    <row r="190" spans="2:9">
      <c r="B190" s="307">
        <v>44337</v>
      </c>
      <c r="C190" s="306">
        <v>40.36</v>
      </c>
      <c r="D190" s="306">
        <v>313.10000000000002</v>
      </c>
      <c r="E190" s="306">
        <v>312</v>
      </c>
      <c r="F190" s="306">
        <v>315.7</v>
      </c>
      <c r="G190" s="306">
        <v>309.5</v>
      </c>
      <c r="H190" s="306" t="s">
        <v>698</v>
      </c>
      <c r="I190" s="308">
        <v>1.7500000000000002E-2</v>
      </c>
    </row>
    <row r="191" spans="2:9">
      <c r="B191" s="307">
        <v>44340</v>
      </c>
      <c r="C191" s="306">
        <v>31.96</v>
      </c>
      <c r="D191" s="306">
        <v>311.85000000000002</v>
      </c>
      <c r="E191" s="306">
        <v>314.75</v>
      </c>
      <c r="F191" s="306">
        <v>315.8</v>
      </c>
      <c r="G191" s="306">
        <v>310.2</v>
      </c>
      <c r="H191" s="306" t="s">
        <v>699</v>
      </c>
      <c r="I191" s="308">
        <v>-4.0000000000000001E-3</v>
      </c>
    </row>
    <row r="192" spans="2:9">
      <c r="B192" s="307">
        <v>44341</v>
      </c>
      <c r="C192" s="306">
        <v>37.380000000000003</v>
      </c>
      <c r="D192" s="306">
        <v>315.25</v>
      </c>
      <c r="E192" s="306">
        <v>315.55</v>
      </c>
      <c r="F192" s="306">
        <v>319</v>
      </c>
      <c r="G192" s="306">
        <v>313.85000000000002</v>
      </c>
      <c r="H192" s="306" t="s">
        <v>700</v>
      </c>
      <c r="I192" s="308">
        <v>1.09E-2</v>
      </c>
    </row>
    <row r="193" spans="2:9">
      <c r="B193" s="307">
        <v>44342</v>
      </c>
      <c r="C193" s="306">
        <v>28.64</v>
      </c>
      <c r="D193" s="306">
        <v>315.5</v>
      </c>
      <c r="E193" s="306">
        <v>316.10000000000002</v>
      </c>
      <c r="F193" s="306">
        <v>320</v>
      </c>
      <c r="G193" s="306">
        <v>314.8</v>
      </c>
      <c r="H193" s="306" t="s">
        <v>701</v>
      </c>
      <c r="I193" s="308">
        <v>8.0000000000000004E-4</v>
      </c>
    </row>
    <row r="194" spans="2:9">
      <c r="B194" s="307">
        <v>44343</v>
      </c>
      <c r="C194" s="306">
        <v>49.48</v>
      </c>
      <c r="D194" s="306">
        <v>318.60000000000002</v>
      </c>
      <c r="E194" s="306">
        <v>317.05</v>
      </c>
      <c r="F194" s="306">
        <v>323.45</v>
      </c>
      <c r="G194" s="306">
        <v>316.55</v>
      </c>
      <c r="H194" s="306" t="s">
        <v>702</v>
      </c>
      <c r="I194" s="308">
        <v>9.7999999999999997E-3</v>
      </c>
    </row>
    <row r="195" spans="2:9">
      <c r="B195" s="307">
        <v>44344</v>
      </c>
      <c r="C195" s="306">
        <v>26.62</v>
      </c>
      <c r="D195" s="306">
        <v>318.75</v>
      </c>
      <c r="E195" s="306">
        <v>322.64999999999998</v>
      </c>
      <c r="F195" s="306">
        <v>324.5</v>
      </c>
      <c r="G195" s="306">
        <v>316.5</v>
      </c>
      <c r="H195" s="306" t="s">
        <v>703</v>
      </c>
      <c r="I195" s="308">
        <v>5.0000000000000001E-4</v>
      </c>
    </row>
    <row r="196" spans="2:9">
      <c r="B196" s="307">
        <v>44347</v>
      </c>
      <c r="C196" s="306">
        <v>30.92</v>
      </c>
      <c r="D196" s="306">
        <v>318.75</v>
      </c>
      <c r="E196" s="306">
        <v>318.7</v>
      </c>
      <c r="F196" s="306">
        <v>319.75</v>
      </c>
      <c r="G196" s="306">
        <v>312.10000000000002</v>
      </c>
      <c r="H196" s="306" t="s">
        <v>704</v>
      </c>
      <c r="I196" s="308">
        <v>0</v>
      </c>
    </row>
    <row r="197" spans="2:9">
      <c r="B197" s="307">
        <v>44348</v>
      </c>
      <c r="C197" s="306">
        <v>32.6</v>
      </c>
      <c r="D197" s="306">
        <v>318.10000000000002</v>
      </c>
      <c r="E197" s="306">
        <v>319.2</v>
      </c>
      <c r="F197" s="306">
        <v>325.7</v>
      </c>
      <c r="G197" s="306">
        <v>317.3</v>
      </c>
      <c r="H197" s="306" t="s">
        <v>705</v>
      </c>
      <c r="I197" s="308">
        <v>-2E-3</v>
      </c>
    </row>
    <row r="198" spans="2:9">
      <c r="B198" s="307">
        <v>44349</v>
      </c>
      <c r="C198" s="306">
        <v>26.32</v>
      </c>
      <c r="D198" s="306">
        <v>323</v>
      </c>
      <c r="E198" s="306">
        <v>315.95</v>
      </c>
      <c r="F198" s="306">
        <v>324.39999999999998</v>
      </c>
      <c r="G198" s="306">
        <v>315.60000000000002</v>
      </c>
      <c r="H198" s="306" t="s">
        <v>706</v>
      </c>
      <c r="I198" s="308">
        <v>1.54E-2</v>
      </c>
    </row>
    <row r="199" spans="2:9">
      <c r="B199" s="307">
        <v>44350</v>
      </c>
      <c r="C199" s="306">
        <v>21.41</v>
      </c>
      <c r="D199" s="306">
        <v>325.64999999999998</v>
      </c>
      <c r="E199" s="306">
        <v>325.3</v>
      </c>
      <c r="F199" s="306">
        <v>327.7</v>
      </c>
      <c r="G199" s="306">
        <v>323.64999999999998</v>
      </c>
      <c r="H199" s="306" t="s">
        <v>707</v>
      </c>
      <c r="I199" s="308">
        <v>8.2000000000000007E-3</v>
      </c>
    </row>
    <row r="200" spans="2:9">
      <c r="B200" s="307">
        <v>44351</v>
      </c>
      <c r="C200" s="306">
        <v>41.28</v>
      </c>
      <c r="D200" s="306">
        <v>334.95</v>
      </c>
      <c r="E200" s="306">
        <v>325.14999999999998</v>
      </c>
      <c r="F200" s="306">
        <v>336.9</v>
      </c>
      <c r="G200" s="306">
        <v>324.25</v>
      </c>
      <c r="H200" s="306" t="s">
        <v>708</v>
      </c>
      <c r="I200" s="308">
        <v>2.86E-2</v>
      </c>
    </row>
    <row r="201" spans="2:9">
      <c r="B201" s="307">
        <v>44354</v>
      </c>
      <c r="C201" s="306">
        <v>64.989999999999995</v>
      </c>
      <c r="D201" s="306">
        <v>345.5</v>
      </c>
      <c r="E201" s="306">
        <v>339.75</v>
      </c>
      <c r="F201" s="306">
        <v>351</v>
      </c>
      <c r="G201" s="306">
        <v>339.75</v>
      </c>
      <c r="H201" s="306" t="s">
        <v>709</v>
      </c>
      <c r="I201" s="308">
        <v>3.15E-2</v>
      </c>
    </row>
    <row r="202" spans="2:9">
      <c r="B202" s="307">
        <v>44355</v>
      </c>
      <c r="C202" s="306">
        <v>44.11</v>
      </c>
      <c r="D202" s="306">
        <v>352.75</v>
      </c>
      <c r="E202" s="306">
        <v>346.25</v>
      </c>
      <c r="F202" s="306">
        <v>356.65</v>
      </c>
      <c r="G202" s="306">
        <v>337.5</v>
      </c>
      <c r="H202" s="306" t="s">
        <v>710</v>
      </c>
      <c r="I202" s="308">
        <v>2.1000000000000001E-2</v>
      </c>
    </row>
    <row r="203" spans="2:9">
      <c r="B203" s="307">
        <v>44356</v>
      </c>
      <c r="C203" s="306">
        <v>59.33</v>
      </c>
      <c r="D203" s="306">
        <v>343.35</v>
      </c>
      <c r="E203" s="306">
        <v>356.2</v>
      </c>
      <c r="F203" s="306">
        <v>358.9</v>
      </c>
      <c r="G203" s="306">
        <v>339.75</v>
      </c>
      <c r="H203" s="306" t="s">
        <v>711</v>
      </c>
      <c r="I203" s="308">
        <v>-2.6599999999999999E-2</v>
      </c>
    </row>
    <row r="204" spans="2:9">
      <c r="B204" s="307">
        <v>44357</v>
      </c>
      <c r="C204" s="306">
        <v>24.35</v>
      </c>
      <c r="D204" s="306">
        <v>344.75</v>
      </c>
      <c r="E204" s="306">
        <v>345.2</v>
      </c>
      <c r="F204" s="306">
        <v>347.85</v>
      </c>
      <c r="G204" s="306">
        <v>342.4</v>
      </c>
      <c r="H204" s="306" t="s">
        <v>712</v>
      </c>
      <c r="I204" s="308">
        <v>4.1000000000000003E-3</v>
      </c>
    </row>
    <row r="205" spans="2:9">
      <c r="B205" s="307">
        <v>44358</v>
      </c>
      <c r="C205" s="306">
        <v>36.44</v>
      </c>
      <c r="D205" s="306">
        <v>350.75</v>
      </c>
      <c r="E205" s="306">
        <v>346</v>
      </c>
      <c r="F205" s="306">
        <v>352.9</v>
      </c>
      <c r="G205" s="306">
        <v>344.35</v>
      </c>
      <c r="H205" s="306" t="s">
        <v>713</v>
      </c>
      <c r="I205" s="308">
        <v>1.7399999999999999E-2</v>
      </c>
    </row>
    <row r="206" spans="2:9">
      <c r="B206" s="307">
        <v>44361</v>
      </c>
      <c r="C206" s="306">
        <v>38.479999999999997</v>
      </c>
      <c r="D206" s="306">
        <v>355.95</v>
      </c>
      <c r="E206" s="306">
        <v>350.05</v>
      </c>
      <c r="F206" s="306">
        <v>357.9</v>
      </c>
      <c r="G206" s="306">
        <v>341.1</v>
      </c>
      <c r="H206" s="306" t="s">
        <v>714</v>
      </c>
      <c r="I206" s="308">
        <v>1.4800000000000001E-2</v>
      </c>
    </row>
    <row r="207" spans="2:9">
      <c r="B207" s="307">
        <v>44362</v>
      </c>
      <c r="C207" s="306">
        <v>35.53</v>
      </c>
      <c r="D207" s="306">
        <v>352.7</v>
      </c>
      <c r="E207" s="306">
        <v>355.75</v>
      </c>
      <c r="F207" s="306">
        <v>360.75</v>
      </c>
      <c r="G207" s="306">
        <v>351.5</v>
      </c>
      <c r="H207" s="306" t="s">
        <v>715</v>
      </c>
      <c r="I207" s="308">
        <v>-9.1000000000000004E-3</v>
      </c>
    </row>
    <row r="208" spans="2:9">
      <c r="B208" s="307">
        <v>44363</v>
      </c>
      <c r="C208" s="306">
        <v>27.55</v>
      </c>
      <c r="D208" s="306">
        <v>349.35</v>
      </c>
      <c r="E208" s="306">
        <v>350.1</v>
      </c>
      <c r="F208" s="306">
        <v>356</v>
      </c>
      <c r="G208" s="306">
        <v>348.1</v>
      </c>
      <c r="H208" s="306" t="s">
        <v>716</v>
      </c>
      <c r="I208" s="308">
        <v>-9.4999999999999998E-3</v>
      </c>
    </row>
    <row r="209" spans="2:9">
      <c r="B209" s="307">
        <v>44364</v>
      </c>
      <c r="C209" s="306">
        <v>29.24</v>
      </c>
      <c r="D209" s="306">
        <v>345.65</v>
      </c>
      <c r="E209" s="306">
        <v>348.4</v>
      </c>
      <c r="F209" s="306">
        <v>352.9</v>
      </c>
      <c r="G209" s="306">
        <v>342.25</v>
      </c>
      <c r="H209" s="306" t="s">
        <v>717</v>
      </c>
      <c r="I209" s="308">
        <v>-1.06E-2</v>
      </c>
    </row>
    <row r="210" spans="2:9">
      <c r="B210" s="307">
        <v>44365</v>
      </c>
      <c r="C210" s="306">
        <v>49.44</v>
      </c>
      <c r="D210" s="306">
        <v>337.4</v>
      </c>
      <c r="E210" s="306">
        <v>345.65</v>
      </c>
      <c r="F210" s="306">
        <v>346.9</v>
      </c>
      <c r="G210" s="306">
        <v>329</v>
      </c>
      <c r="H210" s="306" t="s">
        <v>718</v>
      </c>
      <c r="I210" s="308">
        <v>-2.3900000000000001E-2</v>
      </c>
    </row>
    <row r="211" spans="2:9">
      <c r="B211" s="307">
        <v>44368</v>
      </c>
      <c r="C211" s="306">
        <v>29.12</v>
      </c>
      <c r="D211" s="306">
        <v>334.3</v>
      </c>
      <c r="E211" s="306">
        <v>330.9</v>
      </c>
      <c r="F211" s="306">
        <v>335.8</v>
      </c>
      <c r="G211" s="306">
        <v>326.2</v>
      </c>
      <c r="H211" s="306" t="s">
        <v>719</v>
      </c>
      <c r="I211" s="308">
        <v>-9.1999999999999998E-3</v>
      </c>
    </row>
    <row r="212" spans="2:9">
      <c r="B212" s="307">
        <v>44369</v>
      </c>
      <c r="C212" s="306">
        <v>26.71</v>
      </c>
      <c r="D212" s="306">
        <v>337.9</v>
      </c>
      <c r="E212" s="306">
        <v>337.1</v>
      </c>
      <c r="F212" s="306">
        <v>344.3</v>
      </c>
      <c r="G212" s="306">
        <v>336.15</v>
      </c>
      <c r="H212" s="306" t="s">
        <v>720</v>
      </c>
      <c r="I212" s="308">
        <v>1.0800000000000001E-2</v>
      </c>
    </row>
    <row r="213" spans="2:9">
      <c r="B213" s="307">
        <v>44370</v>
      </c>
      <c r="C213" s="306">
        <v>25.74</v>
      </c>
      <c r="D213" s="306">
        <v>335.25</v>
      </c>
      <c r="E213" s="306">
        <v>341</v>
      </c>
      <c r="F213" s="306">
        <v>343.25</v>
      </c>
      <c r="G213" s="306">
        <v>334.3</v>
      </c>
      <c r="H213" s="306" t="s">
        <v>721</v>
      </c>
      <c r="I213" s="308">
        <v>-7.7999999999999996E-3</v>
      </c>
    </row>
    <row r="214" spans="2:9">
      <c r="B214" s="307">
        <v>44371</v>
      </c>
      <c r="C214" s="306">
        <v>15.58</v>
      </c>
      <c r="D214" s="306">
        <v>334.65</v>
      </c>
      <c r="E214" s="306">
        <v>335</v>
      </c>
      <c r="F214" s="306">
        <v>337.4</v>
      </c>
      <c r="G214" s="306">
        <v>333.35</v>
      </c>
      <c r="H214" s="306" t="s">
        <v>722</v>
      </c>
      <c r="I214" s="308">
        <v>-1.8E-3</v>
      </c>
    </row>
    <row r="215" spans="2:9">
      <c r="B215" s="307">
        <v>44372</v>
      </c>
      <c r="C215" s="306">
        <v>22.43</v>
      </c>
      <c r="D215" s="306">
        <v>339.65</v>
      </c>
      <c r="E215" s="306">
        <v>335.9</v>
      </c>
      <c r="F215" s="306">
        <v>342.8</v>
      </c>
      <c r="G215" s="306">
        <v>335.9</v>
      </c>
      <c r="H215" s="306" t="s">
        <v>723</v>
      </c>
      <c r="I215" s="308">
        <v>1.49E-2</v>
      </c>
    </row>
    <row r="216" spans="2:9">
      <c r="B216" s="307">
        <v>44375</v>
      </c>
      <c r="C216" s="306">
        <v>17.84</v>
      </c>
      <c r="D216" s="306">
        <v>342.8</v>
      </c>
      <c r="E216" s="306">
        <v>340.8</v>
      </c>
      <c r="F216" s="306">
        <v>345</v>
      </c>
      <c r="G216" s="306">
        <v>337.55</v>
      </c>
      <c r="H216" s="306" t="s">
        <v>724</v>
      </c>
      <c r="I216" s="308">
        <v>9.2999999999999992E-3</v>
      </c>
    </row>
    <row r="217" spans="2:9">
      <c r="B217" s="307">
        <v>44376</v>
      </c>
      <c r="C217" s="306">
        <v>22.46</v>
      </c>
      <c r="D217" s="306">
        <v>341.55</v>
      </c>
      <c r="E217" s="306">
        <v>342.65</v>
      </c>
      <c r="F217" s="306">
        <v>346.5</v>
      </c>
      <c r="G217" s="306">
        <v>339.6</v>
      </c>
      <c r="H217" s="306" t="s">
        <v>725</v>
      </c>
      <c r="I217" s="308">
        <v>-3.5999999999999999E-3</v>
      </c>
    </row>
    <row r="218" spans="2:9">
      <c r="B218" s="307">
        <v>44377</v>
      </c>
      <c r="C218" s="306">
        <v>18.28</v>
      </c>
      <c r="D218" s="306">
        <v>339.6</v>
      </c>
      <c r="E218" s="306">
        <v>342</v>
      </c>
      <c r="F218" s="306">
        <v>345.35</v>
      </c>
      <c r="G218" s="306">
        <v>338.85</v>
      </c>
      <c r="H218" s="306" t="s">
        <v>726</v>
      </c>
      <c r="I218" s="308">
        <v>-5.7000000000000002E-3</v>
      </c>
    </row>
    <row r="219" spans="2:9">
      <c r="B219" s="307">
        <v>44378</v>
      </c>
      <c r="C219" s="306">
        <v>27.94</v>
      </c>
      <c r="D219" s="306">
        <v>344.25</v>
      </c>
      <c r="E219" s="306">
        <v>341.5</v>
      </c>
      <c r="F219" s="306">
        <v>347.4</v>
      </c>
      <c r="G219" s="306">
        <v>341.2</v>
      </c>
      <c r="H219" s="306" t="s">
        <v>727</v>
      </c>
      <c r="I219" s="308">
        <v>1.37E-2</v>
      </c>
    </row>
    <row r="220" spans="2:9">
      <c r="B220" s="307">
        <v>44379</v>
      </c>
      <c r="C220" s="306">
        <v>18.3</v>
      </c>
      <c r="D220" s="306">
        <v>344.9</v>
      </c>
      <c r="E220" s="306">
        <v>345.3</v>
      </c>
      <c r="F220" s="306">
        <v>345.55</v>
      </c>
      <c r="G220" s="306">
        <v>340.5</v>
      </c>
      <c r="H220" s="306" t="s">
        <v>728</v>
      </c>
      <c r="I220" s="308">
        <v>1.9E-3</v>
      </c>
    </row>
    <row r="221" spans="2:9">
      <c r="B221" s="307">
        <v>44382</v>
      </c>
      <c r="C221" s="306">
        <v>18.399999999999999</v>
      </c>
      <c r="D221" s="306">
        <v>346.1</v>
      </c>
      <c r="E221" s="306">
        <v>347.05</v>
      </c>
      <c r="F221" s="306">
        <v>350.1</v>
      </c>
      <c r="G221" s="306">
        <v>344</v>
      </c>
      <c r="H221" s="306" t="s">
        <v>729</v>
      </c>
      <c r="I221" s="308">
        <v>3.5000000000000001E-3</v>
      </c>
    </row>
    <row r="222" spans="2:9">
      <c r="B222" s="307">
        <v>44383</v>
      </c>
      <c r="C222" s="306">
        <v>164.08</v>
      </c>
      <c r="D222" s="306">
        <v>316.89999999999998</v>
      </c>
      <c r="E222" s="306">
        <v>348</v>
      </c>
      <c r="F222" s="306">
        <v>358.2</v>
      </c>
      <c r="G222" s="306">
        <v>311.5</v>
      </c>
      <c r="H222" s="306" t="s">
        <v>730</v>
      </c>
      <c r="I222" s="308">
        <v>-8.4400000000000003E-2</v>
      </c>
    </row>
    <row r="223" spans="2:9">
      <c r="B223" s="307">
        <v>44384</v>
      </c>
      <c r="C223" s="306">
        <v>112.18</v>
      </c>
      <c r="D223" s="306">
        <v>317.10000000000002</v>
      </c>
      <c r="E223" s="306">
        <v>316</v>
      </c>
      <c r="F223" s="306">
        <v>319.10000000000002</v>
      </c>
      <c r="G223" s="306">
        <v>306.25</v>
      </c>
      <c r="H223" s="306" t="s">
        <v>731</v>
      </c>
      <c r="I223" s="308">
        <v>5.9999999999999995E-4</v>
      </c>
    </row>
    <row r="224" spans="2:9">
      <c r="B224" s="307">
        <v>44385</v>
      </c>
      <c r="C224" s="306">
        <v>87.36</v>
      </c>
      <c r="D224" s="306">
        <v>306.35000000000002</v>
      </c>
      <c r="E224" s="306">
        <v>314.8</v>
      </c>
      <c r="F224" s="306">
        <v>314.8</v>
      </c>
      <c r="G224" s="306">
        <v>305</v>
      </c>
      <c r="H224" s="306" t="s">
        <v>732</v>
      </c>
      <c r="I224" s="308">
        <v>-3.39E-2</v>
      </c>
    </row>
    <row r="225" spans="2:9">
      <c r="B225" s="307">
        <v>44386</v>
      </c>
      <c r="C225" s="306">
        <v>48.81</v>
      </c>
      <c r="D225" s="306">
        <v>306.3</v>
      </c>
      <c r="E225" s="306">
        <v>305.8</v>
      </c>
      <c r="F225" s="306">
        <v>308.85000000000002</v>
      </c>
      <c r="G225" s="306">
        <v>301.85000000000002</v>
      </c>
      <c r="H225" s="306" t="s">
        <v>557</v>
      </c>
      <c r="I225" s="308">
        <v>-2.0000000000000001E-4</v>
      </c>
    </row>
    <row r="226" spans="2:9">
      <c r="B226" s="307">
        <v>44389</v>
      </c>
      <c r="C226" s="306">
        <v>32.28</v>
      </c>
      <c r="D226" s="306">
        <v>307.45</v>
      </c>
      <c r="E226" s="306">
        <v>310.8</v>
      </c>
      <c r="F226" s="306">
        <v>312</v>
      </c>
      <c r="G226" s="306">
        <v>306.10000000000002</v>
      </c>
      <c r="H226" s="306" t="s">
        <v>733</v>
      </c>
      <c r="I226" s="308">
        <v>3.8E-3</v>
      </c>
    </row>
    <row r="227" spans="2:9">
      <c r="B227" s="307">
        <v>44390</v>
      </c>
      <c r="C227" s="306">
        <v>25.74</v>
      </c>
      <c r="D227" s="306">
        <v>310.95</v>
      </c>
      <c r="E227" s="306">
        <v>310</v>
      </c>
      <c r="F227" s="306">
        <v>312.25</v>
      </c>
      <c r="G227" s="306">
        <v>308.14999999999998</v>
      </c>
      <c r="H227" s="306" t="s">
        <v>721</v>
      </c>
      <c r="I227" s="308">
        <v>1.14E-2</v>
      </c>
    </row>
    <row r="228" spans="2:9">
      <c r="B228" s="307">
        <v>44391</v>
      </c>
      <c r="C228" s="306">
        <v>21.86</v>
      </c>
      <c r="D228" s="306">
        <v>309.55</v>
      </c>
      <c r="E228" s="306">
        <v>310</v>
      </c>
      <c r="F228" s="306">
        <v>313.3</v>
      </c>
      <c r="G228" s="306">
        <v>308.64999999999998</v>
      </c>
      <c r="H228" s="306" t="s">
        <v>734</v>
      </c>
      <c r="I228" s="308">
        <v>-4.4999999999999997E-3</v>
      </c>
    </row>
    <row r="229" spans="2:9">
      <c r="B229" s="307">
        <v>44392</v>
      </c>
      <c r="C229" s="306">
        <v>23.62</v>
      </c>
      <c r="D229" s="306">
        <v>310.25</v>
      </c>
      <c r="E229" s="306">
        <v>310.5</v>
      </c>
      <c r="F229" s="306">
        <v>312.85000000000002</v>
      </c>
      <c r="G229" s="306">
        <v>307.60000000000002</v>
      </c>
      <c r="H229" s="306" t="s">
        <v>735</v>
      </c>
      <c r="I229" s="308">
        <v>2.3E-3</v>
      </c>
    </row>
    <row r="230" spans="2:9">
      <c r="B230" s="307">
        <v>44393</v>
      </c>
      <c r="C230" s="306">
        <v>25.15</v>
      </c>
      <c r="D230" s="306">
        <v>311.25</v>
      </c>
      <c r="E230" s="306">
        <v>311.10000000000002</v>
      </c>
      <c r="F230" s="306">
        <v>315.45</v>
      </c>
      <c r="G230" s="306">
        <v>310.5</v>
      </c>
      <c r="H230" s="306" t="s">
        <v>736</v>
      </c>
      <c r="I230" s="308">
        <v>3.2000000000000002E-3</v>
      </c>
    </row>
    <row r="231" spans="2:9">
      <c r="B231" s="307">
        <v>44396</v>
      </c>
      <c r="C231" s="306">
        <v>21.35</v>
      </c>
      <c r="D231" s="306">
        <v>308.85000000000002</v>
      </c>
      <c r="E231" s="306">
        <v>308.95</v>
      </c>
      <c r="F231" s="306">
        <v>310.3</v>
      </c>
      <c r="G231" s="306">
        <v>306</v>
      </c>
      <c r="H231" s="306" t="s">
        <v>737</v>
      </c>
      <c r="I231" s="308">
        <v>-7.7000000000000002E-3</v>
      </c>
    </row>
    <row r="232" spans="2:9">
      <c r="B232" s="307">
        <v>44397</v>
      </c>
      <c r="C232" s="306">
        <v>27.67</v>
      </c>
      <c r="D232" s="306">
        <v>302.14999999999998</v>
      </c>
      <c r="E232" s="306">
        <v>307</v>
      </c>
      <c r="F232" s="306">
        <v>308</v>
      </c>
      <c r="G232" s="306">
        <v>301.05</v>
      </c>
      <c r="H232" s="306" t="s">
        <v>738</v>
      </c>
      <c r="I232" s="308">
        <v>-2.1700000000000001E-2</v>
      </c>
    </row>
    <row r="233" spans="2:9">
      <c r="B233" s="307">
        <v>44399</v>
      </c>
      <c r="C233" s="306">
        <v>21.34</v>
      </c>
      <c r="D233" s="306">
        <v>302.55</v>
      </c>
      <c r="E233" s="306">
        <v>305.5</v>
      </c>
      <c r="F233" s="306">
        <v>307.45</v>
      </c>
      <c r="G233" s="306">
        <v>301.05</v>
      </c>
      <c r="H233" s="306" t="s">
        <v>739</v>
      </c>
      <c r="I233" s="308">
        <v>1.2999999999999999E-3</v>
      </c>
    </row>
    <row r="234" spans="2:9">
      <c r="B234" s="307">
        <v>44400</v>
      </c>
      <c r="C234" s="306">
        <v>33.44</v>
      </c>
      <c r="D234" s="306">
        <v>295.55</v>
      </c>
      <c r="E234" s="306">
        <v>300.5</v>
      </c>
      <c r="F234" s="306">
        <v>301.89999999999998</v>
      </c>
      <c r="G234" s="306">
        <v>295</v>
      </c>
      <c r="H234" s="306" t="s">
        <v>740</v>
      </c>
      <c r="I234" s="308">
        <v>-2.3099999999999999E-2</v>
      </c>
    </row>
    <row r="235" spans="2:9">
      <c r="B235" s="307">
        <v>44403</v>
      </c>
      <c r="C235" s="306">
        <v>27.5</v>
      </c>
      <c r="D235" s="306">
        <v>293.14999999999998</v>
      </c>
      <c r="E235" s="306">
        <v>295</v>
      </c>
      <c r="F235" s="306">
        <v>297</v>
      </c>
      <c r="G235" s="306">
        <v>291</v>
      </c>
      <c r="H235" s="306" t="s">
        <v>741</v>
      </c>
      <c r="I235" s="308">
        <v>-8.0999999999999996E-3</v>
      </c>
    </row>
    <row r="236" spans="2:9">
      <c r="B236" s="307">
        <v>44404</v>
      </c>
      <c r="C236" s="306">
        <v>55.13</v>
      </c>
      <c r="D236" s="306">
        <v>291.39999999999998</v>
      </c>
      <c r="E236" s="306">
        <v>293</v>
      </c>
      <c r="F236" s="306">
        <v>297.64999999999998</v>
      </c>
      <c r="G236" s="306">
        <v>288.60000000000002</v>
      </c>
      <c r="H236" s="306" t="s">
        <v>742</v>
      </c>
      <c r="I236" s="308">
        <v>-6.0000000000000001E-3</v>
      </c>
    </row>
    <row r="237" spans="2:9">
      <c r="B237" s="307">
        <v>44405</v>
      </c>
      <c r="C237" s="306">
        <v>36.14</v>
      </c>
      <c r="D237" s="306">
        <v>284.45</v>
      </c>
      <c r="E237" s="306">
        <v>290</v>
      </c>
      <c r="F237" s="306">
        <v>290.89999999999998</v>
      </c>
      <c r="G237" s="306">
        <v>283.60000000000002</v>
      </c>
      <c r="H237" s="306" t="s">
        <v>743</v>
      </c>
      <c r="I237" s="308">
        <v>-2.3900000000000001E-2</v>
      </c>
    </row>
    <row r="238" spans="2:9">
      <c r="B238" s="307">
        <v>44406</v>
      </c>
      <c r="C238" s="306">
        <v>57.73</v>
      </c>
      <c r="D238" s="306">
        <v>292.89999999999998</v>
      </c>
      <c r="E238" s="306">
        <v>287.55</v>
      </c>
      <c r="F238" s="306">
        <v>295.39999999999998</v>
      </c>
      <c r="G238" s="306">
        <v>287.55</v>
      </c>
      <c r="H238" s="306" t="s">
        <v>744</v>
      </c>
      <c r="I238" s="308">
        <v>2.9700000000000001E-2</v>
      </c>
    </row>
    <row r="239" spans="2:9">
      <c r="B239" s="307">
        <v>44407</v>
      </c>
      <c r="C239" s="306">
        <v>30.59</v>
      </c>
      <c r="D239" s="306">
        <v>293.95</v>
      </c>
      <c r="E239" s="306">
        <v>294</v>
      </c>
      <c r="F239" s="306">
        <v>300</v>
      </c>
      <c r="G239" s="306">
        <v>293.25</v>
      </c>
      <c r="H239" s="306" t="s">
        <v>745</v>
      </c>
      <c r="I239" s="308">
        <v>3.5999999999999999E-3</v>
      </c>
    </row>
    <row r="240" spans="2:9">
      <c r="B240" s="307">
        <v>44410</v>
      </c>
      <c r="C240" s="306">
        <v>19.27</v>
      </c>
      <c r="D240" s="306">
        <v>296.85000000000002</v>
      </c>
      <c r="E240" s="306">
        <v>299.14999999999998</v>
      </c>
      <c r="F240" s="306">
        <v>299.39999999999998</v>
      </c>
      <c r="G240" s="306">
        <v>295.60000000000002</v>
      </c>
      <c r="H240" s="306" t="s">
        <v>746</v>
      </c>
      <c r="I240" s="308">
        <v>9.9000000000000008E-3</v>
      </c>
    </row>
    <row r="241" spans="2:9">
      <c r="B241" s="307">
        <v>44411</v>
      </c>
      <c r="C241" s="306">
        <v>31.06</v>
      </c>
      <c r="D241" s="306">
        <v>303.7</v>
      </c>
      <c r="E241" s="306">
        <v>298.5</v>
      </c>
      <c r="F241" s="306">
        <v>304.5</v>
      </c>
      <c r="G241" s="306">
        <v>297.7</v>
      </c>
      <c r="H241" s="306" t="s">
        <v>747</v>
      </c>
      <c r="I241" s="308">
        <v>2.3099999999999999E-2</v>
      </c>
    </row>
    <row r="242" spans="2:9">
      <c r="B242" s="307">
        <v>44412</v>
      </c>
      <c r="C242" s="306">
        <v>26.19</v>
      </c>
      <c r="D242" s="306">
        <v>298.14999999999998</v>
      </c>
      <c r="E242" s="306">
        <v>304.75</v>
      </c>
      <c r="F242" s="306">
        <v>306.45</v>
      </c>
      <c r="G242" s="306">
        <v>297.2</v>
      </c>
      <c r="H242" s="306" t="s">
        <v>748</v>
      </c>
      <c r="I242" s="308">
        <v>-1.83E-2</v>
      </c>
    </row>
    <row r="243" spans="2:9">
      <c r="B243" s="307">
        <v>44413</v>
      </c>
      <c r="C243" s="306">
        <v>20.7</v>
      </c>
      <c r="D243" s="306">
        <v>299.7</v>
      </c>
      <c r="E243" s="306">
        <v>295.5</v>
      </c>
      <c r="F243" s="306">
        <v>300.89999999999998</v>
      </c>
      <c r="G243" s="306">
        <v>292.75</v>
      </c>
      <c r="H243" s="306" t="s">
        <v>749</v>
      </c>
      <c r="I243" s="308">
        <v>5.1999999999999998E-3</v>
      </c>
    </row>
    <row r="244" spans="2:9">
      <c r="B244" s="307">
        <v>44414</v>
      </c>
      <c r="C244" s="306">
        <v>16</v>
      </c>
      <c r="D244" s="306">
        <v>300.05</v>
      </c>
      <c r="E244" s="306">
        <v>300.05</v>
      </c>
      <c r="F244" s="306">
        <v>303.39999999999998</v>
      </c>
      <c r="G244" s="306">
        <v>297.64999999999998</v>
      </c>
      <c r="H244" s="306" t="s">
        <v>750</v>
      </c>
      <c r="I244" s="308">
        <v>1.1999999999999999E-3</v>
      </c>
    </row>
    <row r="245" spans="2:9">
      <c r="B245" s="307">
        <v>44417</v>
      </c>
      <c r="C245" s="306">
        <v>16.989999999999998</v>
      </c>
      <c r="D245" s="306">
        <v>298.10000000000002</v>
      </c>
      <c r="E245" s="306">
        <v>300.75</v>
      </c>
      <c r="F245" s="306">
        <v>304.2</v>
      </c>
      <c r="G245" s="306">
        <v>296.05</v>
      </c>
      <c r="H245" s="306" t="s">
        <v>751</v>
      </c>
      <c r="I245" s="308">
        <v>-6.4999999999999997E-3</v>
      </c>
    </row>
    <row r="246" spans="2:9">
      <c r="B246" s="307">
        <v>44418</v>
      </c>
      <c r="C246" s="306">
        <v>15.17</v>
      </c>
      <c r="D246" s="306">
        <v>294.2</v>
      </c>
      <c r="E246" s="306">
        <v>297.89999999999998</v>
      </c>
      <c r="F246" s="306">
        <v>300.2</v>
      </c>
      <c r="G246" s="306">
        <v>291</v>
      </c>
      <c r="H246" s="306" t="s">
        <v>752</v>
      </c>
      <c r="I246" s="308">
        <v>-1.3100000000000001E-2</v>
      </c>
    </row>
    <row r="247" spans="2:9">
      <c r="B247" s="307">
        <v>44419</v>
      </c>
      <c r="C247" s="306">
        <v>20.8</v>
      </c>
      <c r="D247" s="306">
        <v>295.45</v>
      </c>
      <c r="E247" s="306">
        <v>295.3</v>
      </c>
      <c r="F247" s="306">
        <v>297.8</v>
      </c>
      <c r="G247" s="306">
        <v>286.45</v>
      </c>
      <c r="H247" s="306" t="s">
        <v>753</v>
      </c>
      <c r="I247" s="308">
        <v>4.1999999999999997E-3</v>
      </c>
    </row>
    <row r="248" spans="2:9">
      <c r="B248" s="307">
        <v>44420</v>
      </c>
      <c r="C248" s="306">
        <v>33.65</v>
      </c>
      <c r="D248" s="306">
        <v>306</v>
      </c>
      <c r="E248" s="306">
        <v>297.3</v>
      </c>
      <c r="F248" s="306">
        <v>307.39999999999998</v>
      </c>
      <c r="G248" s="306">
        <v>297.3</v>
      </c>
      <c r="H248" s="306" t="s">
        <v>754</v>
      </c>
      <c r="I248" s="308">
        <v>3.5700000000000003E-2</v>
      </c>
    </row>
    <row r="249" spans="2:9">
      <c r="B249" s="307">
        <v>44421</v>
      </c>
      <c r="C249" s="306">
        <v>34.92</v>
      </c>
      <c r="D249" s="306">
        <v>307.25</v>
      </c>
      <c r="E249" s="306">
        <v>308.8</v>
      </c>
      <c r="F249" s="306">
        <v>311.5</v>
      </c>
      <c r="G249" s="306">
        <v>303.05</v>
      </c>
      <c r="H249" s="306" t="s">
        <v>755</v>
      </c>
      <c r="I249" s="308">
        <v>4.1000000000000003E-3</v>
      </c>
    </row>
    <row r="250" spans="2:9">
      <c r="B250" s="307">
        <v>44424</v>
      </c>
      <c r="C250" s="306">
        <v>14.35</v>
      </c>
      <c r="D250" s="306">
        <v>303.7</v>
      </c>
      <c r="E250" s="306">
        <v>305.95</v>
      </c>
      <c r="F250" s="306">
        <v>307.85000000000002</v>
      </c>
      <c r="G250" s="306">
        <v>303.05</v>
      </c>
      <c r="H250" s="306" t="s">
        <v>756</v>
      </c>
      <c r="I250" s="308">
        <v>-1.1599999999999999E-2</v>
      </c>
    </row>
    <row r="251" spans="2:9">
      <c r="B251" s="307">
        <v>44425</v>
      </c>
      <c r="C251" s="306">
        <v>25.54</v>
      </c>
      <c r="D251" s="306">
        <v>297.7</v>
      </c>
      <c r="E251" s="306">
        <v>302.8</v>
      </c>
      <c r="F251" s="306">
        <v>302.8</v>
      </c>
      <c r="G251" s="306">
        <v>292.8</v>
      </c>
      <c r="H251" s="306" t="s">
        <v>757</v>
      </c>
      <c r="I251" s="308">
        <v>-1.9800000000000002E-2</v>
      </c>
    </row>
    <row r="252" spans="2:9">
      <c r="B252" s="307">
        <v>44426</v>
      </c>
      <c r="C252" s="306">
        <v>18</v>
      </c>
      <c r="D252" s="306">
        <v>293.35000000000002</v>
      </c>
      <c r="E252" s="306">
        <v>296.89999999999998</v>
      </c>
      <c r="F252" s="306">
        <v>297.75</v>
      </c>
      <c r="G252" s="306">
        <v>292.60000000000002</v>
      </c>
      <c r="H252" s="306" t="s">
        <v>758</v>
      </c>
      <c r="I252" s="308">
        <v>-1.46E-2</v>
      </c>
    </row>
    <row r="253" spans="2:9">
      <c r="B253" s="307">
        <v>44428</v>
      </c>
      <c r="C253" s="306">
        <v>32.58</v>
      </c>
      <c r="D253" s="306">
        <v>283.10000000000002</v>
      </c>
      <c r="E253" s="306">
        <v>289.5</v>
      </c>
      <c r="F253" s="306">
        <v>290.7</v>
      </c>
      <c r="G253" s="306">
        <v>281</v>
      </c>
      <c r="H253" s="306" t="s">
        <v>759</v>
      </c>
      <c r="I253" s="308">
        <v>-3.49E-2</v>
      </c>
    </row>
    <row r="254" spans="2:9">
      <c r="B254" s="307">
        <v>44431</v>
      </c>
      <c r="C254" s="306">
        <v>24.5</v>
      </c>
      <c r="D254" s="306">
        <v>276.95</v>
      </c>
      <c r="E254" s="306">
        <v>287.2</v>
      </c>
      <c r="F254" s="306">
        <v>288.3</v>
      </c>
      <c r="G254" s="306">
        <v>275</v>
      </c>
      <c r="H254" s="306" t="s">
        <v>760</v>
      </c>
      <c r="I254" s="308">
        <v>-2.1700000000000001E-2</v>
      </c>
    </row>
    <row r="255" spans="2:9">
      <c r="B255" s="307">
        <v>44432</v>
      </c>
      <c r="C255" s="306">
        <v>37.590000000000003</v>
      </c>
      <c r="D255" s="306">
        <v>279.8</v>
      </c>
      <c r="E255" s="306">
        <v>278.5</v>
      </c>
      <c r="F255" s="306">
        <v>281.5</v>
      </c>
      <c r="G255" s="306">
        <v>268.45</v>
      </c>
      <c r="H255" s="306" t="s">
        <v>761</v>
      </c>
      <c r="I255" s="308">
        <v>1.03E-2</v>
      </c>
    </row>
    <row r="256" spans="2:9">
      <c r="B256" s="307">
        <v>44433</v>
      </c>
      <c r="C256" s="306">
        <v>31.54</v>
      </c>
      <c r="D256" s="306">
        <v>284.39999999999998</v>
      </c>
      <c r="E256" s="306">
        <v>282.8</v>
      </c>
      <c r="F256" s="306">
        <v>289.2</v>
      </c>
      <c r="G256" s="306">
        <v>282.45</v>
      </c>
      <c r="H256" s="306" t="s">
        <v>762</v>
      </c>
      <c r="I256" s="308">
        <v>1.6400000000000001E-2</v>
      </c>
    </row>
    <row r="257" spans="2:9">
      <c r="B257" s="307">
        <v>44434</v>
      </c>
      <c r="C257" s="306">
        <v>17.86</v>
      </c>
      <c r="D257" s="306">
        <v>284.3</v>
      </c>
      <c r="E257" s="306">
        <v>284.85000000000002</v>
      </c>
      <c r="F257" s="306">
        <v>287.35000000000002</v>
      </c>
      <c r="G257" s="306">
        <v>281.64999999999998</v>
      </c>
      <c r="H257" s="306" t="s">
        <v>763</v>
      </c>
      <c r="I257" s="308">
        <v>-4.0000000000000002E-4</v>
      </c>
    </row>
    <row r="258" spans="2:9">
      <c r="B258" s="307">
        <v>44435</v>
      </c>
      <c r="C258" s="306">
        <v>13.48</v>
      </c>
      <c r="D258" s="306">
        <v>285.75</v>
      </c>
      <c r="E258" s="306">
        <v>282.89999999999998</v>
      </c>
      <c r="F258" s="306">
        <v>286.8</v>
      </c>
      <c r="G258" s="306">
        <v>281.7</v>
      </c>
      <c r="H258" s="306" t="s">
        <v>764</v>
      </c>
      <c r="I258" s="308">
        <v>5.1000000000000004E-3</v>
      </c>
    </row>
    <row r="259" spans="2:9">
      <c r="B259" s="307">
        <v>44438</v>
      </c>
      <c r="C259" s="306">
        <v>17.22</v>
      </c>
      <c r="D259" s="306">
        <v>291.95</v>
      </c>
      <c r="E259" s="306">
        <v>290.10000000000002</v>
      </c>
      <c r="F259" s="306">
        <v>293.5</v>
      </c>
      <c r="G259" s="306">
        <v>289.89999999999998</v>
      </c>
      <c r="H259" s="306" t="s">
        <v>765</v>
      </c>
      <c r="I259" s="308">
        <v>2.1700000000000001E-2</v>
      </c>
    </row>
    <row r="260" spans="2:9">
      <c r="B260" s="307">
        <v>44439</v>
      </c>
      <c r="C260" s="306">
        <v>36.950000000000003</v>
      </c>
      <c r="D260" s="306">
        <v>287.3</v>
      </c>
      <c r="E260" s="306">
        <v>291.75</v>
      </c>
      <c r="F260" s="306">
        <v>291.95</v>
      </c>
      <c r="G260" s="306">
        <v>286.10000000000002</v>
      </c>
      <c r="H260" s="306" t="s">
        <v>766</v>
      </c>
      <c r="I260" s="308">
        <v>-1.5900000000000001E-2</v>
      </c>
    </row>
    <row r="261" spans="2:9">
      <c r="B261" s="307">
        <v>44440</v>
      </c>
      <c r="C261" s="306">
        <v>33.1</v>
      </c>
      <c r="D261" s="306">
        <v>295.25</v>
      </c>
      <c r="E261" s="306">
        <v>289</v>
      </c>
      <c r="F261" s="306">
        <v>297.39999999999998</v>
      </c>
      <c r="G261" s="306">
        <v>287.3</v>
      </c>
      <c r="H261" s="306" t="s">
        <v>767</v>
      </c>
      <c r="I261" s="308">
        <v>2.7699999999999999E-2</v>
      </c>
    </row>
    <row r="262" spans="2:9">
      <c r="B262" s="307">
        <v>44441</v>
      </c>
      <c r="C262" s="306">
        <v>14.91</v>
      </c>
      <c r="D262" s="306">
        <v>293.14999999999998</v>
      </c>
      <c r="E262" s="306">
        <v>295.25</v>
      </c>
      <c r="F262" s="306">
        <v>296.3</v>
      </c>
      <c r="G262" s="306">
        <v>291.7</v>
      </c>
      <c r="H262" s="306" t="s">
        <v>768</v>
      </c>
      <c r="I262" s="308">
        <v>-7.1000000000000004E-3</v>
      </c>
    </row>
    <row r="263" spans="2:9">
      <c r="B263" s="307">
        <v>44442</v>
      </c>
      <c r="C263" s="306">
        <v>16.59</v>
      </c>
      <c r="D263" s="306">
        <v>295.55</v>
      </c>
      <c r="E263" s="306">
        <v>292.5</v>
      </c>
      <c r="F263" s="306">
        <v>296.45</v>
      </c>
      <c r="G263" s="306">
        <v>292</v>
      </c>
      <c r="H263" s="306" t="s">
        <v>769</v>
      </c>
      <c r="I263" s="308">
        <v>8.2000000000000007E-3</v>
      </c>
    </row>
    <row r="264" spans="2:9">
      <c r="B264" s="307">
        <v>44445</v>
      </c>
      <c r="C264" s="306">
        <v>16.62</v>
      </c>
      <c r="D264" s="306">
        <v>297.45</v>
      </c>
      <c r="E264" s="306">
        <v>297.5</v>
      </c>
      <c r="F264" s="306">
        <v>298.95</v>
      </c>
      <c r="G264" s="306">
        <v>296</v>
      </c>
      <c r="H264" s="306" t="s">
        <v>770</v>
      </c>
      <c r="I264" s="308">
        <v>6.4000000000000003E-3</v>
      </c>
    </row>
    <row r="265" spans="2:9">
      <c r="B265" s="307">
        <v>44446</v>
      </c>
      <c r="C265" s="306">
        <v>14.33</v>
      </c>
      <c r="D265" s="306">
        <v>294.60000000000002</v>
      </c>
      <c r="E265" s="306">
        <v>297.35000000000002</v>
      </c>
      <c r="F265" s="306">
        <v>297.8</v>
      </c>
      <c r="G265" s="306">
        <v>290.89999999999998</v>
      </c>
      <c r="H265" s="306" t="s">
        <v>771</v>
      </c>
      <c r="I265" s="308">
        <v>-9.5999999999999992E-3</v>
      </c>
    </row>
    <row r="266" spans="2:9">
      <c r="B266" s="307">
        <v>44447</v>
      </c>
      <c r="C266" s="306">
        <v>14.92</v>
      </c>
      <c r="D266" s="306">
        <v>295.25</v>
      </c>
      <c r="E266" s="306">
        <v>293.5</v>
      </c>
      <c r="F266" s="306">
        <v>298.8</v>
      </c>
      <c r="G266" s="306">
        <v>291.60000000000002</v>
      </c>
      <c r="H266" s="306" t="s">
        <v>772</v>
      </c>
      <c r="I266" s="308">
        <v>2.2000000000000001E-3</v>
      </c>
    </row>
    <row r="267" spans="2:9">
      <c r="B267" s="307">
        <v>44448</v>
      </c>
      <c r="C267" s="306">
        <v>34.020000000000003</v>
      </c>
      <c r="D267" s="306">
        <v>298.95</v>
      </c>
      <c r="E267" s="306">
        <v>294</v>
      </c>
      <c r="F267" s="306">
        <v>303.5</v>
      </c>
      <c r="G267" s="306">
        <v>293.55</v>
      </c>
      <c r="H267" s="306" t="s">
        <v>773</v>
      </c>
      <c r="I267" s="308">
        <v>1.2500000000000001E-2</v>
      </c>
    </row>
    <row r="268" spans="2:9">
      <c r="B268" s="307">
        <v>44452</v>
      </c>
      <c r="C268" s="306">
        <v>16.34</v>
      </c>
      <c r="D268" s="306">
        <v>301.2</v>
      </c>
      <c r="E268" s="306">
        <v>299</v>
      </c>
      <c r="F268" s="306">
        <v>302</v>
      </c>
      <c r="G268" s="306">
        <v>295.5</v>
      </c>
      <c r="H268" s="306" t="s">
        <v>774</v>
      </c>
      <c r="I268" s="308">
        <v>7.4999999999999997E-3</v>
      </c>
    </row>
    <row r="269" spans="2:9">
      <c r="B269" s="307">
        <v>44453</v>
      </c>
      <c r="C269" s="306">
        <v>23.23</v>
      </c>
      <c r="D269" s="306">
        <v>306.10000000000002</v>
      </c>
      <c r="E269" s="306">
        <v>302.25</v>
      </c>
      <c r="F269" s="306">
        <v>307.2</v>
      </c>
      <c r="G269" s="306">
        <v>302.2</v>
      </c>
      <c r="H269" s="306" t="s">
        <v>775</v>
      </c>
      <c r="I269" s="308">
        <v>1.6299999999999999E-2</v>
      </c>
    </row>
    <row r="270" spans="2:9">
      <c r="B270" s="307">
        <v>44454</v>
      </c>
      <c r="C270" s="306">
        <v>26.81</v>
      </c>
      <c r="D270" s="306">
        <v>311.95</v>
      </c>
      <c r="E270" s="306">
        <v>306.10000000000002</v>
      </c>
      <c r="F270" s="306">
        <v>313</v>
      </c>
      <c r="G270" s="306">
        <v>306.10000000000002</v>
      </c>
      <c r="H270" s="306" t="s">
        <v>776</v>
      </c>
      <c r="I270" s="308">
        <v>1.9099999999999999E-2</v>
      </c>
    </row>
    <row r="271" spans="2:9">
      <c r="B271" s="307">
        <v>44455</v>
      </c>
      <c r="C271" s="306">
        <v>26.25</v>
      </c>
      <c r="D271" s="306">
        <v>311.64999999999998</v>
      </c>
      <c r="E271" s="306">
        <v>313.39999999999998</v>
      </c>
      <c r="F271" s="306">
        <v>315</v>
      </c>
      <c r="G271" s="306">
        <v>307.64999999999998</v>
      </c>
      <c r="H271" s="306" t="s">
        <v>777</v>
      </c>
      <c r="I271" s="308">
        <v>-1E-3</v>
      </c>
    </row>
    <row r="272" spans="2:9">
      <c r="B272" s="307">
        <v>44456</v>
      </c>
      <c r="C272" s="306">
        <v>24.97</v>
      </c>
      <c r="D272" s="306">
        <v>308.60000000000002</v>
      </c>
      <c r="E272" s="306">
        <v>312</v>
      </c>
      <c r="F272" s="306">
        <v>315.35000000000002</v>
      </c>
      <c r="G272" s="306">
        <v>306</v>
      </c>
      <c r="H272" s="306" t="s">
        <v>778</v>
      </c>
      <c r="I272" s="308">
        <v>-9.7999999999999997E-3</v>
      </c>
    </row>
    <row r="273" spans="2:9">
      <c r="B273" s="307">
        <v>44459</v>
      </c>
      <c r="C273" s="306">
        <v>19.63</v>
      </c>
      <c r="D273" s="306">
        <v>298.95</v>
      </c>
      <c r="E273" s="306">
        <v>304.89999999999998</v>
      </c>
      <c r="F273" s="306">
        <v>310.25</v>
      </c>
      <c r="G273" s="306">
        <v>297.3</v>
      </c>
      <c r="H273" s="306" t="s">
        <v>779</v>
      </c>
      <c r="I273" s="308">
        <v>-3.1300000000000001E-2</v>
      </c>
    </row>
    <row r="274" spans="2:9">
      <c r="B274" s="307">
        <v>44460</v>
      </c>
      <c r="C274" s="306">
        <v>19.440000000000001</v>
      </c>
      <c r="D274" s="306">
        <v>301.95</v>
      </c>
      <c r="E274" s="306">
        <v>298.60000000000002</v>
      </c>
      <c r="F274" s="306">
        <v>302.7</v>
      </c>
      <c r="G274" s="306">
        <v>293.10000000000002</v>
      </c>
      <c r="H274" s="306" t="s">
        <v>780</v>
      </c>
      <c r="I274" s="308">
        <v>0.01</v>
      </c>
    </row>
    <row r="275" spans="2:9">
      <c r="B275" s="307">
        <v>44461</v>
      </c>
      <c r="C275" s="306">
        <v>29.55</v>
      </c>
      <c r="D275" s="306">
        <v>310.10000000000002</v>
      </c>
      <c r="E275" s="306">
        <v>303.14999999999998</v>
      </c>
      <c r="F275" s="306">
        <v>313.8</v>
      </c>
      <c r="G275" s="306">
        <v>303</v>
      </c>
      <c r="H275" s="306" t="s">
        <v>781</v>
      </c>
      <c r="I275" s="308">
        <v>2.7E-2</v>
      </c>
    </row>
    <row r="276" spans="2:9">
      <c r="B276" s="307">
        <v>44462</v>
      </c>
      <c r="C276" s="306">
        <v>52.7</v>
      </c>
      <c r="D276" s="306">
        <v>321.5</v>
      </c>
      <c r="E276" s="306">
        <v>313.2</v>
      </c>
      <c r="F276" s="306">
        <v>324</v>
      </c>
      <c r="G276" s="306">
        <v>313.2</v>
      </c>
      <c r="H276" s="306" t="s">
        <v>782</v>
      </c>
      <c r="I276" s="308">
        <v>3.6799999999999999E-2</v>
      </c>
    </row>
    <row r="277" spans="2:9">
      <c r="B277" s="307">
        <v>44463</v>
      </c>
      <c r="C277" s="306">
        <v>28.9</v>
      </c>
      <c r="D277" s="306">
        <v>317.95</v>
      </c>
      <c r="E277" s="306">
        <v>325.10000000000002</v>
      </c>
      <c r="F277" s="306">
        <v>326.95</v>
      </c>
      <c r="G277" s="306">
        <v>316.05</v>
      </c>
      <c r="H277" s="306" t="s">
        <v>783</v>
      </c>
      <c r="I277" s="308">
        <v>-1.0999999999999999E-2</v>
      </c>
    </row>
    <row r="278" spans="2:9">
      <c r="B278" s="307">
        <v>44466</v>
      </c>
      <c r="C278" s="306">
        <v>56.31</v>
      </c>
      <c r="D278" s="306">
        <v>331.65</v>
      </c>
      <c r="E278" s="306">
        <v>323.14999999999998</v>
      </c>
      <c r="F278" s="306">
        <v>333.6</v>
      </c>
      <c r="G278" s="306">
        <v>323.14999999999998</v>
      </c>
      <c r="H278" s="306" t="s">
        <v>784</v>
      </c>
      <c r="I278" s="308">
        <v>4.3099999999999999E-2</v>
      </c>
    </row>
    <row r="279" spans="2:9">
      <c r="B279" s="307">
        <v>44467</v>
      </c>
      <c r="C279" s="306">
        <v>28.5</v>
      </c>
      <c r="D279" s="306">
        <v>329.3</v>
      </c>
      <c r="E279" s="306">
        <v>334</v>
      </c>
      <c r="F279" s="306">
        <v>336</v>
      </c>
      <c r="G279" s="306">
        <v>324.5</v>
      </c>
      <c r="H279" s="306" t="s">
        <v>785</v>
      </c>
      <c r="I279" s="308">
        <v>-7.1000000000000004E-3</v>
      </c>
    </row>
    <row r="280" spans="2:9">
      <c r="B280" s="307">
        <v>44468</v>
      </c>
      <c r="C280" s="306">
        <v>19.739999999999998</v>
      </c>
      <c r="D280" s="306">
        <v>330.25</v>
      </c>
      <c r="E280" s="306">
        <v>325</v>
      </c>
      <c r="F280" s="306">
        <v>333</v>
      </c>
      <c r="G280" s="306">
        <v>324</v>
      </c>
      <c r="H280" s="306" t="s">
        <v>786</v>
      </c>
      <c r="I280" s="308">
        <v>2.8999999999999998E-3</v>
      </c>
    </row>
    <row r="281" spans="2:9">
      <c r="B281" s="307">
        <v>44469</v>
      </c>
      <c r="C281" s="306">
        <v>30.27</v>
      </c>
      <c r="D281" s="306">
        <v>333.35</v>
      </c>
      <c r="E281" s="306">
        <v>331.25</v>
      </c>
      <c r="F281" s="306">
        <v>337.9</v>
      </c>
      <c r="G281" s="306">
        <v>329.1</v>
      </c>
      <c r="H281" s="306" t="s">
        <v>787</v>
      </c>
      <c r="I281" s="308">
        <v>9.4000000000000004E-3</v>
      </c>
    </row>
    <row r="282" spans="2:9">
      <c r="B282" s="307">
        <v>44470</v>
      </c>
      <c r="C282" s="306">
        <v>29.88</v>
      </c>
      <c r="D282" s="306">
        <v>333.3</v>
      </c>
      <c r="E282" s="306">
        <v>332.65</v>
      </c>
      <c r="F282" s="306">
        <v>337.3</v>
      </c>
      <c r="G282" s="306">
        <v>325.7</v>
      </c>
      <c r="H282" s="306" t="s">
        <v>788</v>
      </c>
      <c r="I282" s="308">
        <v>-2.0000000000000001E-4</v>
      </c>
    </row>
    <row r="283" spans="2:9">
      <c r="B283" s="307">
        <v>44473</v>
      </c>
      <c r="C283" s="306">
        <v>29.55</v>
      </c>
      <c r="D283" s="306">
        <v>342</v>
      </c>
      <c r="E283" s="306">
        <v>336.8</v>
      </c>
      <c r="F283" s="306">
        <v>343.25</v>
      </c>
      <c r="G283" s="306">
        <v>335.15</v>
      </c>
      <c r="H283" s="306" t="s">
        <v>781</v>
      </c>
      <c r="I283" s="308">
        <v>2.6100000000000002E-2</v>
      </c>
    </row>
    <row r="284" spans="2:9">
      <c r="B284" s="307">
        <v>44474</v>
      </c>
      <c r="C284" s="306">
        <v>31.86</v>
      </c>
      <c r="D284" s="306">
        <v>344.95</v>
      </c>
      <c r="E284" s="306">
        <v>340.45</v>
      </c>
      <c r="F284" s="306">
        <v>351.5</v>
      </c>
      <c r="G284" s="306">
        <v>338.85</v>
      </c>
      <c r="H284" s="306" t="s">
        <v>789</v>
      </c>
      <c r="I284" s="308">
        <v>8.6E-3</v>
      </c>
    </row>
    <row r="285" spans="2:9">
      <c r="B285" s="307">
        <v>44475</v>
      </c>
      <c r="C285" s="306">
        <v>25.27</v>
      </c>
      <c r="D285" s="306">
        <v>336.05</v>
      </c>
      <c r="E285" s="306">
        <v>347</v>
      </c>
      <c r="F285" s="306">
        <v>348.7</v>
      </c>
      <c r="G285" s="306">
        <v>335</v>
      </c>
      <c r="H285" s="306" t="s">
        <v>790</v>
      </c>
      <c r="I285" s="308">
        <v>-2.58E-2</v>
      </c>
    </row>
    <row r="286" spans="2:9">
      <c r="B286" s="307">
        <v>44476</v>
      </c>
      <c r="C286" s="306">
        <v>163.24</v>
      </c>
      <c r="D286" s="306">
        <v>376.5</v>
      </c>
      <c r="E286" s="306">
        <v>341.1</v>
      </c>
      <c r="F286" s="306">
        <v>383</v>
      </c>
      <c r="G286" s="306">
        <v>339.25</v>
      </c>
      <c r="H286" s="306" t="s">
        <v>791</v>
      </c>
      <c r="I286" s="308">
        <v>0.12039999999999999</v>
      </c>
    </row>
    <row r="287" spans="2:9">
      <c r="B287" s="307">
        <v>44477</v>
      </c>
      <c r="C287" s="306">
        <v>93.73</v>
      </c>
      <c r="D287" s="306">
        <v>382.95</v>
      </c>
      <c r="E287" s="306">
        <v>385.9</v>
      </c>
      <c r="F287" s="306">
        <v>397.55</v>
      </c>
      <c r="G287" s="306">
        <v>380</v>
      </c>
      <c r="H287" s="306" t="s">
        <v>792</v>
      </c>
      <c r="I287" s="308">
        <v>1.7100000000000001E-2</v>
      </c>
    </row>
    <row r="288" spans="2:9">
      <c r="B288" s="307">
        <v>44480</v>
      </c>
      <c r="C288" s="306">
        <v>113.41</v>
      </c>
      <c r="D288" s="306">
        <v>415.75</v>
      </c>
      <c r="E288" s="306">
        <v>390.15</v>
      </c>
      <c r="F288" s="306">
        <v>420.9</v>
      </c>
      <c r="G288" s="306">
        <v>388</v>
      </c>
      <c r="H288" s="306" t="s">
        <v>793</v>
      </c>
      <c r="I288" s="308">
        <v>8.5699999999999998E-2</v>
      </c>
    </row>
    <row r="289" spans="2:9">
      <c r="B289" s="307">
        <v>44481</v>
      </c>
      <c r="C289" s="306">
        <v>97.35</v>
      </c>
      <c r="D289" s="306">
        <v>420.85</v>
      </c>
      <c r="E289" s="306">
        <v>423</v>
      </c>
      <c r="F289" s="306">
        <v>435.7</v>
      </c>
      <c r="G289" s="306">
        <v>413.6</v>
      </c>
      <c r="H289" s="306" t="s">
        <v>794</v>
      </c>
      <c r="I289" s="308">
        <v>1.23E-2</v>
      </c>
    </row>
    <row r="290" spans="2:9">
      <c r="B290" s="307">
        <v>44482</v>
      </c>
      <c r="C290" s="306">
        <v>197.95</v>
      </c>
      <c r="D290" s="306">
        <v>506.9</v>
      </c>
      <c r="E290" s="306">
        <v>462.9</v>
      </c>
      <c r="F290" s="306">
        <v>523.85</v>
      </c>
      <c r="G290" s="306">
        <v>462.9</v>
      </c>
      <c r="H290" s="306" t="s">
        <v>795</v>
      </c>
      <c r="I290" s="308">
        <v>0.20449999999999999</v>
      </c>
    </row>
    <row r="291" spans="2:9">
      <c r="B291" s="307">
        <v>44483</v>
      </c>
      <c r="C291" s="306">
        <v>103.63</v>
      </c>
      <c r="D291" s="306">
        <v>497.6</v>
      </c>
      <c r="E291" s="306">
        <v>530</v>
      </c>
      <c r="F291" s="306">
        <v>530</v>
      </c>
      <c r="G291" s="306">
        <v>492</v>
      </c>
      <c r="H291" s="306" t="s">
        <v>796</v>
      </c>
      <c r="I291" s="308">
        <v>-1.83E-2</v>
      </c>
    </row>
    <row r="292" spans="2:9">
      <c r="B292" s="307">
        <v>44487</v>
      </c>
      <c r="C292" s="306">
        <v>72.319999999999993</v>
      </c>
      <c r="D292" s="306">
        <v>509.6</v>
      </c>
      <c r="E292" s="306">
        <v>507</v>
      </c>
      <c r="F292" s="306">
        <v>525</v>
      </c>
      <c r="G292" s="306">
        <v>503.6</v>
      </c>
      <c r="H292" s="306" t="s">
        <v>797</v>
      </c>
      <c r="I292" s="308">
        <v>2.41E-2</v>
      </c>
    </row>
    <row r="293" spans="2:9">
      <c r="B293" s="307">
        <v>44488</v>
      </c>
      <c r="C293" s="306">
        <v>57.43</v>
      </c>
      <c r="D293" s="306">
        <v>481.9</v>
      </c>
      <c r="E293" s="306">
        <v>512.45000000000005</v>
      </c>
      <c r="F293" s="306">
        <v>517.4</v>
      </c>
      <c r="G293" s="306">
        <v>476.05</v>
      </c>
      <c r="H293" s="306" t="s">
        <v>798</v>
      </c>
      <c r="I293" s="308">
        <v>-5.4399999999999997E-2</v>
      </c>
    </row>
    <row r="294" spans="2:9">
      <c r="B294" s="307">
        <v>44489</v>
      </c>
      <c r="C294" s="306">
        <v>55.44</v>
      </c>
      <c r="D294" s="306">
        <v>486.9</v>
      </c>
      <c r="E294" s="306">
        <v>481.8</v>
      </c>
      <c r="F294" s="306">
        <v>497</v>
      </c>
      <c r="G294" s="306">
        <v>471.25</v>
      </c>
      <c r="H294" s="306" t="s">
        <v>799</v>
      </c>
      <c r="I294" s="308">
        <v>1.04E-2</v>
      </c>
    </row>
    <row r="295" spans="2:9">
      <c r="B295" s="307">
        <v>44490</v>
      </c>
      <c r="C295" s="306">
        <v>52.61</v>
      </c>
      <c r="D295" s="306">
        <v>508</v>
      </c>
      <c r="E295" s="306">
        <v>491.75</v>
      </c>
      <c r="F295" s="306">
        <v>510.4</v>
      </c>
      <c r="G295" s="306">
        <v>485.75</v>
      </c>
      <c r="H295" s="306" t="s">
        <v>800</v>
      </c>
      <c r="I295" s="308">
        <v>4.3299999999999998E-2</v>
      </c>
    </row>
    <row r="296" spans="2:9">
      <c r="B296" s="307">
        <v>44491</v>
      </c>
      <c r="C296" s="306">
        <v>42.74</v>
      </c>
      <c r="D296" s="306">
        <v>490.9</v>
      </c>
      <c r="E296" s="306">
        <v>509.9</v>
      </c>
      <c r="F296" s="306">
        <v>510.7</v>
      </c>
      <c r="G296" s="306">
        <v>487.4</v>
      </c>
      <c r="H296" s="306" t="s">
        <v>801</v>
      </c>
      <c r="I296" s="308">
        <v>-3.3700000000000001E-2</v>
      </c>
    </row>
    <row r="297" spans="2:9">
      <c r="B297" s="307">
        <v>44494</v>
      </c>
      <c r="C297" s="306">
        <v>33.11</v>
      </c>
      <c r="D297" s="306">
        <v>479.9</v>
      </c>
      <c r="E297" s="306">
        <v>493.9</v>
      </c>
      <c r="F297" s="306">
        <v>496</v>
      </c>
      <c r="G297" s="306">
        <v>473.25</v>
      </c>
      <c r="H297" s="306" t="s">
        <v>802</v>
      </c>
      <c r="I297" s="308">
        <v>-2.24E-2</v>
      </c>
    </row>
    <row r="298" spans="2:9">
      <c r="B298" s="307">
        <v>44495</v>
      </c>
      <c r="C298" s="306">
        <v>58.03</v>
      </c>
      <c r="D298" s="306">
        <v>508.65</v>
      </c>
      <c r="E298" s="306">
        <v>483.5</v>
      </c>
      <c r="F298" s="306">
        <v>510</v>
      </c>
      <c r="G298" s="306">
        <v>483.25</v>
      </c>
      <c r="H298" s="306" t="s">
        <v>803</v>
      </c>
      <c r="I298" s="308">
        <v>5.9900000000000002E-2</v>
      </c>
    </row>
    <row r="299" spans="2:9">
      <c r="B299" s="307">
        <v>44496</v>
      </c>
      <c r="C299" s="306">
        <v>30.36</v>
      </c>
      <c r="D299" s="306">
        <v>497.9</v>
      </c>
      <c r="E299" s="306">
        <v>505.75</v>
      </c>
      <c r="F299" s="306">
        <v>506.55</v>
      </c>
      <c r="G299" s="306">
        <v>496</v>
      </c>
      <c r="H299" s="306" t="s">
        <v>804</v>
      </c>
      <c r="I299" s="308">
        <v>-2.1100000000000001E-2</v>
      </c>
    </row>
    <row r="300" spans="2:9">
      <c r="B300" s="307">
        <v>44497</v>
      </c>
      <c r="C300" s="306">
        <v>25.18</v>
      </c>
      <c r="D300" s="306">
        <v>481.05</v>
      </c>
      <c r="E300" s="306">
        <v>493.9</v>
      </c>
      <c r="F300" s="306">
        <v>493.9</v>
      </c>
      <c r="G300" s="306">
        <v>478.55</v>
      </c>
      <c r="H300" s="306" t="s">
        <v>805</v>
      </c>
      <c r="I300" s="308">
        <v>-3.3799999999999997E-2</v>
      </c>
    </row>
    <row r="301" spans="2:9">
      <c r="B301" s="307">
        <v>44498</v>
      </c>
      <c r="C301" s="306">
        <v>31.05</v>
      </c>
      <c r="D301" s="306">
        <v>483.7</v>
      </c>
      <c r="E301" s="306">
        <v>482</v>
      </c>
      <c r="F301" s="306">
        <v>491.6</v>
      </c>
      <c r="G301" s="306">
        <v>467.7</v>
      </c>
      <c r="H301" s="306" t="s">
        <v>806</v>
      </c>
      <c r="I301" s="308">
        <v>5.4999999999999997E-3</v>
      </c>
    </row>
    <row r="302" spans="2:9">
      <c r="B302" s="307">
        <v>44501</v>
      </c>
      <c r="C302" s="306">
        <v>34.32</v>
      </c>
      <c r="D302" s="306">
        <v>485.7</v>
      </c>
      <c r="E302" s="306">
        <v>486.45</v>
      </c>
      <c r="F302" s="306">
        <v>489.7</v>
      </c>
      <c r="G302" s="306">
        <v>469.8</v>
      </c>
      <c r="H302" s="306" t="s">
        <v>807</v>
      </c>
      <c r="I302" s="308">
        <v>4.1000000000000003E-3</v>
      </c>
    </row>
    <row r="303" spans="2:9">
      <c r="B303" s="307">
        <v>44502</v>
      </c>
      <c r="C303" s="306">
        <v>51.58</v>
      </c>
      <c r="D303" s="306">
        <v>487.85</v>
      </c>
      <c r="E303" s="306">
        <v>506.5</v>
      </c>
      <c r="F303" s="306">
        <v>510</v>
      </c>
      <c r="G303" s="306">
        <v>486.5</v>
      </c>
      <c r="H303" s="306" t="s">
        <v>808</v>
      </c>
      <c r="I303" s="308">
        <v>4.4000000000000003E-3</v>
      </c>
    </row>
    <row r="304" spans="2:9">
      <c r="B304" s="307">
        <v>44503</v>
      </c>
      <c r="C304" s="306">
        <v>22.95</v>
      </c>
      <c r="D304" s="306">
        <v>484.9</v>
      </c>
      <c r="E304" s="306">
        <v>483.8</v>
      </c>
      <c r="F304" s="306">
        <v>495</v>
      </c>
      <c r="G304" s="306">
        <v>481.6</v>
      </c>
      <c r="H304" s="306" t="s">
        <v>809</v>
      </c>
      <c r="I304" s="308">
        <v>-6.0000000000000001E-3</v>
      </c>
    </row>
    <row r="305" spans="2:9">
      <c r="B305" s="307">
        <v>44504</v>
      </c>
      <c r="C305" s="306">
        <v>5.53</v>
      </c>
      <c r="D305" s="306">
        <v>489.7</v>
      </c>
      <c r="E305" s="306">
        <v>489.8</v>
      </c>
      <c r="F305" s="306">
        <v>493.55</v>
      </c>
      <c r="G305" s="306">
        <v>488</v>
      </c>
      <c r="H305" s="306" t="s">
        <v>810</v>
      </c>
      <c r="I305" s="308">
        <v>9.9000000000000008E-3</v>
      </c>
    </row>
    <row r="306" spans="2:9">
      <c r="B306" s="307">
        <v>44508</v>
      </c>
      <c r="C306" s="306">
        <v>31.74</v>
      </c>
      <c r="D306" s="306">
        <v>501.4</v>
      </c>
      <c r="E306" s="306">
        <v>493.9</v>
      </c>
      <c r="F306" s="306">
        <v>504.85</v>
      </c>
      <c r="G306" s="306">
        <v>490.25</v>
      </c>
      <c r="H306" s="306" t="s">
        <v>811</v>
      </c>
      <c r="I306" s="308">
        <v>2.3900000000000001E-2</v>
      </c>
    </row>
    <row r="307" spans="2:9">
      <c r="B307" s="307">
        <v>44509</v>
      </c>
      <c r="C307" s="306">
        <v>50.46</v>
      </c>
      <c r="D307" s="306">
        <v>509.65</v>
      </c>
      <c r="E307" s="306">
        <v>505</v>
      </c>
      <c r="F307" s="306">
        <v>520.65</v>
      </c>
      <c r="G307" s="306">
        <v>503.5</v>
      </c>
      <c r="H307" s="306" t="s">
        <v>812</v>
      </c>
      <c r="I307" s="308">
        <v>1.6500000000000001E-2</v>
      </c>
    </row>
    <row r="308" spans="2:9">
      <c r="B308" s="307">
        <v>44510</v>
      </c>
      <c r="C308" s="306">
        <v>26.62</v>
      </c>
      <c r="D308" s="306">
        <v>510.75</v>
      </c>
      <c r="E308" s="306">
        <v>506.25</v>
      </c>
      <c r="F308" s="306">
        <v>515.95000000000005</v>
      </c>
      <c r="G308" s="306">
        <v>500.2</v>
      </c>
      <c r="H308" s="306" t="s">
        <v>703</v>
      </c>
      <c r="I308" s="308">
        <v>2.2000000000000001E-3</v>
      </c>
    </row>
    <row r="309" spans="2:9">
      <c r="B309" s="307">
        <v>44511</v>
      </c>
      <c r="C309" s="306">
        <v>29.26</v>
      </c>
      <c r="D309" s="306">
        <v>503.45</v>
      </c>
      <c r="E309" s="306">
        <v>510</v>
      </c>
      <c r="F309" s="306">
        <v>519</v>
      </c>
      <c r="G309" s="306">
        <v>501</v>
      </c>
      <c r="H309" s="306" t="s">
        <v>813</v>
      </c>
      <c r="I309" s="308">
        <v>-1.43E-2</v>
      </c>
    </row>
    <row r="310" spans="2:9">
      <c r="B310" s="307">
        <v>44512</v>
      </c>
      <c r="C310" s="306">
        <v>20.73</v>
      </c>
      <c r="D310" s="306">
        <v>507.05</v>
      </c>
      <c r="E310" s="306">
        <v>506.95</v>
      </c>
      <c r="F310" s="306">
        <v>509.55</v>
      </c>
      <c r="G310" s="306">
        <v>497.35</v>
      </c>
      <c r="H310" s="306" t="s">
        <v>814</v>
      </c>
      <c r="I310" s="308">
        <v>7.1999999999999998E-3</v>
      </c>
    </row>
    <row r="311" spans="2:9">
      <c r="B311" s="307">
        <v>44515</v>
      </c>
      <c r="C311" s="306">
        <v>18.02</v>
      </c>
      <c r="D311" s="306">
        <v>505.45</v>
      </c>
      <c r="E311" s="306">
        <v>506.25</v>
      </c>
      <c r="F311" s="306">
        <v>514.9</v>
      </c>
      <c r="G311" s="306">
        <v>504.5</v>
      </c>
      <c r="H311" s="306" t="s">
        <v>815</v>
      </c>
      <c r="I311" s="308">
        <v>-3.2000000000000002E-3</v>
      </c>
    </row>
    <row r="312" spans="2:9">
      <c r="B312" s="307">
        <v>44516</v>
      </c>
      <c r="C312" s="306">
        <v>55.9</v>
      </c>
      <c r="D312" s="306">
        <v>519.04999999999995</v>
      </c>
      <c r="E312" s="306">
        <v>506.9</v>
      </c>
      <c r="F312" s="306">
        <v>526.85</v>
      </c>
      <c r="G312" s="306">
        <v>506.2</v>
      </c>
      <c r="H312" s="306" t="s">
        <v>816</v>
      </c>
      <c r="I312" s="308">
        <v>2.69E-2</v>
      </c>
    </row>
    <row r="313" spans="2:9">
      <c r="B313" s="307">
        <v>44517</v>
      </c>
      <c r="C313" s="306">
        <v>48.46</v>
      </c>
      <c r="D313" s="306">
        <v>530.15</v>
      </c>
      <c r="E313" s="306">
        <v>520.25</v>
      </c>
      <c r="F313" s="306">
        <v>536.70000000000005</v>
      </c>
      <c r="G313" s="306">
        <v>520.25</v>
      </c>
      <c r="H313" s="306" t="s">
        <v>817</v>
      </c>
      <c r="I313" s="308">
        <v>2.1399999999999999E-2</v>
      </c>
    </row>
    <row r="314" spans="2:9">
      <c r="B314" s="307">
        <v>44518</v>
      </c>
      <c r="C314" s="306">
        <v>47.2</v>
      </c>
      <c r="D314" s="306">
        <v>509.7</v>
      </c>
      <c r="E314" s="306">
        <v>531.45000000000005</v>
      </c>
      <c r="F314" s="306">
        <v>534.20000000000005</v>
      </c>
      <c r="G314" s="306">
        <v>501.3</v>
      </c>
      <c r="H314" s="306" t="s">
        <v>818</v>
      </c>
      <c r="I314" s="308">
        <v>-3.8600000000000002E-2</v>
      </c>
    </row>
    <row r="315" spans="2:9">
      <c r="B315" s="307">
        <v>44522</v>
      </c>
      <c r="C315" s="306">
        <v>40.04</v>
      </c>
      <c r="D315" s="306">
        <v>486.1</v>
      </c>
      <c r="E315" s="306">
        <v>512.25</v>
      </c>
      <c r="F315" s="306">
        <v>512.25</v>
      </c>
      <c r="G315" s="306">
        <v>478.4</v>
      </c>
      <c r="H315" s="306" t="s">
        <v>819</v>
      </c>
      <c r="I315" s="308">
        <v>-4.6300000000000001E-2</v>
      </c>
    </row>
    <row r="316" spans="2:9">
      <c r="B316" s="307">
        <v>44523</v>
      </c>
      <c r="C316" s="306">
        <v>27.55</v>
      </c>
      <c r="D316" s="306">
        <v>495.5</v>
      </c>
      <c r="E316" s="306">
        <v>484.4</v>
      </c>
      <c r="F316" s="306">
        <v>499.35</v>
      </c>
      <c r="G316" s="306">
        <v>477</v>
      </c>
      <c r="H316" s="306" t="s">
        <v>716</v>
      </c>
      <c r="I316" s="308">
        <v>1.9300000000000001E-2</v>
      </c>
    </row>
    <row r="317" spans="2:9">
      <c r="B317" s="307">
        <v>44524</v>
      </c>
      <c r="C317" s="306">
        <v>20.92</v>
      </c>
      <c r="D317" s="306">
        <v>488.65</v>
      </c>
      <c r="E317" s="306">
        <v>499</v>
      </c>
      <c r="F317" s="306">
        <v>501.8</v>
      </c>
      <c r="G317" s="306">
        <v>485.3</v>
      </c>
      <c r="H317" s="306" t="s">
        <v>820</v>
      </c>
      <c r="I317" s="308">
        <v>-1.38E-2</v>
      </c>
    </row>
    <row r="318" spans="2:9">
      <c r="B318" s="307">
        <v>44525</v>
      </c>
      <c r="C318" s="306">
        <v>15.34</v>
      </c>
      <c r="D318" s="306">
        <v>492.75</v>
      </c>
      <c r="E318" s="306">
        <v>490.8</v>
      </c>
      <c r="F318" s="306">
        <v>495.15</v>
      </c>
      <c r="G318" s="306">
        <v>486.5</v>
      </c>
      <c r="H318" s="306" t="s">
        <v>821</v>
      </c>
      <c r="I318" s="308">
        <v>8.3999999999999995E-3</v>
      </c>
    </row>
    <row r="319" spans="2:9">
      <c r="B319" s="307">
        <v>44526</v>
      </c>
      <c r="C319" s="306">
        <v>51.79</v>
      </c>
      <c r="D319" s="306">
        <v>460.2</v>
      </c>
      <c r="E319" s="306">
        <v>486</v>
      </c>
      <c r="F319" s="306">
        <v>486.75</v>
      </c>
      <c r="G319" s="306">
        <v>458</v>
      </c>
      <c r="H319" s="306" t="s">
        <v>822</v>
      </c>
      <c r="I319" s="308">
        <v>-6.6100000000000006E-2</v>
      </c>
    </row>
    <row r="320" spans="2:9">
      <c r="B320" s="307">
        <v>44529</v>
      </c>
      <c r="C320" s="306">
        <v>42.82</v>
      </c>
      <c r="D320" s="306">
        <v>461.45</v>
      </c>
      <c r="E320" s="306">
        <v>457</v>
      </c>
      <c r="F320" s="306">
        <v>470.75</v>
      </c>
      <c r="G320" s="306">
        <v>443.1</v>
      </c>
      <c r="H320" s="306" t="s">
        <v>823</v>
      </c>
      <c r="I320" s="308">
        <v>2.7000000000000001E-3</v>
      </c>
    </row>
    <row r="321" spans="2:9">
      <c r="B321" s="307">
        <v>44530</v>
      </c>
      <c r="C321" s="306">
        <v>35.47</v>
      </c>
      <c r="D321" s="306">
        <v>458.6</v>
      </c>
      <c r="E321" s="306">
        <v>466.55</v>
      </c>
      <c r="F321" s="306">
        <v>478</v>
      </c>
      <c r="G321" s="306">
        <v>455.65</v>
      </c>
      <c r="H321" s="306" t="s">
        <v>824</v>
      </c>
      <c r="I321" s="308">
        <v>-6.1999999999999998E-3</v>
      </c>
    </row>
    <row r="322" spans="2:9">
      <c r="B322" s="307">
        <v>44531</v>
      </c>
      <c r="C322" s="306">
        <v>28.26</v>
      </c>
      <c r="D322" s="306">
        <v>475.25</v>
      </c>
      <c r="E322" s="306">
        <v>467.85</v>
      </c>
      <c r="F322" s="306">
        <v>478.4</v>
      </c>
      <c r="G322" s="306">
        <v>463.55</v>
      </c>
      <c r="H322" s="306" t="s">
        <v>825</v>
      </c>
      <c r="I322" s="308">
        <v>3.6299999999999999E-2</v>
      </c>
    </row>
    <row r="323" spans="2:9">
      <c r="B323" s="307">
        <v>44532</v>
      </c>
      <c r="C323" s="306">
        <v>21.01</v>
      </c>
      <c r="D323" s="306">
        <v>479.1</v>
      </c>
      <c r="E323" s="306">
        <v>479.4</v>
      </c>
      <c r="F323" s="306">
        <v>480.45</v>
      </c>
      <c r="G323" s="306">
        <v>471.7</v>
      </c>
      <c r="H323" s="306" t="s">
        <v>826</v>
      </c>
      <c r="I323" s="308">
        <v>8.0999999999999996E-3</v>
      </c>
    </row>
    <row r="324" spans="2:9">
      <c r="B324" s="307">
        <v>44533</v>
      </c>
      <c r="C324" s="306">
        <v>20.95</v>
      </c>
      <c r="D324" s="306">
        <v>480.1</v>
      </c>
      <c r="E324" s="306">
        <v>480</v>
      </c>
      <c r="F324" s="306">
        <v>484.7</v>
      </c>
      <c r="G324" s="306">
        <v>477.3</v>
      </c>
      <c r="H324" s="306" t="s">
        <v>827</v>
      </c>
      <c r="I324" s="308">
        <v>2.0999999999999999E-3</v>
      </c>
    </row>
    <row r="325" spans="2:9">
      <c r="B325" s="307">
        <v>44536</v>
      </c>
      <c r="C325" s="306">
        <v>17.47</v>
      </c>
      <c r="D325" s="306">
        <v>467.2</v>
      </c>
      <c r="E325" s="306">
        <v>480.1</v>
      </c>
      <c r="F325" s="306">
        <v>480.9</v>
      </c>
      <c r="G325" s="306">
        <v>466</v>
      </c>
      <c r="H325" s="306" t="s">
        <v>828</v>
      </c>
      <c r="I325" s="308">
        <v>-2.69E-2</v>
      </c>
    </row>
    <row r="326" spans="2:9">
      <c r="B326" s="307">
        <v>44537</v>
      </c>
      <c r="C326" s="306">
        <v>21.28</v>
      </c>
      <c r="D326" s="306">
        <v>481.8</v>
      </c>
      <c r="E326" s="306">
        <v>476.85</v>
      </c>
      <c r="F326" s="306">
        <v>484.9</v>
      </c>
      <c r="G326" s="306">
        <v>471</v>
      </c>
      <c r="H326" s="306" t="s">
        <v>829</v>
      </c>
      <c r="I326" s="308">
        <v>3.1199999999999999E-2</v>
      </c>
    </row>
    <row r="327" spans="2:9">
      <c r="B327" s="307">
        <v>44538</v>
      </c>
      <c r="C327" s="306">
        <v>20.58</v>
      </c>
      <c r="D327" s="306">
        <v>493.9</v>
      </c>
      <c r="E327" s="306">
        <v>484.5</v>
      </c>
      <c r="F327" s="306">
        <v>495.95</v>
      </c>
      <c r="G327" s="306">
        <v>483.5</v>
      </c>
      <c r="H327" s="306" t="s">
        <v>830</v>
      </c>
      <c r="I327" s="308">
        <v>2.5100000000000001E-2</v>
      </c>
    </row>
    <row r="328" spans="2:9">
      <c r="B328" s="307">
        <v>44539</v>
      </c>
      <c r="C328" s="306">
        <v>16.95</v>
      </c>
      <c r="D328" s="306">
        <v>493.95</v>
      </c>
      <c r="E328" s="306">
        <v>498</v>
      </c>
      <c r="F328" s="306">
        <v>498.5</v>
      </c>
      <c r="G328" s="306">
        <v>489.55</v>
      </c>
      <c r="H328" s="306" t="s">
        <v>831</v>
      </c>
      <c r="I328" s="308">
        <v>1E-4</v>
      </c>
    </row>
    <row r="329" spans="2:9">
      <c r="B329" s="307">
        <v>44540</v>
      </c>
      <c r="C329" s="306">
        <v>14.57</v>
      </c>
      <c r="D329" s="306">
        <v>494.45</v>
      </c>
      <c r="E329" s="306">
        <v>487.75</v>
      </c>
      <c r="F329" s="306">
        <v>496.8</v>
      </c>
      <c r="G329" s="306">
        <v>486.55</v>
      </c>
      <c r="H329" s="306" t="s">
        <v>832</v>
      </c>
      <c r="I329" s="308">
        <v>1E-3</v>
      </c>
    </row>
    <row r="330" spans="2:9">
      <c r="B330" s="307">
        <v>44543</v>
      </c>
      <c r="C330" s="306">
        <v>21.92</v>
      </c>
      <c r="D330" s="306">
        <v>495.35</v>
      </c>
      <c r="E330" s="306">
        <v>499.45</v>
      </c>
      <c r="F330" s="306">
        <v>506.4</v>
      </c>
      <c r="G330" s="306">
        <v>494.2</v>
      </c>
      <c r="H330" s="306" t="s">
        <v>833</v>
      </c>
      <c r="I330" s="308">
        <v>1.8E-3</v>
      </c>
    </row>
    <row r="331" spans="2:9">
      <c r="B331" s="307">
        <v>44544</v>
      </c>
      <c r="C331" s="306">
        <v>17.72</v>
      </c>
      <c r="D331" s="306">
        <v>489.4</v>
      </c>
      <c r="E331" s="306">
        <v>491.95</v>
      </c>
      <c r="F331" s="306">
        <v>491.95</v>
      </c>
      <c r="G331" s="306">
        <v>483.3</v>
      </c>
      <c r="H331" s="306" t="s">
        <v>834</v>
      </c>
      <c r="I331" s="308">
        <v>-1.2E-2</v>
      </c>
    </row>
    <row r="332" spans="2:9">
      <c r="B332" s="307">
        <v>44545</v>
      </c>
      <c r="C332" s="306">
        <v>16.260000000000002</v>
      </c>
      <c r="D332" s="306">
        <v>491.65</v>
      </c>
      <c r="E332" s="306">
        <v>487.8</v>
      </c>
      <c r="F332" s="306">
        <v>497.7</v>
      </c>
      <c r="G332" s="306">
        <v>487.25</v>
      </c>
      <c r="H332" s="306" t="s">
        <v>835</v>
      </c>
      <c r="I332" s="308">
        <v>4.5999999999999999E-3</v>
      </c>
    </row>
    <row r="333" spans="2:9">
      <c r="B333" s="307">
        <v>44546</v>
      </c>
      <c r="C333" s="306">
        <v>13.58</v>
      </c>
      <c r="D333" s="306">
        <v>491.95</v>
      </c>
      <c r="E333" s="306">
        <v>495</v>
      </c>
      <c r="F333" s="306">
        <v>496.5</v>
      </c>
      <c r="G333" s="306">
        <v>487.4</v>
      </c>
      <c r="H333" s="306" t="s">
        <v>836</v>
      </c>
      <c r="I333" s="308">
        <v>5.9999999999999995E-4</v>
      </c>
    </row>
    <row r="334" spans="2:9">
      <c r="B334" s="307">
        <v>44547</v>
      </c>
      <c r="C334" s="306">
        <v>27.34</v>
      </c>
      <c r="D334" s="306">
        <v>470.2</v>
      </c>
      <c r="E334" s="306">
        <v>488</v>
      </c>
      <c r="F334" s="306">
        <v>488.85</v>
      </c>
      <c r="G334" s="306">
        <v>468.2</v>
      </c>
      <c r="H334" s="306" t="s">
        <v>837</v>
      </c>
      <c r="I334" s="308">
        <v>-4.4200000000000003E-2</v>
      </c>
    </row>
    <row r="335" spans="2:9">
      <c r="B335" s="307">
        <v>44550</v>
      </c>
      <c r="C335" s="306">
        <v>33.01</v>
      </c>
      <c r="D335" s="306">
        <v>447.05</v>
      </c>
      <c r="E335" s="306">
        <v>459.9</v>
      </c>
      <c r="F335" s="306">
        <v>460</v>
      </c>
      <c r="G335" s="306">
        <v>440</v>
      </c>
      <c r="H335" s="306" t="s">
        <v>838</v>
      </c>
      <c r="I335" s="308">
        <v>-4.9200000000000001E-2</v>
      </c>
    </row>
    <row r="336" spans="2:9">
      <c r="B336" s="307">
        <v>44551</v>
      </c>
      <c r="C336" s="306">
        <v>18.84</v>
      </c>
      <c r="D336" s="306">
        <v>453.6</v>
      </c>
      <c r="E336" s="306">
        <v>452.1</v>
      </c>
      <c r="F336" s="306">
        <v>460.9</v>
      </c>
      <c r="G336" s="306">
        <v>449.85</v>
      </c>
      <c r="H336" s="306" t="s">
        <v>839</v>
      </c>
      <c r="I336" s="308">
        <v>1.47E-2</v>
      </c>
    </row>
    <row r="337" spans="2:9">
      <c r="B337" s="307">
        <v>44552</v>
      </c>
      <c r="C337" s="306">
        <v>22.73</v>
      </c>
      <c r="D337" s="306">
        <v>470.5</v>
      </c>
      <c r="E337" s="306">
        <v>458.15</v>
      </c>
      <c r="F337" s="306">
        <v>472.15</v>
      </c>
      <c r="G337" s="306">
        <v>458.15</v>
      </c>
      <c r="H337" s="306" t="s">
        <v>840</v>
      </c>
      <c r="I337" s="308">
        <v>3.73E-2</v>
      </c>
    </row>
    <row r="338" spans="2:9">
      <c r="B338" s="307">
        <v>44553</v>
      </c>
      <c r="C338" s="306">
        <v>12.12</v>
      </c>
      <c r="D338" s="306">
        <v>472.35</v>
      </c>
      <c r="E338" s="306">
        <v>476</v>
      </c>
      <c r="F338" s="306">
        <v>478</v>
      </c>
      <c r="G338" s="306">
        <v>470.95</v>
      </c>
      <c r="H338" s="306" t="s">
        <v>841</v>
      </c>
      <c r="I338" s="308">
        <v>3.8999999999999998E-3</v>
      </c>
    </row>
    <row r="339" spans="2:9">
      <c r="B339" s="307">
        <v>44554</v>
      </c>
      <c r="C339" s="306">
        <v>15.49</v>
      </c>
      <c r="D339" s="306">
        <v>467.6</v>
      </c>
      <c r="E339" s="306">
        <v>474.9</v>
      </c>
      <c r="F339" s="306">
        <v>474.9</v>
      </c>
      <c r="G339" s="306">
        <v>460</v>
      </c>
      <c r="H339" s="306" t="s">
        <v>842</v>
      </c>
      <c r="I339" s="308">
        <v>-1.01E-2</v>
      </c>
    </row>
    <row r="340" spans="2:9">
      <c r="B340" s="307">
        <v>44557</v>
      </c>
      <c r="C340" s="306">
        <v>12.56</v>
      </c>
      <c r="D340" s="306">
        <v>471.15</v>
      </c>
      <c r="E340" s="306">
        <v>465.7</v>
      </c>
      <c r="F340" s="306">
        <v>472.45</v>
      </c>
      <c r="G340" s="306">
        <v>460.1</v>
      </c>
      <c r="H340" s="306" t="s">
        <v>843</v>
      </c>
      <c r="I340" s="308">
        <v>7.6E-3</v>
      </c>
    </row>
    <row r="341" spans="2:9">
      <c r="B341" s="307">
        <v>44558</v>
      </c>
      <c r="C341" s="306">
        <v>22.86</v>
      </c>
      <c r="D341" s="306">
        <v>480.2</v>
      </c>
      <c r="E341" s="306">
        <v>475.2</v>
      </c>
      <c r="F341" s="306">
        <v>482.8</v>
      </c>
      <c r="G341" s="306">
        <v>472.65</v>
      </c>
      <c r="H341" s="306" t="s">
        <v>844</v>
      </c>
      <c r="I341" s="308">
        <v>1.9199999999999998E-2</v>
      </c>
    </row>
    <row r="342" spans="2:9">
      <c r="B342" s="307">
        <v>44559</v>
      </c>
      <c r="C342" s="306">
        <v>10.26</v>
      </c>
      <c r="D342" s="306">
        <v>476</v>
      </c>
      <c r="E342" s="306">
        <v>478.75</v>
      </c>
      <c r="F342" s="306">
        <v>481.6</v>
      </c>
      <c r="G342" s="306">
        <v>474.25</v>
      </c>
      <c r="H342" s="306" t="s">
        <v>845</v>
      </c>
      <c r="I342" s="308">
        <v>-8.6999999999999994E-3</v>
      </c>
    </row>
    <row r="343" spans="2:9">
      <c r="B343" s="307">
        <v>44560</v>
      </c>
      <c r="C343" s="306">
        <v>11.92</v>
      </c>
      <c r="D343" s="306">
        <v>470.4</v>
      </c>
      <c r="E343" s="306">
        <v>472.55</v>
      </c>
      <c r="F343" s="306">
        <v>476.4</v>
      </c>
      <c r="G343" s="306">
        <v>468.6</v>
      </c>
      <c r="H343" s="306" t="s">
        <v>846</v>
      </c>
      <c r="I343" s="308">
        <v>-1.18E-2</v>
      </c>
    </row>
    <row r="344" spans="2:9">
      <c r="B344" s="307">
        <v>44561</v>
      </c>
      <c r="C344" s="306">
        <v>15.54</v>
      </c>
      <c r="D344" s="306">
        <v>482.4</v>
      </c>
      <c r="E344" s="306">
        <v>472.7</v>
      </c>
      <c r="F344" s="306">
        <v>483.6</v>
      </c>
      <c r="G344" s="306">
        <v>471.85</v>
      </c>
      <c r="H344" s="306" t="s">
        <v>847</v>
      </c>
      <c r="I344" s="308">
        <v>2.5499999999999998E-2</v>
      </c>
    </row>
    <row r="345" spans="2:9">
      <c r="B345" s="307">
        <v>44564</v>
      </c>
      <c r="C345" s="306">
        <v>32.75</v>
      </c>
      <c r="D345" s="306">
        <v>497.6</v>
      </c>
      <c r="E345" s="306">
        <v>493.5</v>
      </c>
      <c r="F345" s="306">
        <v>500.85</v>
      </c>
      <c r="G345" s="306">
        <v>492</v>
      </c>
      <c r="H345" s="306" t="s">
        <v>848</v>
      </c>
      <c r="I345" s="308">
        <v>3.15E-2</v>
      </c>
    </row>
    <row r="346" spans="2:9">
      <c r="B346" s="307">
        <v>44565</v>
      </c>
      <c r="C346" s="306">
        <v>24.1</v>
      </c>
      <c r="D346" s="306">
        <v>489.6</v>
      </c>
      <c r="E346" s="306">
        <v>496.8</v>
      </c>
      <c r="F346" s="306">
        <v>499</v>
      </c>
      <c r="G346" s="306">
        <v>484.05</v>
      </c>
      <c r="H346" s="306" t="s">
        <v>849</v>
      </c>
      <c r="I346" s="308">
        <v>-1.61E-2</v>
      </c>
    </row>
    <row r="347" spans="2:9">
      <c r="B347" s="307">
        <v>44566</v>
      </c>
      <c r="C347" s="306">
        <v>15.42</v>
      </c>
      <c r="D347" s="306">
        <v>489.75</v>
      </c>
      <c r="E347" s="306">
        <v>486.95</v>
      </c>
      <c r="F347" s="306">
        <v>492.75</v>
      </c>
      <c r="G347" s="306">
        <v>483.55</v>
      </c>
      <c r="H347" s="306" t="s">
        <v>850</v>
      </c>
      <c r="I347" s="308">
        <v>2.9999999999999997E-4</v>
      </c>
    </row>
    <row r="348" spans="2:9">
      <c r="B348" s="307">
        <v>44567</v>
      </c>
      <c r="C348" s="306">
        <v>16.559999999999999</v>
      </c>
      <c r="D348" s="306">
        <v>488.85</v>
      </c>
      <c r="E348" s="306">
        <v>481.5</v>
      </c>
      <c r="F348" s="306">
        <v>492.95</v>
      </c>
      <c r="G348" s="306">
        <v>477.1</v>
      </c>
      <c r="H348" s="306" t="s">
        <v>851</v>
      </c>
      <c r="I348" s="308">
        <v>-1.8E-3</v>
      </c>
    </row>
    <row r="349" spans="2:9">
      <c r="B349" s="307">
        <v>44568</v>
      </c>
      <c r="C349" s="306">
        <v>15.53</v>
      </c>
      <c r="D349" s="306">
        <v>490.6</v>
      </c>
      <c r="E349" s="306">
        <v>490.05</v>
      </c>
      <c r="F349" s="306">
        <v>495.5</v>
      </c>
      <c r="G349" s="306">
        <v>483.75</v>
      </c>
      <c r="H349" s="306" t="s">
        <v>852</v>
      </c>
      <c r="I349" s="308">
        <v>3.5999999999999999E-3</v>
      </c>
    </row>
    <row r="350" spans="2:9">
      <c r="B350" s="307">
        <v>44571</v>
      </c>
      <c r="C350" s="306">
        <v>25.19</v>
      </c>
      <c r="D350" s="306">
        <v>503.7</v>
      </c>
      <c r="E350" s="306">
        <v>493.1</v>
      </c>
      <c r="F350" s="306">
        <v>504.9</v>
      </c>
      <c r="G350" s="306">
        <v>491.3</v>
      </c>
      <c r="H350" s="306" t="s">
        <v>853</v>
      </c>
      <c r="I350" s="308">
        <v>2.6700000000000002E-2</v>
      </c>
    </row>
    <row r="351" spans="2:9">
      <c r="B351" s="307">
        <v>44572</v>
      </c>
      <c r="C351" s="306">
        <v>16.27</v>
      </c>
      <c r="D351" s="306">
        <v>501.3</v>
      </c>
      <c r="E351" s="306">
        <v>503</v>
      </c>
      <c r="F351" s="306">
        <v>507.9</v>
      </c>
      <c r="G351" s="306">
        <v>498.15</v>
      </c>
      <c r="H351" s="306" t="s">
        <v>854</v>
      </c>
      <c r="I351" s="308">
        <v>-4.7999999999999996E-3</v>
      </c>
    </row>
    <row r="352" spans="2:9">
      <c r="B352" s="307">
        <v>44573</v>
      </c>
      <c r="C352" s="306">
        <v>16.260000000000002</v>
      </c>
      <c r="D352" s="306">
        <v>507.25</v>
      </c>
      <c r="E352" s="306">
        <v>505.85</v>
      </c>
      <c r="F352" s="306">
        <v>511.85</v>
      </c>
      <c r="G352" s="306">
        <v>503.5</v>
      </c>
      <c r="H352" s="306" t="s">
        <v>835</v>
      </c>
      <c r="I352" s="308">
        <v>1.1900000000000001E-2</v>
      </c>
    </row>
    <row r="353" spans="2:9">
      <c r="B353" s="307">
        <v>44574</v>
      </c>
      <c r="C353" s="306">
        <v>27.57</v>
      </c>
      <c r="D353" s="306">
        <v>511.95</v>
      </c>
      <c r="E353" s="306">
        <v>504</v>
      </c>
      <c r="F353" s="306">
        <v>513.79999999999995</v>
      </c>
      <c r="G353" s="306">
        <v>494.8</v>
      </c>
      <c r="H353" s="306" t="s">
        <v>855</v>
      </c>
      <c r="I353" s="308">
        <v>9.2999999999999992E-3</v>
      </c>
    </row>
    <row r="354" spans="2:9">
      <c r="B354" s="307">
        <v>44575</v>
      </c>
      <c r="C354" s="306">
        <v>12.66</v>
      </c>
      <c r="D354" s="306">
        <v>509.9</v>
      </c>
      <c r="E354" s="306">
        <v>509</v>
      </c>
      <c r="F354" s="306">
        <v>515.4</v>
      </c>
      <c r="G354" s="306">
        <v>505.65</v>
      </c>
      <c r="H354" s="306" t="s">
        <v>856</v>
      </c>
      <c r="I354" s="308">
        <v>-4.0000000000000001E-3</v>
      </c>
    </row>
    <row r="355" spans="2:9">
      <c r="B355" s="307">
        <v>44578</v>
      </c>
      <c r="C355" s="306">
        <v>27.94</v>
      </c>
      <c r="D355" s="306">
        <v>525</v>
      </c>
      <c r="E355" s="306">
        <v>514.79999999999995</v>
      </c>
      <c r="F355" s="306">
        <v>526.9</v>
      </c>
      <c r="G355" s="306">
        <v>512</v>
      </c>
      <c r="H355" s="306" t="s">
        <v>727</v>
      </c>
      <c r="I355" s="308">
        <v>2.9600000000000001E-2</v>
      </c>
    </row>
    <row r="356" spans="2:9">
      <c r="B356" s="307">
        <v>44579</v>
      </c>
      <c r="C356" s="306">
        <v>19.350000000000001</v>
      </c>
      <c r="D356" s="306">
        <v>510.8</v>
      </c>
      <c r="E356" s="306">
        <v>527.9</v>
      </c>
      <c r="F356" s="306">
        <v>528.5</v>
      </c>
      <c r="G356" s="306">
        <v>507.15</v>
      </c>
      <c r="H356" s="306" t="s">
        <v>857</v>
      </c>
      <c r="I356" s="308">
        <v>-2.7E-2</v>
      </c>
    </row>
    <row r="357" spans="2:9">
      <c r="B357" s="307">
        <v>44580</v>
      </c>
      <c r="C357" s="306">
        <v>21.8</v>
      </c>
      <c r="D357" s="306">
        <v>520.85</v>
      </c>
      <c r="E357" s="306">
        <v>510</v>
      </c>
      <c r="F357" s="306">
        <v>522.20000000000005</v>
      </c>
      <c r="G357" s="306">
        <v>504.8</v>
      </c>
      <c r="H357" s="306" t="s">
        <v>858</v>
      </c>
      <c r="I357" s="308">
        <v>1.9699999999999999E-2</v>
      </c>
    </row>
    <row r="358" spans="2:9">
      <c r="B358" s="307">
        <v>44581</v>
      </c>
      <c r="C358" s="306">
        <v>18.36</v>
      </c>
      <c r="D358" s="306">
        <v>515.70000000000005</v>
      </c>
      <c r="E358" s="306">
        <v>519.95000000000005</v>
      </c>
      <c r="F358" s="306">
        <v>523.20000000000005</v>
      </c>
      <c r="G358" s="306">
        <v>512</v>
      </c>
      <c r="H358" s="306" t="s">
        <v>859</v>
      </c>
      <c r="I358" s="308">
        <v>-9.9000000000000008E-3</v>
      </c>
    </row>
    <row r="359" spans="2:9">
      <c r="B359" s="307">
        <v>44582</v>
      </c>
      <c r="C359" s="306">
        <v>17.95</v>
      </c>
      <c r="D359" s="306">
        <v>501.85</v>
      </c>
      <c r="E359" s="306">
        <v>510.4</v>
      </c>
      <c r="F359" s="306">
        <v>513.85</v>
      </c>
      <c r="G359" s="306">
        <v>494.25</v>
      </c>
      <c r="H359" s="306" t="s">
        <v>860</v>
      </c>
      <c r="I359" s="308">
        <v>-2.69E-2</v>
      </c>
    </row>
    <row r="360" spans="2:9">
      <c r="B360" s="307">
        <v>44585</v>
      </c>
      <c r="C360" s="306">
        <v>25.23</v>
      </c>
      <c r="D360" s="306">
        <v>478.45</v>
      </c>
      <c r="E360" s="306">
        <v>499.7</v>
      </c>
      <c r="F360" s="306">
        <v>504.3</v>
      </c>
      <c r="G360" s="306">
        <v>473.35</v>
      </c>
      <c r="H360" s="306" t="s">
        <v>861</v>
      </c>
      <c r="I360" s="308">
        <v>-4.6600000000000003E-2</v>
      </c>
    </row>
    <row r="361" spans="2:9">
      <c r="B361" s="307">
        <v>44586</v>
      </c>
      <c r="C361" s="306">
        <v>22.57</v>
      </c>
      <c r="D361" s="306">
        <v>490.55</v>
      </c>
      <c r="E361" s="306">
        <v>473.8</v>
      </c>
      <c r="F361" s="306">
        <v>492.5</v>
      </c>
      <c r="G361" s="306">
        <v>467.65</v>
      </c>
      <c r="H361" s="306" t="s">
        <v>862</v>
      </c>
      <c r="I361" s="308">
        <v>2.53E-2</v>
      </c>
    </row>
    <row r="362" spans="2:9">
      <c r="B362" s="307">
        <v>44588</v>
      </c>
      <c r="C362" s="306">
        <v>26.68</v>
      </c>
      <c r="D362" s="306">
        <v>494.4</v>
      </c>
      <c r="E362" s="306">
        <v>480.75</v>
      </c>
      <c r="F362" s="306">
        <v>502.7</v>
      </c>
      <c r="G362" s="306">
        <v>476.6</v>
      </c>
      <c r="H362" s="306" t="s">
        <v>863</v>
      </c>
      <c r="I362" s="308">
        <v>7.7999999999999996E-3</v>
      </c>
    </row>
    <row r="363" spans="2:9">
      <c r="B363" s="307">
        <v>44589</v>
      </c>
      <c r="C363" s="306">
        <v>21.78</v>
      </c>
      <c r="D363" s="306">
        <v>497.3</v>
      </c>
      <c r="E363" s="306">
        <v>500.5</v>
      </c>
      <c r="F363" s="306">
        <v>509.35</v>
      </c>
      <c r="G363" s="306">
        <v>495.3</v>
      </c>
      <c r="H363" s="306" t="s">
        <v>864</v>
      </c>
      <c r="I363" s="308">
        <v>5.8999999999999999E-3</v>
      </c>
    </row>
    <row r="364" spans="2:9">
      <c r="B364" s="307">
        <v>44592</v>
      </c>
      <c r="C364" s="306">
        <v>27.31</v>
      </c>
      <c r="D364" s="306">
        <v>517.75</v>
      </c>
      <c r="E364" s="306">
        <v>505</v>
      </c>
      <c r="F364" s="306">
        <v>520</v>
      </c>
      <c r="G364" s="306">
        <v>498.2</v>
      </c>
      <c r="H364" s="306" t="s">
        <v>865</v>
      </c>
      <c r="I364" s="308">
        <v>4.1099999999999998E-2</v>
      </c>
    </row>
    <row r="365" spans="2:9">
      <c r="B365" s="307">
        <v>44593</v>
      </c>
      <c r="C365" s="306">
        <v>48.03</v>
      </c>
      <c r="D365" s="306">
        <v>504.3</v>
      </c>
      <c r="E365" s="306">
        <v>508</v>
      </c>
      <c r="F365" s="306">
        <v>514.75</v>
      </c>
      <c r="G365" s="306">
        <v>493</v>
      </c>
      <c r="H365" s="306" t="s">
        <v>866</v>
      </c>
      <c r="I365" s="308">
        <v>-2.5999999999999999E-2</v>
      </c>
    </row>
    <row r="366" spans="2:9">
      <c r="B366" s="307">
        <v>44594</v>
      </c>
      <c r="C366" s="306">
        <v>14.31</v>
      </c>
      <c r="D366" s="306">
        <v>506.4</v>
      </c>
      <c r="E366" s="306">
        <v>508.6</v>
      </c>
      <c r="F366" s="306">
        <v>514.45000000000005</v>
      </c>
      <c r="G366" s="306">
        <v>505.15</v>
      </c>
      <c r="H366" s="306" t="s">
        <v>867</v>
      </c>
      <c r="I366" s="308">
        <v>4.1999999999999997E-3</v>
      </c>
    </row>
    <row r="367" spans="2:9">
      <c r="B367" s="307">
        <v>44595</v>
      </c>
      <c r="C367" s="306">
        <v>15.25</v>
      </c>
      <c r="D367" s="306">
        <v>504.5</v>
      </c>
      <c r="E367" s="306">
        <v>509.1</v>
      </c>
      <c r="F367" s="306">
        <v>514.29999999999995</v>
      </c>
      <c r="G367" s="306">
        <v>502.85</v>
      </c>
      <c r="H367" s="306" t="s">
        <v>868</v>
      </c>
      <c r="I367" s="308">
        <v>-3.8E-3</v>
      </c>
    </row>
    <row r="368" spans="2:9">
      <c r="B368" s="307">
        <v>44596</v>
      </c>
      <c r="C368" s="306">
        <v>12.66</v>
      </c>
      <c r="D368" s="306">
        <v>500.6</v>
      </c>
      <c r="E368" s="306">
        <v>503.8</v>
      </c>
      <c r="F368" s="306">
        <v>507.8</v>
      </c>
      <c r="G368" s="306">
        <v>499</v>
      </c>
      <c r="H368" s="306" t="s">
        <v>856</v>
      </c>
      <c r="I368" s="308">
        <v>-7.7000000000000002E-3</v>
      </c>
    </row>
    <row r="369" spans="2:9">
      <c r="B369" s="307">
        <v>44599</v>
      </c>
      <c r="C369" s="306">
        <v>13.39</v>
      </c>
      <c r="D369" s="306">
        <v>494.6</v>
      </c>
      <c r="E369" s="306">
        <v>502.9</v>
      </c>
      <c r="F369" s="306">
        <v>504.35</v>
      </c>
      <c r="G369" s="306">
        <v>492.5</v>
      </c>
      <c r="H369" s="306" t="s">
        <v>869</v>
      </c>
      <c r="I369" s="308">
        <v>-1.2E-2</v>
      </c>
    </row>
    <row r="370" spans="2:9">
      <c r="B370" s="307">
        <v>44600</v>
      </c>
      <c r="C370" s="306">
        <v>23.38</v>
      </c>
      <c r="D370" s="306">
        <v>492.75</v>
      </c>
      <c r="E370" s="306">
        <v>498</v>
      </c>
      <c r="F370" s="306">
        <v>498.5</v>
      </c>
      <c r="G370" s="306">
        <v>479.15</v>
      </c>
      <c r="H370" s="306" t="s">
        <v>870</v>
      </c>
      <c r="I370" s="308">
        <v>-3.7000000000000002E-3</v>
      </c>
    </row>
    <row r="371" spans="2:9">
      <c r="B371" s="307">
        <v>44601</v>
      </c>
      <c r="C371" s="306">
        <v>12.43</v>
      </c>
      <c r="D371" s="306">
        <v>501.25</v>
      </c>
      <c r="E371" s="306">
        <v>496.5</v>
      </c>
      <c r="F371" s="306">
        <v>503.7</v>
      </c>
      <c r="G371" s="306">
        <v>494.7</v>
      </c>
      <c r="H371" s="306" t="s">
        <v>871</v>
      </c>
      <c r="I371" s="308">
        <v>1.7299999999999999E-2</v>
      </c>
    </row>
    <row r="372" spans="2:9">
      <c r="B372" s="307">
        <v>44602</v>
      </c>
      <c r="C372" s="306">
        <v>14.54</v>
      </c>
      <c r="D372" s="306">
        <v>507.45</v>
      </c>
      <c r="E372" s="306">
        <v>506.7</v>
      </c>
      <c r="F372" s="306">
        <v>510.5</v>
      </c>
      <c r="G372" s="306">
        <v>504.2</v>
      </c>
      <c r="H372" s="306" t="s">
        <v>872</v>
      </c>
      <c r="I372" s="308">
        <v>1.24E-2</v>
      </c>
    </row>
    <row r="373" spans="2:9">
      <c r="B373" s="307">
        <v>44603</v>
      </c>
      <c r="C373" s="306">
        <v>13.53</v>
      </c>
      <c r="D373" s="306">
        <v>498.85</v>
      </c>
      <c r="E373" s="306">
        <v>503.25</v>
      </c>
      <c r="F373" s="306">
        <v>507</v>
      </c>
      <c r="G373" s="306">
        <v>497</v>
      </c>
      <c r="H373" s="306" t="s">
        <v>873</v>
      </c>
      <c r="I373" s="308">
        <v>-1.6899999999999998E-2</v>
      </c>
    </row>
    <row r="374" spans="2:9">
      <c r="B374" s="307">
        <v>44606</v>
      </c>
      <c r="C374" s="306">
        <v>22.16</v>
      </c>
      <c r="D374" s="306">
        <v>471.45</v>
      </c>
      <c r="E374" s="306">
        <v>487</v>
      </c>
      <c r="F374" s="306">
        <v>488.5</v>
      </c>
      <c r="G374" s="306">
        <v>468.8</v>
      </c>
      <c r="H374" s="306" t="s">
        <v>874</v>
      </c>
      <c r="I374" s="308">
        <v>-5.4899999999999997E-2</v>
      </c>
    </row>
    <row r="375" spans="2:9">
      <c r="B375" s="307">
        <v>44607</v>
      </c>
      <c r="C375" s="306">
        <v>30.62</v>
      </c>
      <c r="D375" s="306">
        <v>504</v>
      </c>
      <c r="E375" s="306">
        <v>476.15</v>
      </c>
      <c r="F375" s="306">
        <v>505.5</v>
      </c>
      <c r="G375" s="306">
        <v>467.3</v>
      </c>
      <c r="H375" s="306" t="s">
        <v>875</v>
      </c>
      <c r="I375" s="308">
        <v>6.9000000000000006E-2</v>
      </c>
    </row>
    <row r="376" spans="2:9">
      <c r="B376" s="307">
        <v>44608</v>
      </c>
      <c r="C376" s="306">
        <v>20.18</v>
      </c>
      <c r="D376" s="306">
        <v>498.45</v>
      </c>
      <c r="E376" s="306">
        <v>504</v>
      </c>
      <c r="F376" s="306">
        <v>507.9</v>
      </c>
      <c r="G376" s="306">
        <v>496.6</v>
      </c>
      <c r="H376" s="306" t="s">
        <v>876</v>
      </c>
      <c r="I376" s="308">
        <v>-1.0999999999999999E-2</v>
      </c>
    </row>
    <row r="377" spans="2:9">
      <c r="B377" s="307">
        <v>44609</v>
      </c>
      <c r="C377" s="306">
        <v>27.94</v>
      </c>
      <c r="D377" s="306">
        <v>499.95</v>
      </c>
      <c r="E377" s="306">
        <v>505.9</v>
      </c>
      <c r="F377" s="306">
        <v>511.5</v>
      </c>
      <c r="G377" s="306">
        <v>498.3</v>
      </c>
      <c r="H377" s="306" t="s">
        <v>727</v>
      </c>
      <c r="I377" s="308">
        <v>3.0000000000000001E-3</v>
      </c>
    </row>
    <row r="378" spans="2:9">
      <c r="B378" s="307">
        <v>44610</v>
      </c>
      <c r="C378" s="306">
        <v>15.48</v>
      </c>
      <c r="D378" s="306">
        <v>493.15</v>
      </c>
      <c r="E378" s="306">
        <v>498</v>
      </c>
      <c r="F378" s="306">
        <v>502.65</v>
      </c>
      <c r="G378" s="306">
        <v>491.5</v>
      </c>
      <c r="H378" s="306" t="s">
        <v>877</v>
      </c>
      <c r="I378" s="308">
        <v>-1.3599999999999999E-2</v>
      </c>
    </row>
    <row r="379" spans="2:9">
      <c r="B379" s="307">
        <v>44613</v>
      </c>
      <c r="C379" s="306">
        <v>22.59</v>
      </c>
      <c r="D379" s="306">
        <v>494.45</v>
      </c>
      <c r="E379" s="306">
        <v>490.15</v>
      </c>
      <c r="F379" s="306">
        <v>500.4</v>
      </c>
      <c r="G379" s="306">
        <v>486.1</v>
      </c>
      <c r="H379" s="306" t="s">
        <v>878</v>
      </c>
      <c r="I379" s="308">
        <v>2.5999999999999999E-3</v>
      </c>
    </row>
    <row r="380" spans="2:9">
      <c r="B380" s="307">
        <v>44614</v>
      </c>
      <c r="C380" s="306">
        <v>27.96</v>
      </c>
      <c r="D380" s="306">
        <v>478.25</v>
      </c>
      <c r="E380" s="306">
        <v>480.55</v>
      </c>
      <c r="F380" s="306">
        <v>486.3</v>
      </c>
      <c r="G380" s="306">
        <v>471.45</v>
      </c>
      <c r="H380" s="306" t="s">
        <v>879</v>
      </c>
      <c r="I380" s="308">
        <v>-3.2800000000000003E-2</v>
      </c>
    </row>
    <row r="381" spans="2:9">
      <c r="B381" s="307">
        <v>44615</v>
      </c>
      <c r="C381" s="306">
        <v>17.7</v>
      </c>
      <c r="D381" s="306">
        <v>477</v>
      </c>
      <c r="E381" s="306">
        <v>481.75</v>
      </c>
      <c r="F381" s="306">
        <v>485.4</v>
      </c>
      <c r="G381" s="306">
        <v>475.3</v>
      </c>
      <c r="H381" s="306" t="s">
        <v>880</v>
      </c>
      <c r="I381" s="308">
        <v>-2.5999999999999999E-3</v>
      </c>
    </row>
    <row r="382" spans="2:9">
      <c r="B382" s="307">
        <v>44616</v>
      </c>
      <c r="C382" s="306">
        <v>57.27</v>
      </c>
      <c r="D382" s="306">
        <v>427.95</v>
      </c>
      <c r="E382" s="306">
        <v>455.95</v>
      </c>
      <c r="F382" s="306">
        <v>461.55</v>
      </c>
      <c r="G382" s="306">
        <v>405.45</v>
      </c>
      <c r="H382" s="306" t="s">
        <v>881</v>
      </c>
      <c r="I382" s="308">
        <v>-0.1028</v>
      </c>
    </row>
    <row r="383" spans="2:9">
      <c r="B383" s="307">
        <v>44617</v>
      </c>
      <c r="C383" s="306">
        <v>48.88</v>
      </c>
      <c r="D383" s="306">
        <v>459.75</v>
      </c>
      <c r="E383" s="306">
        <v>444.85</v>
      </c>
      <c r="F383" s="306">
        <v>465.7</v>
      </c>
      <c r="G383" s="306">
        <v>441.6</v>
      </c>
      <c r="H383" s="306" t="s">
        <v>583</v>
      </c>
      <c r="I383" s="308">
        <v>7.4300000000000005E-2</v>
      </c>
    </row>
    <row r="384" spans="2:9">
      <c r="B384" s="307">
        <v>44620</v>
      </c>
      <c r="C384" s="306">
        <v>34.479999999999997</v>
      </c>
      <c r="D384" s="306">
        <v>454.05</v>
      </c>
      <c r="E384" s="306">
        <v>445</v>
      </c>
      <c r="F384" s="306">
        <v>457.35</v>
      </c>
      <c r="G384" s="306">
        <v>440.45</v>
      </c>
      <c r="H384" s="306" t="s">
        <v>882</v>
      </c>
      <c r="I384" s="308">
        <v>-1.24E-2</v>
      </c>
    </row>
    <row r="385" spans="2:9">
      <c r="B385" s="307">
        <v>44622</v>
      </c>
      <c r="C385" s="306">
        <v>25.79</v>
      </c>
      <c r="D385" s="306">
        <v>447.6</v>
      </c>
      <c r="E385" s="306">
        <v>452.95</v>
      </c>
      <c r="F385" s="306">
        <v>454.25</v>
      </c>
      <c r="G385" s="306">
        <v>444.55</v>
      </c>
      <c r="H385" s="306" t="s">
        <v>883</v>
      </c>
      <c r="I385" s="308">
        <v>-1.4200000000000001E-2</v>
      </c>
    </row>
    <row r="386" spans="2:9">
      <c r="B386" s="307">
        <v>44623</v>
      </c>
      <c r="C386" s="306">
        <v>29.6</v>
      </c>
      <c r="D386" s="306">
        <v>437.1</v>
      </c>
      <c r="E386" s="306">
        <v>458.5</v>
      </c>
      <c r="F386" s="306">
        <v>458.5</v>
      </c>
      <c r="G386" s="306">
        <v>435</v>
      </c>
      <c r="H386" s="306" t="s">
        <v>884</v>
      </c>
      <c r="I386" s="308">
        <v>-2.35E-2</v>
      </c>
    </row>
    <row r="387" spans="2:9">
      <c r="B387" s="307">
        <v>44624</v>
      </c>
      <c r="C387" s="306">
        <v>38.770000000000003</v>
      </c>
      <c r="D387" s="306">
        <v>417.25</v>
      </c>
      <c r="E387" s="306">
        <v>431.85</v>
      </c>
      <c r="F387" s="306">
        <v>431.85</v>
      </c>
      <c r="G387" s="306">
        <v>414.75</v>
      </c>
      <c r="H387" s="306" t="s">
        <v>885</v>
      </c>
      <c r="I387" s="308">
        <v>-4.5400000000000003E-2</v>
      </c>
    </row>
    <row r="388" spans="2:9">
      <c r="B388" s="307">
        <v>44627</v>
      </c>
      <c r="C388" s="306">
        <v>44.84</v>
      </c>
      <c r="D388" s="306">
        <v>394</v>
      </c>
      <c r="E388" s="306">
        <v>401.75</v>
      </c>
      <c r="F388" s="306">
        <v>401.75</v>
      </c>
      <c r="G388" s="306">
        <v>387.5</v>
      </c>
      <c r="H388" s="306" t="s">
        <v>886</v>
      </c>
      <c r="I388" s="308">
        <v>-5.57E-2</v>
      </c>
    </row>
    <row r="389" spans="2:9">
      <c r="B389" s="307">
        <v>44628</v>
      </c>
      <c r="C389" s="306">
        <v>55.54</v>
      </c>
      <c r="D389" s="306">
        <v>391.75</v>
      </c>
      <c r="E389" s="306">
        <v>390.5</v>
      </c>
      <c r="F389" s="306">
        <v>395.45</v>
      </c>
      <c r="G389" s="306">
        <v>376.35</v>
      </c>
      <c r="H389" s="306" t="s">
        <v>887</v>
      </c>
      <c r="I389" s="308">
        <v>-5.7000000000000002E-3</v>
      </c>
    </row>
    <row r="390" spans="2:9">
      <c r="B390" s="307">
        <v>44629</v>
      </c>
      <c r="C390" s="306">
        <v>48.38</v>
      </c>
      <c r="D390" s="306">
        <v>405.9</v>
      </c>
      <c r="E390" s="306">
        <v>394.95</v>
      </c>
      <c r="F390" s="306">
        <v>409.25</v>
      </c>
      <c r="G390" s="306">
        <v>389.5</v>
      </c>
      <c r="H390" s="306" t="s">
        <v>888</v>
      </c>
      <c r="I390" s="308">
        <v>3.61E-2</v>
      </c>
    </row>
    <row r="391" spans="2:9">
      <c r="B391" s="307">
        <v>44630</v>
      </c>
      <c r="C391" s="306">
        <v>59.78</v>
      </c>
      <c r="D391" s="306">
        <v>419.6</v>
      </c>
      <c r="E391" s="306">
        <v>427</v>
      </c>
      <c r="F391" s="306">
        <v>434.95</v>
      </c>
      <c r="G391" s="306">
        <v>414</v>
      </c>
      <c r="H391" s="306" t="s">
        <v>889</v>
      </c>
      <c r="I391" s="308">
        <v>3.3799999999999997E-2</v>
      </c>
    </row>
    <row r="392" spans="2:9">
      <c r="B392" s="307">
        <v>44631</v>
      </c>
      <c r="C392" s="306">
        <v>51.51</v>
      </c>
      <c r="D392" s="306">
        <v>418.15</v>
      </c>
      <c r="E392" s="306">
        <v>413.6</v>
      </c>
      <c r="F392" s="306">
        <v>421.15</v>
      </c>
      <c r="G392" s="306">
        <v>407.4</v>
      </c>
      <c r="H392" s="306" t="s">
        <v>890</v>
      </c>
      <c r="I392" s="308">
        <v>-3.5000000000000001E-3</v>
      </c>
    </row>
    <row r="393" spans="2:9">
      <c r="B393" s="307">
        <v>44634</v>
      </c>
      <c r="C393" s="306">
        <v>40.72</v>
      </c>
      <c r="D393" s="306">
        <v>411.7</v>
      </c>
      <c r="E393" s="306">
        <v>418.75</v>
      </c>
      <c r="F393" s="306">
        <v>419</v>
      </c>
      <c r="G393" s="306">
        <v>404</v>
      </c>
      <c r="H393" s="306" t="s">
        <v>891</v>
      </c>
      <c r="I393" s="308">
        <v>-1.54E-2</v>
      </c>
    </row>
    <row r="394" spans="2:9">
      <c r="B394" s="307">
        <v>44635</v>
      </c>
      <c r="C394" s="306">
        <v>47.71</v>
      </c>
      <c r="D394" s="306">
        <v>413.65</v>
      </c>
      <c r="E394" s="306">
        <v>409.85</v>
      </c>
      <c r="F394" s="306">
        <v>424.2</v>
      </c>
      <c r="G394" s="306">
        <v>408</v>
      </c>
      <c r="H394" s="306" t="s">
        <v>892</v>
      </c>
      <c r="I394" s="308">
        <v>4.7000000000000002E-3</v>
      </c>
    </row>
    <row r="395" spans="2:9">
      <c r="B395" s="307">
        <v>44636</v>
      </c>
      <c r="C395" s="306">
        <v>27.19</v>
      </c>
      <c r="D395" s="306">
        <v>424.9</v>
      </c>
      <c r="E395" s="306">
        <v>427.05</v>
      </c>
      <c r="F395" s="306">
        <v>428.55</v>
      </c>
      <c r="G395" s="306">
        <v>420.7</v>
      </c>
      <c r="H395" s="306" t="s">
        <v>893</v>
      </c>
      <c r="I395" s="308">
        <v>2.7199999999999998E-2</v>
      </c>
    </row>
    <row r="396" spans="2:9">
      <c r="B396" s="307">
        <v>44637</v>
      </c>
      <c r="C396" s="306">
        <v>26.7</v>
      </c>
      <c r="D396" s="306">
        <v>433.8</v>
      </c>
      <c r="E396" s="306">
        <v>432</v>
      </c>
      <c r="F396" s="306">
        <v>435.7</v>
      </c>
      <c r="G396" s="306">
        <v>429.55</v>
      </c>
      <c r="H396" s="306" t="s">
        <v>894</v>
      </c>
      <c r="I396" s="308">
        <v>2.0899999999999998E-2</v>
      </c>
    </row>
    <row r="397" spans="2:9">
      <c r="B397" s="307">
        <v>44641</v>
      </c>
      <c r="C397" s="306">
        <v>18.27</v>
      </c>
      <c r="D397" s="306">
        <v>427.95</v>
      </c>
      <c r="E397" s="306">
        <v>435.5</v>
      </c>
      <c r="F397" s="306">
        <v>436.3</v>
      </c>
      <c r="G397" s="306">
        <v>427.1</v>
      </c>
      <c r="H397" s="306" t="s">
        <v>895</v>
      </c>
      <c r="I397" s="308">
        <v>-1.35E-2</v>
      </c>
    </row>
    <row r="398" spans="2:9">
      <c r="B398" s="307">
        <v>44642</v>
      </c>
      <c r="C398" s="306">
        <v>30.44</v>
      </c>
      <c r="D398" s="306">
        <v>440.35</v>
      </c>
      <c r="E398" s="306">
        <v>428.1</v>
      </c>
      <c r="F398" s="306">
        <v>441.45</v>
      </c>
      <c r="G398" s="306">
        <v>421.2</v>
      </c>
      <c r="H398" s="306" t="s">
        <v>896</v>
      </c>
      <c r="I398" s="308">
        <v>2.9000000000000001E-2</v>
      </c>
    </row>
    <row r="399" spans="2:9">
      <c r="B399" s="307">
        <v>44643</v>
      </c>
      <c r="C399" s="306">
        <v>25.47</v>
      </c>
      <c r="D399" s="306">
        <v>435.8</v>
      </c>
      <c r="E399" s="306">
        <v>443.5</v>
      </c>
      <c r="F399" s="306">
        <v>447</v>
      </c>
      <c r="G399" s="306">
        <v>434.6</v>
      </c>
      <c r="H399" s="306" t="s">
        <v>897</v>
      </c>
      <c r="I399" s="308">
        <v>-1.03E-2</v>
      </c>
    </row>
    <row r="400" spans="2:9">
      <c r="B400" s="307">
        <v>44644</v>
      </c>
      <c r="C400" s="306">
        <v>17.11</v>
      </c>
      <c r="D400" s="306">
        <v>433.2</v>
      </c>
      <c r="E400" s="306">
        <v>430</v>
      </c>
      <c r="F400" s="306">
        <v>435.4</v>
      </c>
      <c r="G400" s="306">
        <v>427.55</v>
      </c>
      <c r="H400" s="306" t="s">
        <v>898</v>
      </c>
      <c r="I400" s="308">
        <v>-6.0000000000000001E-3</v>
      </c>
    </row>
    <row r="401" spans="2:9">
      <c r="B401" s="307">
        <v>44645</v>
      </c>
      <c r="C401" s="306">
        <v>15.1</v>
      </c>
      <c r="D401" s="306">
        <v>432.1</v>
      </c>
      <c r="E401" s="306">
        <v>437</v>
      </c>
      <c r="F401" s="306">
        <v>437</v>
      </c>
      <c r="G401" s="306">
        <v>427.65</v>
      </c>
      <c r="H401" s="306" t="s">
        <v>899</v>
      </c>
      <c r="I401" s="308">
        <v>-2.5000000000000001E-3</v>
      </c>
    </row>
    <row r="402" spans="2:9">
      <c r="B402" s="307">
        <v>44648</v>
      </c>
      <c r="C402" s="306">
        <v>16.760000000000002</v>
      </c>
      <c r="D402" s="306">
        <v>432.7</v>
      </c>
      <c r="E402" s="306">
        <v>432</v>
      </c>
      <c r="F402" s="306">
        <v>434.95</v>
      </c>
      <c r="G402" s="306">
        <v>426.5</v>
      </c>
      <c r="H402" s="306" t="s">
        <v>900</v>
      </c>
      <c r="I402" s="308">
        <v>1.4E-3</v>
      </c>
    </row>
    <row r="403" spans="2:9">
      <c r="B403" s="307">
        <v>44649</v>
      </c>
      <c r="C403" s="306">
        <v>18.71</v>
      </c>
      <c r="D403" s="306">
        <v>433.7</v>
      </c>
      <c r="E403" s="306">
        <v>436</v>
      </c>
      <c r="F403" s="306">
        <v>439.35</v>
      </c>
      <c r="G403" s="306">
        <v>431.4</v>
      </c>
      <c r="H403" s="306" t="s">
        <v>901</v>
      </c>
      <c r="I403" s="308">
        <v>2.3E-3</v>
      </c>
    </row>
    <row r="404" spans="2:9">
      <c r="B404" s="307">
        <v>44650</v>
      </c>
      <c r="C404" s="306">
        <v>18.149999999999999</v>
      </c>
      <c r="D404" s="306">
        <v>435.65</v>
      </c>
      <c r="E404" s="306">
        <v>438.45</v>
      </c>
      <c r="F404" s="306">
        <v>442.5</v>
      </c>
      <c r="G404" s="306">
        <v>434.25</v>
      </c>
      <c r="H404" s="306" t="s">
        <v>902</v>
      </c>
      <c r="I404" s="308">
        <v>4.4999999999999997E-3</v>
      </c>
    </row>
    <row r="405" spans="2:9">
      <c r="B405" s="307">
        <v>44651</v>
      </c>
      <c r="C405" s="306">
        <v>14.25</v>
      </c>
      <c r="D405" s="306">
        <v>433.75</v>
      </c>
      <c r="E405" s="306">
        <v>436</v>
      </c>
      <c r="F405" s="306">
        <v>438.3</v>
      </c>
      <c r="G405" s="306">
        <v>432.6</v>
      </c>
      <c r="H405" s="306" t="s">
        <v>903</v>
      </c>
      <c r="I405" s="308">
        <v>-4.4000000000000003E-3</v>
      </c>
    </row>
    <row r="406" spans="2:9">
      <c r="B406" s="307">
        <v>44652</v>
      </c>
      <c r="C406" s="306">
        <v>19.38</v>
      </c>
      <c r="D406" s="306">
        <v>441.15</v>
      </c>
      <c r="E406" s="306">
        <v>434</v>
      </c>
      <c r="F406" s="306">
        <v>442.25</v>
      </c>
      <c r="G406" s="306">
        <v>430.85</v>
      </c>
      <c r="H406" s="306" t="s">
        <v>904</v>
      </c>
      <c r="I406" s="308">
        <v>1.7100000000000001E-2</v>
      </c>
    </row>
    <row r="407" spans="2:9">
      <c r="B407" s="307">
        <v>44655</v>
      </c>
      <c r="C407" s="306">
        <v>18.66</v>
      </c>
      <c r="D407" s="306">
        <v>446.75</v>
      </c>
      <c r="E407" s="306">
        <v>444.4</v>
      </c>
      <c r="F407" s="306">
        <v>449.5</v>
      </c>
      <c r="G407" s="306">
        <v>441.3</v>
      </c>
      <c r="H407" s="306" t="s">
        <v>905</v>
      </c>
      <c r="I407" s="308">
        <v>1.2699999999999999E-2</v>
      </c>
    </row>
    <row r="408" spans="2:9">
      <c r="B408" s="307">
        <v>44656</v>
      </c>
      <c r="C408" s="306">
        <v>28.53</v>
      </c>
      <c r="D408" s="306">
        <v>458.05</v>
      </c>
      <c r="E408" s="306">
        <v>450</v>
      </c>
      <c r="F408" s="306">
        <v>461.9</v>
      </c>
      <c r="G408" s="306">
        <v>448.3</v>
      </c>
      <c r="H408" s="306" t="s">
        <v>906</v>
      </c>
      <c r="I408" s="308">
        <v>2.53E-2</v>
      </c>
    </row>
    <row r="409" spans="2:9">
      <c r="B409" s="307">
        <v>44657</v>
      </c>
      <c r="C409" s="306">
        <v>24.97</v>
      </c>
      <c r="D409" s="306">
        <v>456.15</v>
      </c>
      <c r="E409" s="306">
        <v>455.9</v>
      </c>
      <c r="F409" s="306">
        <v>462.7</v>
      </c>
      <c r="G409" s="306">
        <v>452.6</v>
      </c>
      <c r="H409" s="306" t="s">
        <v>778</v>
      </c>
      <c r="I409" s="308">
        <v>-4.1000000000000003E-3</v>
      </c>
    </row>
    <row r="410" spans="2:9">
      <c r="B410" s="307">
        <v>44658</v>
      </c>
      <c r="C410" s="306">
        <v>19.95</v>
      </c>
      <c r="D410" s="306">
        <v>449.5</v>
      </c>
      <c r="E410" s="306">
        <v>456.5</v>
      </c>
      <c r="F410" s="306">
        <v>459.1</v>
      </c>
      <c r="G410" s="306">
        <v>448.5</v>
      </c>
      <c r="H410" s="306" t="s">
        <v>907</v>
      </c>
      <c r="I410" s="308">
        <v>-1.46E-2</v>
      </c>
    </row>
    <row r="411" spans="2:9">
      <c r="B411" s="307">
        <v>44659</v>
      </c>
      <c r="C411" s="306">
        <v>16.32</v>
      </c>
      <c r="D411" s="306">
        <v>452.05</v>
      </c>
      <c r="E411" s="306">
        <v>450</v>
      </c>
      <c r="F411" s="306">
        <v>456.25</v>
      </c>
      <c r="G411" s="306">
        <v>449.7</v>
      </c>
      <c r="H411" s="306" t="s">
        <v>908</v>
      </c>
      <c r="I411" s="308">
        <v>5.7000000000000002E-3</v>
      </c>
    </row>
    <row r="412" spans="2:9">
      <c r="B412" s="307">
        <v>44662</v>
      </c>
      <c r="C412" s="306">
        <v>14.34</v>
      </c>
      <c r="D412" s="306">
        <v>452.05</v>
      </c>
      <c r="E412" s="306">
        <v>457</v>
      </c>
      <c r="F412" s="306">
        <v>458.9</v>
      </c>
      <c r="G412" s="306">
        <v>451</v>
      </c>
      <c r="H412" s="306" t="s">
        <v>909</v>
      </c>
      <c r="I412" s="308">
        <v>0</v>
      </c>
    </row>
    <row r="413" spans="2:9">
      <c r="B413" s="307">
        <v>44663</v>
      </c>
      <c r="C413" s="306">
        <v>22.7</v>
      </c>
      <c r="D413" s="306">
        <v>438.3</v>
      </c>
      <c r="E413" s="306">
        <v>450.8</v>
      </c>
      <c r="F413" s="306">
        <v>450.8</v>
      </c>
      <c r="G413" s="306">
        <v>435</v>
      </c>
      <c r="H413" s="306" t="s">
        <v>910</v>
      </c>
      <c r="I413" s="308">
        <v>-3.04E-2</v>
      </c>
    </row>
    <row r="414" spans="2:9">
      <c r="B414" s="307">
        <v>44664</v>
      </c>
      <c r="C414" s="306">
        <v>16.82</v>
      </c>
      <c r="D414" s="306">
        <v>431.05</v>
      </c>
      <c r="E414" s="306">
        <v>441.8</v>
      </c>
      <c r="F414" s="306">
        <v>442.85</v>
      </c>
      <c r="G414" s="306">
        <v>430.1</v>
      </c>
      <c r="H414" s="306" t="s">
        <v>911</v>
      </c>
      <c r="I414" s="308">
        <v>-1.6500000000000001E-2</v>
      </c>
    </row>
    <row r="415" spans="2:9">
      <c r="B415" s="307">
        <v>44669</v>
      </c>
      <c r="C415" s="306">
        <v>15.3</v>
      </c>
      <c r="D415" s="306">
        <v>433.8</v>
      </c>
      <c r="E415" s="306">
        <v>430</v>
      </c>
      <c r="F415" s="306">
        <v>436.35</v>
      </c>
      <c r="G415" s="306">
        <v>423.65</v>
      </c>
      <c r="H415" s="306" t="s">
        <v>912</v>
      </c>
      <c r="I415" s="308">
        <v>6.4000000000000003E-3</v>
      </c>
    </row>
    <row r="416" spans="2:9">
      <c r="B416" s="307">
        <v>44670</v>
      </c>
      <c r="C416" s="306">
        <v>12.67</v>
      </c>
      <c r="D416" s="306">
        <v>424.95</v>
      </c>
      <c r="E416" s="306">
        <v>436.75</v>
      </c>
      <c r="F416" s="306">
        <v>440.25</v>
      </c>
      <c r="G416" s="306">
        <v>417</v>
      </c>
      <c r="H416" s="306" t="s">
        <v>913</v>
      </c>
      <c r="I416" s="308">
        <v>-2.0400000000000001E-2</v>
      </c>
    </row>
    <row r="417" spans="2:9">
      <c r="B417" s="307">
        <v>44671</v>
      </c>
      <c r="C417" s="306">
        <v>19.64</v>
      </c>
      <c r="D417" s="306">
        <v>440.55</v>
      </c>
      <c r="E417" s="306">
        <v>431</v>
      </c>
      <c r="F417" s="306">
        <v>441.7</v>
      </c>
      <c r="G417" s="306">
        <v>428.25</v>
      </c>
      <c r="H417" s="306" t="s">
        <v>914</v>
      </c>
      <c r="I417" s="308">
        <v>3.6700000000000003E-2</v>
      </c>
    </row>
    <row r="418" spans="2:9">
      <c r="B418" s="307">
        <v>44672</v>
      </c>
      <c r="C418" s="306">
        <v>14.12</v>
      </c>
      <c r="D418" s="306">
        <v>448.05</v>
      </c>
      <c r="E418" s="306">
        <v>444.5</v>
      </c>
      <c r="F418" s="306">
        <v>449.35</v>
      </c>
      <c r="G418" s="306">
        <v>441.05</v>
      </c>
      <c r="H418" s="306" t="s">
        <v>915</v>
      </c>
      <c r="I418" s="308">
        <v>1.7000000000000001E-2</v>
      </c>
    </row>
    <row r="419" spans="2:9">
      <c r="B419" s="307">
        <v>44673</v>
      </c>
      <c r="C419" s="306">
        <v>14.36</v>
      </c>
      <c r="D419" s="306">
        <v>438.85</v>
      </c>
      <c r="E419" s="306">
        <v>442.05</v>
      </c>
      <c r="F419" s="306">
        <v>447.25</v>
      </c>
      <c r="G419" s="306">
        <v>438</v>
      </c>
      <c r="H419" s="306" t="s">
        <v>916</v>
      </c>
      <c r="I419" s="308">
        <v>-2.0500000000000001E-2</v>
      </c>
    </row>
    <row r="420" spans="2:9">
      <c r="B420" s="307">
        <v>44676</v>
      </c>
      <c r="C420" s="306">
        <v>14.73</v>
      </c>
      <c r="D420" s="306">
        <v>425.15</v>
      </c>
      <c r="E420" s="306">
        <v>432.75</v>
      </c>
      <c r="F420" s="306">
        <v>436</v>
      </c>
      <c r="G420" s="306">
        <v>423.15</v>
      </c>
      <c r="H420" s="306" t="s">
        <v>917</v>
      </c>
      <c r="I420" s="308">
        <v>-3.1199999999999999E-2</v>
      </c>
    </row>
    <row r="421" spans="2:9">
      <c r="B421" s="307">
        <v>44677</v>
      </c>
      <c r="C421" s="306">
        <v>13.58</v>
      </c>
      <c r="D421" s="306">
        <v>434.9</v>
      </c>
      <c r="E421" s="306">
        <v>433.9</v>
      </c>
      <c r="F421" s="306">
        <v>437.45</v>
      </c>
      <c r="G421" s="306">
        <v>431.6</v>
      </c>
      <c r="H421" s="306" t="s">
        <v>836</v>
      </c>
      <c r="I421" s="308">
        <v>2.29E-2</v>
      </c>
    </row>
    <row r="422" spans="2:9">
      <c r="B422" s="307">
        <v>44678</v>
      </c>
      <c r="C422" s="306">
        <v>13.7</v>
      </c>
      <c r="D422" s="306">
        <v>430.25</v>
      </c>
      <c r="E422" s="306">
        <v>429.25</v>
      </c>
      <c r="F422" s="306">
        <v>432.95</v>
      </c>
      <c r="G422" s="306">
        <v>425.1</v>
      </c>
      <c r="H422" s="306" t="s">
        <v>918</v>
      </c>
      <c r="I422" s="308">
        <v>-1.0699999999999999E-2</v>
      </c>
    </row>
    <row r="423" spans="2:9">
      <c r="B423" s="307">
        <v>44679</v>
      </c>
      <c r="C423" s="306">
        <v>13.88</v>
      </c>
      <c r="D423" s="306">
        <v>436.05</v>
      </c>
      <c r="E423" s="306">
        <v>434.8</v>
      </c>
      <c r="F423" s="306">
        <v>439.2</v>
      </c>
      <c r="G423" s="306">
        <v>430.8</v>
      </c>
      <c r="H423" s="306" t="s">
        <v>919</v>
      </c>
      <c r="I423" s="308">
        <v>1.35E-2</v>
      </c>
    </row>
    <row r="424" spans="2:9">
      <c r="B424" s="307">
        <v>44680</v>
      </c>
      <c r="C424" s="306">
        <v>21.99</v>
      </c>
      <c r="D424" s="306">
        <v>437.6</v>
      </c>
      <c r="E424" s="306">
        <v>440.2</v>
      </c>
      <c r="F424" s="306">
        <v>447.75</v>
      </c>
      <c r="G424" s="306">
        <v>436</v>
      </c>
      <c r="H424" s="306" t="s">
        <v>920</v>
      </c>
      <c r="I424" s="308">
        <v>3.5999999999999999E-3</v>
      </c>
    </row>
    <row r="425" spans="2:9">
      <c r="B425" s="307">
        <v>44683</v>
      </c>
      <c r="C425" s="306">
        <v>18.95</v>
      </c>
      <c r="D425" s="306">
        <v>432.85</v>
      </c>
      <c r="E425" s="306">
        <v>437.95</v>
      </c>
      <c r="F425" s="306">
        <v>442.95</v>
      </c>
      <c r="G425" s="306">
        <v>428.5</v>
      </c>
      <c r="H425" s="306" t="s">
        <v>921</v>
      </c>
      <c r="I425" s="308">
        <v>-1.09E-2</v>
      </c>
    </row>
    <row r="426" spans="2:9">
      <c r="B426" s="307">
        <v>44685</v>
      </c>
      <c r="C426" s="306">
        <v>14.93</v>
      </c>
      <c r="D426" s="306">
        <v>423.5</v>
      </c>
      <c r="E426" s="306">
        <v>437.95</v>
      </c>
      <c r="F426" s="306">
        <v>440.6</v>
      </c>
      <c r="G426" s="306">
        <v>420.7</v>
      </c>
      <c r="H426" s="306" t="s">
        <v>922</v>
      </c>
      <c r="I426" s="308">
        <v>-2.1600000000000001E-2</v>
      </c>
    </row>
    <row r="427" spans="2:9">
      <c r="B427" s="307">
        <v>44686</v>
      </c>
      <c r="C427" s="306">
        <v>12.24</v>
      </c>
      <c r="D427" s="306">
        <v>426.3</v>
      </c>
      <c r="E427" s="306">
        <v>429</v>
      </c>
      <c r="F427" s="306">
        <v>434</v>
      </c>
      <c r="G427" s="306">
        <v>423.7</v>
      </c>
      <c r="H427" s="306" t="s">
        <v>923</v>
      </c>
      <c r="I427" s="308">
        <v>6.6E-3</v>
      </c>
    </row>
    <row r="428" spans="2:9">
      <c r="B428" s="307">
        <v>44687</v>
      </c>
      <c r="C428" s="306">
        <v>25.14</v>
      </c>
      <c r="D428" s="306">
        <v>408.55</v>
      </c>
      <c r="E428" s="306">
        <v>418.85</v>
      </c>
      <c r="F428" s="306">
        <v>420.2</v>
      </c>
      <c r="G428" s="306">
        <v>407</v>
      </c>
      <c r="H428" s="306" t="s">
        <v>924</v>
      </c>
      <c r="I428" s="308">
        <v>-4.1599999999999998E-2</v>
      </c>
    </row>
    <row r="429" spans="2:9">
      <c r="B429" s="307">
        <v>44690</v>
      </c>
      <c r="C429" s="306">
        <v>18.079999999999998</v>
      </c>
      <c r="D429" s="306">
        <v>403.95</v>
      </c>
      <c r="E429" s="306">
        <v>407.15</v>
      </c>
      <c r="F429" s="306">
        <v>407.4</v>
      </c>
      <c r="G429" s="306">
        <v>395</v>
      </c>
      <c r="H429" s="306" t="s">
        <v>925</v>
      </c>
      <c r="I429" s="308">
        <v>-1.1299999999999999E-2</v>
      </c>
    </row>
    <row r="430" spans="2:9">
      <c r="B430" s="307">
        <v>44691</v>
      </c>
      <c r="C430" s="306">
        <v>16.54</v>
      </c>
      <c r="D430" s="306">
        <v>391.75</v>
      </c>
      <c r="E430" s="306">
        <v>400</v>
      </c>
      <c r="F430" s="306">
        <v>408.5</v>
      </c>
      <c r="G430" s="306">
        <v>389.6</v>
      </c>
      <c r="H430" s="306" t="s">
        <v>926</v>
      </c>
      <c r="I430" s="308">
        <v>-3.0200000000000001E-2</v>
      </c>
    </row>
    <row r="431" spans="2:9">
      <c r="B431" s="307">
        <v>44692</v>
      </c>
      <c r="C431" s="306">
        <v>29.22</v>
      </c>
      <c r="D431" s="306">
        <v>388.15</v>
      </c>
      <c r="E431" s="306">
        <v>396</v>
      </c>
      <c r="F431" s="306">
        <v>397</v>
      </c>
      <c r="G431" s="306">
        <v>377.55</v>
      </c>
      <c r="H431" s="306" t="s">
        <v>927</v>
      </c>
      <c r="I431" s="308">
        <v>-9.1999999999999998E-3</v>
      </c>
    </row>
    <row r="432" spans="2:9">
      <c r="B432" s="307">
        <v>44693</v>
      </c>
      <c r="C432" s="306">
        <v>33.51</v>
      </c>
      <c r="D432" s="306">
        <v>372.3</v>
      </c>
      <c r="E432" s="306">
        <v>382</v>
      </c>
      <c r="F432" s="306">
        <v>384.65</v>
      </c>
      <c r="G432" s="306">
        <v>366.2</v>
      </c>
      <c r="H432" s="306" t="s">
        <v>928</v>
      </c>
      <c r="I432" s="308">
        <v>-4.0800000000000003E-2</v>
      </c>
    </row>
    <row r="433" spans="2:9">
      <c r="B433" s="307">
        <v>44694</v>
      </c>
      <c r="C433" s="306">
        <v>71.430000000000007</v>
      </c>
      <c r="D433" s="306">
        <v>404.3</v>
      </c>
      <c r="E433" s="306">
        <v>387</v>
      </c>
      <c r="F433" s="306">
        <v>419.35</v>
      </c>
      <c r="G433" s="306">
        <v>387</v>
      </c>
      <c r="H433" s="306" t="s">
        <v>929</v>
      </c>
      <c r="I433" s="308">
        <v>8.5999999999999993E-2</v>
      </c>
    </row>
    <row r="434" spans="2:9">
      <c r="B434" s="307">
        <v>44697</v>
      </c>
      <c r="C434" s="306">
        <v>24.94</v>
      </c>
      <c r="D434" s="306">
        <v>405.35</v>
      </c>
      <c r="E434" s="306">
        <v>411.9</v>
      </c>
      <c r="F434" s="306">
        <v>411.9</v>
      </c>
      <c r="G434" s="306">
        <v>396.25</v>
      </c>
      <c r="H434" s="306" t="s">
        <v>930</v>
      </c>
      <c r="I434" s="308">
        <v>2.5999999999999999E-3</v>
      </c>
    </row>
    <row r="435" spans="2:9">
      <c r="B435" s="307">
        <v>44698</v>
      </c>
      <c r="C435" s="306">
        <v>24.65</v>
      </c>
      <c r="D435" s="306">
        <v>424.15</v>
      </c>
      <c r="E435" s="306">
        <v>408.4</v>
      </c>
      <c r="F435" s="306">
        <v>425.65</v>
      </c>
      <c r="G435" s="306">
        <v>405</v>
      </c>
      <c r="H435" s="306" t="s">
        <v>931</v>
      </c>
      <c r="I435" s="308">
        <v>4.6399999999999997E-2</v>
      </c>
    </row>
    <row r="436" spans="2:9">
      <c r="B436" s="307">
        <v>44699</v>
      </c>
      <c r="C436" s="306">
        <v>20.49</v>
      </c>
      <c r="D436" s="306">
        <v>415.15</v>
      </c>
      <c r="E436" s="306">
        <v>424</v>
      </c>
      <c r="F436" s="306">
        <v>427.35</v>
      </c>
      <c r="G436" s="306">
        <v>414.05</v>
      </c>
      <c r="H436" s="306" t="s">
        <v>932</v>
      </c>
      <c r="I436" s="308">
        <v>-2.12E-2</v>
      </c>
    </row>
    <row r="437" spans="2:9">
      <c r="B437" s="307">
        <v>44700</v>
      </c>
      <c r="C437" s="306">
        <v>17.71</v>
      </c>
      <c r="D437" s="306">
        <v>398.65</v>
      </c>
      <c r="E437" s="306">
        <v>400</v>
      </c>
      <c r="F437" s="306">
        <v>406.8</v>
      </c>
      <c r="G437" s="306">
        <v>396.2</v>
      </c>
      <c r="H437" s="306" t="s">
        <v>933</v>
      </c>
      <c r="I437" s="308">
        <v>-3.9699999999999999E-2</v>
      </c>
    </row>
    <row r="438" spans="2:9">
      <c r="B438" s="307">
        <v>44701</v>
      </c>
      <c r="C438" s="306">
        <v>23.5</v>
      </c>
      <c r="D438" s="306">
        <v>418</v>
      </c>
      <c r="E438" s="306">
        <v>410</v>
      </c>
      <c r="F438" s="306">
        <v>421.4</v>
      </c>
      <c r="G438" s="306">
        <v>410</v>
      </c>
      <c r="H438" s="306" t="s">
        <v>934</v>
      </c>
      <c r="I438" s="308">
        <v>4.8500000000000001E-2</v>
      </c>
    </row>
    <row r="439" spans="2:9">
      <c r="B439" s="307">
        <v>44704</v>
      </c>
      <c r="C439" s="306">
        <v>16.350000000000001</v>
      </c>
      <c r="D439" s="306">
        <v>421.45</v>
      </c>
      <c r="E439" s="306">
        <v>421.65</v>
      </c>
      <c r="F439" s="306">
        <v>431.15</v>
      </c>
      <c r="G439" s="306">
        <v>419.55</v>
      </c>
      <c r="H439" s="306" t="s">
        <v>935</v>
      </c>
      <c r="I439" s="308">
        <v>8.3000000000000001E-3</v>
      </c>
    </row>
    <row r="440" spans="2:9">
      <c r="B440" s="307">
        <v>44705</v>
      </c>
      <c r="C440" s="306">
        <v>14.53</v>
      </c>
      <c r="D440" s="306">
        <v>425.75</v>
      </c>
      <c r="E440" s="306">
        <v>423.9</v>
      </c>
      <c r="F440" s="306">
        <v>427.5</v>
      </c>
      <c r="G440" s="306">
        <v>416</v>
      </c>
      <c r="H440" s="306" t="s">
        <v>936</v>
      </c>
      <c r="I440" s="308">
        <v>1.0200000000000001E-2</v>
      </c>
    </row>
    <row r="441" spans="2:9">
      <c r="B441" s="307">
        <v>44706</v>
      </c>
      <c r="C441" s="306">
        <v>13.54</v>
      </c>
      <c r="D441" s="306">
        <v>417</v>
      </c>
      <c r="E441" s="306">
        <v>428.45</v>
      </c>
      <c r="F441" s="306">
        <v>429</v>
      </c>
      <c r="G441" s="306">
        <v>413.45</v>
      </c>
      <c r="H441" s="306" t="s">
        <v>937</v>
      </c>
      <c r="I441" s="308">
        <v>-2.06E-2</v>
      </c>
    </row>
    <row r="442" spans="2:9">
      <c r="B442" s="307">
        <v>44707</v>
      </c>
      <c r="C442" s="306">
        <v>17.71</v>
      </c>
      <c r="D442" s="306">
        <v>420.65</v>
      </c>
      <c r="E442" s="306">
        <v>422</v>
      </c>
      <c r="F442" s="306">
        <v>422.65</v>
      </c>
      <c r="G442" s="306">
        <v>405</v>
      </c>
      <c r="H442" s="306" t="s">
        <v>933</v>
      </c>
      <c r="I442" s="308">
        <v>8.8000000000000005E-3</v>
      </c>
    </row>
    <row r="443" spans="2:9">
      <c r="B443" s="307">
        <v>44708</v>
      </c>
      <c r="C443" s="306">
        <v>16.87</v>
      </c>
      <c r="D443" s="306">
        <v>429.6</v>
      </c>
      <c r="E443" s="306">
        <v>426.05</v>
      </c>
      <c r="F443" s="306">
        <v>433.25</v>
      </c>
      <c r="G443" s="306">
        <v>425.2</v>
      </c>
      <c r="H443" s="306" t="s">
        <v>938</v>
      </c>
      <c r="I443" s="308">
        <v>2.1299999999999999E-2</v>
      </c>
    </row>
    <row r="444" spans="2:9">
      <c r="B444" s="307">
        <v>44711</v>
      </c>
      <c r="C444" s="306">
        <v>18.5</v>
      </c>
      <c r="D444" s="306">
        <v>442.4</v>
      </c>
      <c r="E444" s="306">
        <v>437</v>
      </c>
      <c r="F444" s="306">
        <v>445.2</v>
      </c>
      <c r="G444" s="306">
        <v>436</v>
      </c>
      <c r="H444" s="306" t="s">
        <v>939</v>
      </c>
      <c r="I444" s="308">
        <v>2.98E-2</v>
      </c>
    </row>
    <row r="445" spans="2:9">
      <c r="B445" s="307">
        <v>44712</v>
      </c>
      <c r="C445" s="306">
        <v>22.31</v>
      </c>
      <c r="D445" s="306">
        <v>443.55</v>
      </c>
      <c r="E445" s="306">
        <v>443.95</v>
      </c>
      <c r="F445" s="306">
        <v>449.5</v>
      </c>
      <c r="G445" s="306">
        <v>440.4</v>
      </c>
      <c r="H445" s="306" t="s">
        <v>940</v>
      </c>
      <c r="I445" s="308">
        <v>2.5999999999999999E-3</v>
      </c>
    </row>
    <row r="446" spans="2:9">
      <c r="B446" s="307">
        <v>44713</v>
      </c>
      <c r="C446" s="306">
        <v>11.93</v>
      </c>
      <c r="D446" s="306">
        <v>444.6</v>
      </c>
      <c r="E446" s="306">
        <v>445.1</v>
      </c>
      <c r="F446" s="306">
        <v>446</v>
      </c>
      <c r="G446" s="306">
        <v>439.6</v>
      </c>
      <c r="H446" s="306" t="s">
        <v>941</v>
      </c>
      <c r="I446" s="308">
        <v>2.3999999999999998E-3</v>
      </c>
    </row>
    <row r="447" spans="2:9">
      <c r="B447" s="307">
        <v>44714</v>
      </c>
      <c r="C447" s="306">
        <v>12.74</v>
      </c>
      <c r="D447" s="306">
        <v>439.15</v>
      </c>
      <c r="E447" s="306">
        <v>445</v>
      </c>
      <c r="F447" s="306">
        <v>445.6</v>
      </c>
      <c r="G447" s="306">
        <v>435.65</v>
      </c>
      <c r="H447" s="306" t="s">
        <v>942</v>
      </c>
      <c r="I447" s="308">
        <v>-1.23E-2</v>
      </c>
    </row>
    <row r="448" spans="2:9">
      <c r="B448" s="307">
        <v>44715</v>
      </c>
      <c r="C448" s="306">
        <v>12.78</v>
      </c>
      <c r="D448" s="306">
        <v>431.9</v>
      </c>
      <c r="E448" s="306">
        <v>444.9</v>
      </c>
      <c r="F448" s="306">
        <v>445.05</v>
      </c>
      <c r="G448" s="306">
        <v>430.5</v>
      </c>
      <c r="H448" s="306" t="s">
        <v>943</v>
      </c>
      <c r="I448" s="308">
        <v>-1.6500000000000001E-2</v>
      </c>
    </row>
    <row r="449" spans="2:9">
      <c r="B449" s="307">
        <v>44718</v>
      </c>
      <c r="C449" s="306">
        <v>11.9</v>
      </c>
      <c r="D449" s="306">
        <v>432.35</v>
      </c>
      <c r="E449" s="306">
        <v>427.9</v>
      </c>
      <c r="F449" s="306">
        <v>433.95</v>
      </c>
      <c r="G449" s="306">
        <v>424.6</v>
      </c>
      <c r="H449" s="306" t="s">
        <v>944</v>
      </c>
      <c r="I449" s="308">
        <v>1E-3</v>
      </c>
    </row>
    <row r="450" spans="2:9">
      <c r="B450" s="307">
        <v>44719</v>
      </c>
      <c r="C450" s="306">
        <v>11.15</v>
      </c>
      <c r="D450" s="306">
        <v>435.85</v>
      </c>
      <c r="E450" s="306">
        <v>432.5</v>
      </c>
      <c r="F450" s="306">
        <v>438.2</v>
      </c>
      <c r="G450" s="306">
        <v>429.1</v>
      </c>
      <c r="H450" s="306" t="s">
        <v>945</v>
      </c>
      <c r="I450" s="308">
        <v>8.0999999999999996E-3</v>
      </c>
    </row>
    <row r="451" spans="2:9">
      <c r="B451" s="307">
        <v>44720</v>
      </c>
      <c r="C451" s="306">
        <v>12.84</v>
      </c>
      <c r="D451" s="306">
        <v>435.65</v>
      </c>
      <c r="E451" s="306">
        <v>438.7</v>
      </c>
      <c r="F451" s="306">
        <v>440.4</v>
      </c>
      <c r="G451" s="306">
        <v>432</v>
      </c>
      <c r="H451" s="306" t="s">
        <v>946</v>
      </c>
      <c r="I451" s="308">
        <v>-5.0000000000000001E-4</v>
      </c>
    </row>
    <row r="452" spans="2:9">
      <c r="B452" s="307">
        <v>44721</v>
      </c>
      <c r="C452" s="306">
        <v>13.04</v>
      </c>
      <c r="D452" s="306">
        <v>428.5</v>
      </c>
      <c r="E452" s="306">
        <v>431.9</v>
      </c>
      <c r="F452" s="306">
        <v>435.65</v>
      </c>
      <c r="G452" s="306">
        <v>426.1</v>
      </c>
      <c r="H452" s="306" t="s">
        <v>947</v>
      </c>
      <c r="I452" s="308">
        <v>-1.6400000000000001E-2</v>
      </c>
    </row>
    <row r="453" spans="2:9">
      <c r="B453" s="307">
        <v>44722</v>
      </c>
      <c r="C453" s="306">
        <v>11.91</v>
      </c>
      <c r="D453" s="306">
        <v>428.05</v>
      </c>
      <c r="E453" s="306">
        <v>423</v>
      </c>
      <c r="F453" s="306">
        <v>428.85</v>
      </c>
      <c r="G453" s="306">
        <v>422</v>
      </c>
      <c r="H453" s="306" t="s">
        <v>948</v>
      </c>
      <c r="I453" s="308">
        <v>-1.1000000000000001E-3</v>
      </c>
    </row>
    <row r="454" spans="2:9">
      <c r="B454" s="307">
        <v>44725</v>
      </c>
      <c r="C454" s="306">
        <v>17.440000000000001</v>
      </c>
      <c r="D454" s="306">
        <v>406.7</v>
      </c>
      <c r="E454" s="306">
        <v>414.9</v>
      </c>
      <c r="F454" s="306">
        <v>418.15</v>
      </c>
      <c r="G454" s="306">
        <v>405.6</v>
      </c>
      <c r="H454" s="306" t="s">
        <v>949</v>
      </c>
      <c r="I454" s="308">
        <v>-4.99E-2</v>
      </c>
    </row>
    <row r="455" spans="2:9">
      <c r="B455" s="307">
        <v>44726</v>
      </c>
      <c r="C455" s="306">
        <v>19.63</v>
      </c>
      <c r="D455" s="306">
        <v>405.15</v>
      </c>
      <c r="E455" s="306">
        <v>403</v>
      </c>
      <c r="F455" s="306">
        <v>411.85</v>
      </c>
      <c r="G455" s="306">
        <v>397.7</v>
      </c>
      <c r="H455" s="306" t="s">
        <v>779</v>
      </c>
      <c r="I455" s="308">
        <v>-3.8E-3</v>
      </c>
    </row>
    <row r="456" spans="2:9">
      <c r="B456" s="307">
        <v>44727</v>
      </c>
      <c r="C456" s="306">
        <v>15.19</v>
      </c>
      <c r="D456" s="306">
        <v>414.1</v>
      </c>
      <c r="E456" s="306">
        <v>410</v>
      </c>
      <c r="F456" s="306">
        <v>416.4</v>
      </c>
      <c r="G456" s="306">
        <v>407.45</v>
      </c>
      <c r="H456" s="306" t="s">
        <v>950</v>
      </c>
      <c r="I456" s="308">
        <v>2.2100000000000002E-2</v>
      </c>
    </row>
    <row r="457" spans="2:9">
      <c r="B457" s="307">
        <v>44728</v>
      </c>
      <c r="C457" s="306">
        <v>22.26</v>
      </c>
      <c r="D457" s="306">
        <v>392.95</v>
      </c>
      <c r="E457" s="306">
        <v>420</v>
      </c>
      <c r="F457" s="306">
        <v>420.9</v>
      </c>
      <c r="G457" s="306">
        <v>390.1</v>
      </c>
      <c r="H457" s="306" t="s">
        <v>951</v>
      </c>
      <c r="I457" s="308">
        <v>-5.11E-2</v>
      </c>
    </row>
    <row r="458" spans="2:9">
      <c r="B458" s="307">
        <v>44729</v>
      </c>
      <c r="C458" s="306">
        <v>24.82</v>
      </c>
      <c r="D458" s="306">
        <v>388.95</v>
      </c>
      <c r="E458" s="306">
        <v>387.95</v>
      </c>
      <c r="F458" s="306">
        <v>394.45</v>
      </c>
      <c r="G458" s="306">
        <v>382.65</v>
      </c>
      <c r="H458" s="306" t="s">
        <v>952</v>
      </c>
      <c r="I458" s="308">
        <v>-1.0200000000000001E-2</v>
      </c>
    </row>
    <row r="459" spans="2:9">
      <c r="B459" s="307">
        <v>44732</v>
      </c>
      <c r="C459" s="306">
        <v>17.05</v>
      </c>
      <c r="D459" s="306">
        <v>382.7</v>
      </c>
      <c r="E459" s="306">
        <v>390.55</v>
      </c>
      <c r="F459" s="306">
        <v>392.95</v>
      </c>
      <c r="G459" s="306">
        <v>376.65</v>
      </c>
      <c r="H459" s="306" t="s">
        <v>953</v>
      </c>
      <c r="I459" s="308">
        <v>-1.61E-2</v>
      </c>
    </row>
    <row r="460" spans="2:9">
      <c r="B460" s="307">
        <v>44733</v>
      </c>
      <c r="C460" s="306">
        <v>14.74</v>
      </c>
      <c r="D460" s="306">
        <v>397.6</v>
      </c>
      <c r="E460" s="306">
        <v>389</v>
      </c>
      <c r="F460" s="306">
        <v>399</v>
      </c>
      <c r="G460" s="306">
        <v>387</v>
      </c>
      <c r="H460" s="306" t="s">
        <v>954</v>
      </c>
      <c r="I460" s="308">
        <v>3.8899999999999997E-2</v>
      </c>
    </row>
    <row r="461" spans="2:9">
      <c r="B461" s="307">
        <v>44734</v>
      </c>
      <c r="C461" s="306">
        <v>12.43</v>
      </c>
      <c r="D461" s="306">
        <v>393.1</v>
      </c>
      <c r="E461" s="306">
        <v>396.4</v>
      </c>
      <c r="F461" s="306">
        <v>397</v>
      </c>
      <c r="G461" s="306">
        <v>390.5</v>
      </c>
      <c r="H461" s="306" t="s">
        <v>871</v>
      </c>
      <c r="I461" s="308">
        <v>-1.1299999999999999E-2</v>
      </c>
    </row>
    <row r="462" spans="2:9">
      <c r="B462" s="307">
        <v>44735</v>
      </c>
      <c r="C462" s="306">
        <v>26.51</v>
      </c>
      <c r="D462" s="306">
        <v>407.2</v>
      </c>
      <c r="E462" s="306">
        <v>396.3</v>
      </c>
      <c r="F462" s="306">
        <v>409.9</v>
      </c>
      <c r="G462" s="306">
        <v>394.55</v>
      </c>
      <c r="H462" s="306" t="s">
        <v>955</v>
      </c>
      <c r="I462" s="308">
        <v>3.5900000000000001E-2</v>
      </c>
    </row>
    <row r="463" spans="2:9">
      <c r="B463" s="307">
        <v>44736</v>
      </c>
      <c r="C463" s="306">
        <v>14.81</v>
      </c>
      <c r="D463" s="306">
        <v>409.3</v>
      </c>
      <c r="E463" s="306">
        <v>410</v>
      </c>
      <c r="F463" s="306">
        <v>412.85</v>
      </c>
      <c r="G463" s="306">
        <v>406.15</v>
      </c>
      <c r="H463" s="306" t="s">
        <v>956</v>
      </c>
      <c r="I463" s="308">
        <v>5.1999999999999998E-3</v>
      </c>
    </row>
    <row r="464" spans="2:9">
      <c r="B464" s="307">
        <v>44739</v>
      </c>
      <c r="C464" s="306">
        <v>12.02</v>
      </c>
      <c r="D464" s="306">
        <v>414.5</v>
      </c>
      <c r="E464" s="306">
        <v>417.55</v>
      </c>
      <c r="F464" s="306">
        <v>419.45</v>
      </c>
      <c r="G464" s="306">
        <v>412.35</v>
      </c>
      <c r="H464" s="306" t="s">
        <v>957</v>
      </c>
      <c r="I464" s="308">
        <v>1.2699999999999999E-2</v>
      </c>
    </row>
    <row r="465" spans="2:9">
      <c r="B465" s="307">
        <v>44740</v>
      </c>
      <c r="C465" s="306">
        <v>13.24</v>
      </c>
      <c r="D465" s="306">
        <v>417.1</v>
      </c>
      <c r="E465" s="306">
        <v>411.3</v>
      </c>
      <c r="F465" s="306">
        <v>418.2</v>
      </c>
      <c r="G465" s="306">
        <v>409.15</v>
      </c>
      <c r="H465" s="306" t="s">
        <v>958</v>
      </c>
      <c r="I465" s="308">
        <v>6.3E-3</v>
      </c>
    </row>
    <row r="466" spans="2:9">
      <c r="B466" s="307">
        <v>44741</v>
      </c>
      <c r="C466" s="306">
        <v>13.1</v>
      </c>
      <c r="D466" s="306">
        <v>416.95</v>
      </c>
      <c r="E466" s="306">
        <v>412.05</v>
      </c>
      <c r="F466" s="306">
        <v>419.9</v>
      </c>
      <c r="G466" s="306">
        <v>411.55</v>
      </c>
      <c r="H466" s="306" t="s">
        <v>959</v>
      </c>
      <c r="I466" s="308">
        <v>-4.0000000000000002E-4</v>
      </c>
    </row>
    <row r="467" spans="2:9">
      <c r="B467" s="307">
        <v>44742</v>
      </c>
      <c r="C467" s="306">
        <v>20.12</v>
      </c>
      <c r="D467" s="306">
        <v>411.8</v>
      </c>
      <c r="E467" s="306">
        <v>418.3</v>
      </c>
      <c r="F467" s="306">
        <v>424</v>
      </c>
      <c r="G467" s="306">
        <v>410</v>
      </c>
      <c r="H467" s="306" t="s">
        <v>960</v>
      </c>
      <c r="I467" s="308">
        <v>-1.24E-2</v>
      </c>
    </row>
    <row r="468" spans="2:9">
      <c r="B468" s="307">
        <v>44743</v>
      </c>
      <c r="C468" s="306">
        <v>14.73</v>
      </c>
      <c r="D468" s="306">
        <v>411.43</v>
      </c>
      <c r="E468" s="306">
        <v>409.39</v>
      </c>
      <c r="F468" s="306">
        <v>413.33</v>
      </c>
      <c r="G468" s="306">
        <v>401.06</v>
      </c>
      <c r="H468" s="306" t="s">
        <v>917</v>
      </c>
      <c r="I468" s="308">
        <v>-8.9999999999999998E-4</v>
      </c>
    </row>
    <row r="469" spans="2:9">
      <c r="B469" s="307">
        <v>44746</v>
      </c>
      <c r="C469" s="306">
        <v>11.53</v>
      </c>
      <c r="D469" s="306">
        <v>407.19</v>
      </c>
      <c r="E469" s="306">
        <v>410.28</v>
      </c>
      <c r="F469" s="306">
        <v>413.62</v>
      </c>
      <c r="G469" s="306">
        <v>403.75</v>
      </c>
      <c r="H469" s="306" t="s">
        <v>961</v>
      </c>
      <c r="I469" s="308">
        <v>-1.03E-2</v>
      </c>
    </row>
    <row r="470" spans="2:9">
      <c r="B470" s="307">
        <v>44747</v>
      </c>
      <c r="C470" s="306">
        <v>16.77</v>
      </c>
      <c r="D470" s="306">
        <v>410.73</v>
      </c>
      <c r="E470" s="306">
        <v>413.72</v>
      </c>
      <c r="F470" s="306">
        <v>417.51</v>
      </c>
      <c r="G470" s="306">
        <v>408.94</v>
      </c>
      <c r="H470" s="306" t="s">
        <v>962</v>
      </c>
      <c r="I470" s="308">
        <v>8.6999999999999994E-3</v>
      </c>
    </row>
    <row r="471" spans="2:9">
      <c r="B471" s="307">
        <v>44748</v>
      </c>
      <c r="C471" s="306">
        <v>12.2</v>
      </c>
      <c r="D471" s="306">
        <v>415.07</v>
      </c>
      <c r="E471" s="306">
        <v>412.73</v>
      </c>
      <c r="F471" s="306">
        <v>416.02</v>
      </c>
      <c r="G471" s="306">
        <v>409.39</v>
      </c>
      <c r="H471" s="306" t="s">
        <v>963</v>
      </c>
      <c r="I471" s="308">
        <v>1.06E-2</v>
      </c>
    </row>
    <row r="472" spans="2:9">
      <c r="B472" s="307">
        <v>44749</v>
      </c>
      <c r="C472" s="306">
        <v>17.62</v>
      </c>
      <c r="D472" s="306">
        <v>429.52</v>
      </c>
      <c r="E472" s="306">
        <v>418.61</v>
      </c>
      <c r="F472" s="306">
        <v>431.62</v>
      </c>
      <c r="G472" s="306">
        <v>418.01</v>
      </c>
      <c r="H472" s="306" t="s">
        <v>964</v>
      </c>
      <c r="I472" s="308">
        <v>3.4799999999999998E-2</v>
      </c>
    </row>
    <row r="473" spans="2:9">
      <c r="B473" s="307">
        <v>44750</v>
      </c>
      <c r="C473" s="306">
        <v>23.73</v>
      </c>
      <c r="D473" s="306">
        <v>440.19</v>
      </c>
      <c r="E473" s="306">
        <v>434.91</v>
      </c>
      <c r="F473" s="306">
        <v>442.48</v>
      </c>
      <c r="G473" s="306">
        <v>427.98</v>
      </c>
      <c r="H473" s="306" t="s">
        <v>965</v>
      </c>
      <c r="I473" s="308">
        <v>2.4799999999999999E-2</v>
      </c>
    </row>
    <row r="474" spans="2:9">
      <c r="B474" s="307">
        <v>44753</v>
      </c>
      <c r="C474" s="306">
        <v>12.62</v>
      </c>
      <c r="D474" s="306">
        <v>435.71</v>
      </c>
      <c r="E474" s="306">
        <v>436.7</v>
      </c>
      <c r="F474" s="306">
        <v>439.84</v>
      </c>
      <c r="G474" s="306">
        <v>432.12</v>
      </c>
      <c r="H474" s="306" t="s">
        <v>966</v>
      </c>
      <c r="I474" s="308">
        <v>-1.0200000000000001E-2</v>
      </c>
    </row>
    <row r="475" spans="2:9">
      <c r="B475" s="307">
        <v>44754</v>
      </c>
      <c r="C475" s="306">
        <v>9.52</v>
      </c>
      <c r="D475" s="306">
        <v>429.23</v>
      </c>
      <c r="E475" s="306">
        <v>431.67</v>
      </c>
      <c r="F475" s="306">
        <v>433.66</v>
      </c>
      <c r="G475" s="306">
        <v>426.83</v>
      </c>
      <c r="H475" s="306" t="s">
        <v>967</v>
      </c>
      <c r="I475" s="308">
        <v>-1.49E-2</v>
      </c>
    </row>
    <row r="476" spans="2:9">
      <c r="B476" s="307">
        <v>44755</v>
      </c>
      <c r="C476" s="306">
        <v>10.18</v>
      </c>
      <c r="D476" s="306">
        <v>425.79</v>
      </c>
      <c r="E476" s="306">
        <v>431.37</v>
      </c>
      <c r="F476" s="306">
        <v>434.51</v>
      </c>
      <c r="G476" s="306">
        <v>424.34</v>
      </c>
      <c r="H476" s="306" t="s">
        <v>968</v>
      </c>
      <c r="I476" s="308">
        <v>-8.0000000000000002E-3</v>
      </c>
    </row>
    <row r="477" spans="2:9">
      <c r="B477" s="307">
        <v>44756</v>
      </c>
      <c r="C477" s="306">
        <v>10.74</v>
      </c>
      <c r="D477" s="306">
        <v>426.73</v>
      </c>
      <c r="E477" s="306">
        <v>426.68</v>
      </c>
      <c r="F477" s="306">
        <v>429.92</v>
      </c>
      <c r="G477" s="306">
        <v>422</v>
      </c>
      <c r="H477" s="306" t="s">
        <v>969</v>
      </c>
      <c r="I477" s="308">
        <v>2.2000000000000001E-3</v>
      </c>
    </row>
    <row r="478" spans="2:9">
      <c r="B478" s="307">
        <v>44757</v>
      </c>
      <c r="C478" s="306">
        <v>15.77</v>
      </c>
      <c r="D478" s="306">
        <v>438.85</v>
      </c>
      <c r="E478" s="306">
        <v>429.33</v>
      </c>
      <c r="F478" s="306">
        <v>440.39</v>
      </c>
      <c r="G478" s="306">
        <v>428.38</v>
      </c>
      <c r="H478" s="306" t="s">
        <v>970</v>
      </c>
      <c r="I478" s="308">
        <v>2.8400000000000002E-2</v>
      </c>
    </row>
    <row r="479" spans="2:9">
      <c r="B479" s="307">
        <v>44760</v>
      </c>
      <c r="C479" s="306">
        <v>21.19</v>
      </c>
      <c r="D479" s="306">
        <v>449.51</v>
      </c>
      <c r="E479" s="306">
        <v>442.58</v>
      </c>
      <c r="F479" s="306">
        <v>452.4</v>
      </c>
      <c r="G479" s="306">
        <v>441.84</v>
      </c>
      <c r="H479" s="306" t="s">
        <v>971</v>
      </c>
      <c r="I479" s="308">
        <v>2.4299999999999999E-2</v>
      </c>
    </row>
    <row r="480" spans="2:9">
      <c r="B480" s="307">
        <v>44761</v>
      </c>
      <c r="C480" s="306">
        <v>11.55</v>
      </c>
      <c r="D480" s="306">
        <v>447.67</v>
      </c>
      <c r="E480" s="306">
        <v>445.38</v>
      </c>
      <c r="F480" s="306">
        <v>450.46</v>
      </c>
      <c r="G480" s="306">
        <v>443.08</v>
      </c>
      <c r="H480" s="306" t="s">
        <v>972</v>
      </c>
      <c r="I480" s="308">
        <v>-4.1000000000000003E-3</v>
      </c>
    </row>
    <row r="481" spans="2:9">
      <c r="B481" s="307">
        <v>44762</v>
      </c>
      <c r="C481" s="306">
        <v>17.149999999999999</v>
      </c>
      <c r="D481" s="306">
        <v>452.05</v>
      </c>
      <c r="E481" s="306">
        <v>452.95</v>
      </c>
      <c r="F481" s="306">
        <v>459.33</v>
      </c>
      <c r="G481" s="306">
        <v>450.36</v>
      </c>
      <c r="H481" s="306" t="s">
        <v>973</v>
      </c>
      <c r="I481" s="308">
        <v>9.7999999999999997E-3</v>
      </c>
    </row>
    <row r="482" spans="2:9">
      <c r="B482" s="307">
        <v>44763</v>
      </c>
      <c r="C482" s="306">
        <v>10.93</v>
      </c>
      <c r="D482" s="306">
        <v>453.45</v>
      </c>
      <c r="E482" s="306">
        <v>451.56</v>
      </c>
      <c r="F482" s="306">
        <v>454.1</v>
      </c>
      <c r="G482" s="306">
        <v>448.71</v>
      </c>
      <c r="H482" s="306" t="s">
        <v>974</v>
      </c>
      <c r="I482" s="308">
        <v>3.0999999999999999E-3</v>
      </c>
    </row>
    <row r="483" spans="2:9">
      <c r="B483" s="307">
        <v>44764</v>
      </c>
      <c r="C483" s="306">
        <v>10.34</v>
      </c>
      <c r="D483" s="306">
        <v>453.5</v>
      </c>
      <c r="E483" s="306">
        <v>455.2</v>
      </c>
      <c r="F483" s="306">
        <v>458.54</v>
      </c>
      <c r="G483" s="306">
        <v>450.91</v>
      </c>
      <c r="H483" s="306" t="s">
        <v>975</v>
      </c>
      <c r="I483" s="308">
        <v>1E-4</v>
      </c>
    </row>
    <row r="484" spans="2:9">
      <c r="B484" s="307">
        <v>44767</v>
      </c>
      <c r="C484" s="306">
        <v>12.51</v>
      </c>
      <c r="D484" s="306">
        <v>448.17</v>
      </c>
      <c r="E484" s="306">
        <v>454.6</v>
      </c>
      <c r="F484" s="306">
        <v>456.19</v>
      </c>
      <c r="G484" s="306">
        <v>444.93</v>
      </c>
      <c r="H484" s="306" t="s">
        <v>976</v>
      </c>
      <c r="I484" s="308">
        <v>-1.18E-2</v>
      </c>
    </row>
    <row r="485" spans="2:9">
      <c r="B485" s="307">
        <v>44768</v>
      </c>
      <c r="C485" s="306">
        <v>11.56</v>
      </c>
      <c r="D485" s="306">
        <v>439.79</v>
      </c>
      <c r="E485" s="306">
        <v>447.32</v>
      </c>
      <c r="F485" s="306">
        <v>447.32</v>
      </c>
      <c r="G485" s="306">
        <v>438.4</v>
      </c>
      <c r="H485" s="306" t="s">
        <v>977</v>
      </c>
      <c r="I485" s="308">
        <v>-1.8700000000000001E-2</v>
      </c>
    </row>
    <row r="486" spans="2:9">
      <c r="B486" s="307">
        <v>44769</v>
      </c>
      <c r="C486" s="306">
        <v>10.08</v>
      </c>
      <c r="D486" s="306">
        <v>442.68</v>
      </c>
      <c r="E486" s="306">
        <v>439.79</v>
      </c>
      <c r="F486" s="306">
        <v>443.63</v>
      </c>
      <c r="G486" s="306">
        <v>434.76</v>
      </c>
      <c r="H486" s="306" t="s">
        <v>978</v>
      </c>
      <c r="I486" s="308">
        <v>6.6E-3</v>
      </c>
    </row>
    <row r="487" spans="2:9">
      <c r="B487" s="307">
        <v>44770</v>
      </c>
      <c r="C487" s="306">
        <v>36.380000000000003</v>
      </c>
      <c r="D487" s="306">
        <v>440.89</v>
      </c>
      <c r="E487" s="306">
        <v>438.9</v>
      </c>
      <c r="F487" s="306">
        <v>447.87</v>
      </c>
      <c r="G487" s="306">
        <v>426.08</v>
      </c>
      <c r="H487" s="306" t="s">
        <v>979</v>
      </c>
      <c r="I487" s="308">
        <v>-4.1000000000000003E-3</v>
      </c>
    </row>
    <row r="488" spans="2:9">
      <c r="B488" s="307">
        <v>44771</v>
      </c>
      <c r="C488" s="306">
        <v>16</v>
      </c>
      <c r="D488" s="306">
        <v>448.22</v>
      </c>
      <c r="E488" s="306">
        <v>443.78</v>
      </c>
      <c r="F488" s="306">
        <v>451.31</v>
      </c>
      <c r="G488" s="306">
        <v>443.78</v>
      </c>
      <c r="H488" s="306" t="s">
        <v>750</v>
      </c>
      <c r="I488" s="308">
        <v>1.66E-2</v>
      </c>
    </row>
    <row r="489" spans="2:9">
      <c r="B489" s="307">
        <v>44774</v>
      </c>
      <c r="C489" s="306">
        <v>43.08</v>
      </c>
      <c r="D489" s="306">
        <v>477.73</v>
      </c>
      <c r="E489" s="306">
        <v>450.56</v>
      </c>
      <c r="F489" s="306">
        <v>479.52</v>
      </c>
      <c r="G489" s="306">
        <v>449.66</v>
      </c>
      <c r="H489" s="306" t="s">
        <v>980</v>
      </c>
      <c r="I489" s="308">
        <v>6.5799999999999997E-2</v>
      </c>
    </row>
    <row r="490" spans="2:9">
      <c r="B490" s="307">
        <v>44775</v>
      </c>
      <c r="C490" s="306">
        <v>19.07</v>
      </c>
      <c r="D490" s="306">
        <v>474.79</v>
      </c>
      <c r="E490" s="306">
        <v>477.43</v>
      </c>
      <c r="F490" s="306">
        <v>478.42</v>
      </c>
      <c r="G490" s="306">
        <v>467.81</v>
      </c>
      <c r="H490" s="306" t="s">
        <v>981</v>
      </c>
      <c r="I490" s="308">
        <v>-6.1999999999999998E-3</v>
      </c>
    </row>
    <row r="491" spans="2:9">
      <c r="B491" s="307">
        <v>44776</v>
      </c>
      <c r="C491" s="306">
        <v>19.13</v>
      </c>
      <c r="D491" s="306">
        <v>466.36</v>
      </c>
      <c r="E491" s="306">
        <v>473.54</v>
      </c>
      <c r="F491" s="306">
        <v>474.79</v>
      </c>
      <c r="G491" s="306">
        <v>458.19</v>
      </c>
      <c r="H491" s="306" t="s">
        <v>982</v>
      </c>
      <c r="I491" s="308">
        <v>-1.77E-2</v>
      </c>
    </row>
    <row r="492" spans="2:9">
      <c r="B492" s="307">
        <v>44777</v>
      </c>
      <c r="C492" s="306">
        <v>18.54</v>
      </c>
      <c r="D492" s="306">
        <v>467.46</v>
      </c>
      <c r="E492" s="306">
        <v>471.7</v>
      </c>
      <c r="F492" s="306">
        <v>472.49</v>
      </c>
      <c r="G492" s="306">
        <v>455.05</v>
      </c>
      <c r="H492" s="306" t="s">
        <v>983</v>
      </c>
      <c r="I492" s="308">
        <v>2.3999999999999998E-3</v>
      </c>
    </row>
    <row r="493" spans="2:9">
      <c r="B493" s="307">
        <v>44778</v>
      </c>
      <c r="C493" s="306">
        <v>11.92</v>
      </c>
      <c r="D493" s="306">
        <v>463.82</v>
      </c>
      <c r="E493" s="306">
        <v>467.46</v>
      </c>
      <c r="F493" s="306">
        <v>471.45</v>
      </c>
      <c r="G493" s="306">
        <v>462.57</v>
      </c>
      <c r="H493" s="306" t="s">
        <v>846</v>
      </c>
      <c r="I493" s="308">
        <v>-7.7999999999999996E-3</v>
      </c>
    </row>
    <row r="494" spans="2:9">
      <c r="B494" s="307">
        <v>44781</v>
      </c>
      <c r="C494" s="306">
        <v>10.56</v>
      </c>
      <c r="D494" s="306">
        <v>466.81</v>
      </c>
      <c r="E494" s="306">
        <v>464.57</v>
      </c>
      <c r="F494" s="306">
        <v>470.45</v>
      </c>
      <c r="G494" s="306">
        <v>463.02</v>
      </c>
      <c r="H494" s="306" t="s">
        <v>984</v>
      </c>
      <c r="I494" s="308">
        <v>6.4000000000000003E-3</v>
      </c>
    </row>
    <row r="495" spans="2:9">
      <c r="B495" s="307">
        <v>44783</v>
      </c>
      <c r="C495" s="306">
        <v>13.36</v>
      </c>
      <c r="D495" s="306">
        <v>474.09</v>
      </c>
      <c r="E495" s="306">
        <v>468.55</v>
      </c>
      <c r="F495" s="306">
        <v>475.73</v>
      </c>
      <c r="G495" s="306">
        <v>461.92</v>
      </c>
      <c r="H495" s="306" t="s">
        <v>985</v>
      </c>
      <c r="I495" s="308">
        <v>1.5599999999999999E-2</v>
      </c>
    </row>
    <row r="496" spans="2:9">
      <c r="B496" s="307">
        <v>44784</v>
      </c>
      <c r="C496" s="306">
        <v>12.78</v>
      </c>
      <c r="D496" s="306">
        <v>475.18</v>
      </c>
      <c r="E496" s="306">
        <v>481.07</v>
      </c>
      <c r="F496" s="306">
        <v>483.51</v>
      </c>
      <c r="G496" s="306">
        <v>474.14</v>
      </c>
      <c r="H496" s="306" t="s">
        <v>943</v>
      </c>
      <c r="I496" s="308">
        <v>2.3E-3</v>
      </c>
    </row>
    <row r="497" spans="2:9">
      <c r="B497" s="307">
        <v>44785</v>
      </c>
      <c r="C497" s="306">
        <v>13.48</v>
      </c>
      <c r="D497" s="306">
        <v>476.08</v>
      </c>
      <c r="E497" s="306">
        <v>474.29</v>
      </c>
      <c r="F497" s="306">
        <v>479.97</v>
      </c>
      <c r="G497" s="306">
        <v>468.55</v>
      </c>
      <c r="H497" s="306" t="s">
        <v>764</v>
      </c>
      <c r="I497" s="308">
        <v>1.9E-3</v>
      </c>
    </row>
    <row r="498" spans="2:9">
      <c r="B498" s="307">
        <v>44789</v>
      </c>
      <c r="C498" s="306">
        <v>16.8</v>
      </c>
      <c r="D498" s="306">
        <v>488.34</v>
      </c>
      <c r="E498" s="306">
        <v>478.13</v>
      </c>
      <c r="F498" s="306">
        <v>489.89</v>
      </c>
      <c r="G498" s="306">
        <v>476.73</v>
      </c>
      <c r="H498" s="306" t="s">
        <v>986</v>
      </c>
      <c r="I498" s="308">
        <v>2.58E-2</v>
      </c>
    </row>
    <row r="499" spans="2:9">
      <c r="B499" s="307">
        <v>44790</v>
      </c>
      <c r="C499" s="306">
        <v>15.95</v>
      </c>
      <c r="D499" s="306">
        <v>483.91</v>
      </c>
      <c r="E499" s="306">
        <v>489.39</v>
      </c>
      <c r="F499" s="306">
        <v>492.88</v>
      </c>
      <c r="G499" s="306">
        <v>482.71</v>
      </c>
      <c r="H499" s="306" t="s">
        <v>987</v>
      </c>
      <c r="I499" s="308">
        <v>-9.1000000000000004E-3</v>
      </c>
    </row>
    <row r="500" spans="2:9">
      <c r="B500" s="307">
        <v>44791</v>
      </c>
      <c r="C500" s="306">
        <v>12.07</v>
      </c>
      <c r="D500" s="306">
        <v>483.31</v>
      </c>
      <c r="E500" s="306">
        <v>482.51</v>
      </c>
      <c r="F500" s="306">
        <v>485.3</v>
      </c>
      <c r="G500" s="306">
        <v>477.78</v>
      </c>
      <c r="H500" s="306" t="s">
        <v>988</v>
      </c>
      <c r="I500" s="308">
        <v>-1.1999999999999999E-3</v>
      </c>
    </row>
    <row r="501" spans="2:9">
      <c r="B501" s="307">
        <v>44792</v>
      </c>
      <c r="C501" s="306">
        <v>16.64</v>
      </c>
      <c r="D501" s="306">
        <v>469.55</v>
      </c>
      <c r="E501" s="306">
        <v>485.25</v>
      </c>
      <c r="F501" s="306">
        <v>486.6</v>
      </c>
      <c r="G501" s="306">
        <v>466.66</v>
      </c>
      <c r="H501" s="306" t="s">
        <v>989</v>
      </c>
      <c r="I501" s="308">
        <v>-2.8500000000000001E-2</v>
      </c>
    </row>
    <row r="502" spans="2:9">
      <c r="B502" s="307">
        <v>44795</v>
      </c>
      <c r="C502" s="306">
        <v>15.05</v>
      </c>
      <c r="D502" s="306">
        <v>453.2</v>
      </c>
      <c r="E502" s="306">
        <v>467.06</v>
      </c>
      <c r="F502" s="306">
        <v>467.51</v>
      </c>
      <c r="G502" s="306">
        <v>451.16</v>
      </c>
      <c r="H502" s="306" t="s">
        <v>990</v>
      </c>
      <c r="I502" s="308">
        <v>-3.4799999999999998E-2</v>
      </c>
    </row>
    <row r="503" spans="2:9">
      <c r="B503" s="307">
        <v>44796</v>
      </c>
      <c r="C503" s="306">
        <v>17.78</v>
      </c>
      <c r="D503" s="306">
        <v>459.03</v>
      </c>
      <c r="E503" s="306">
        <v>447.62</v>
      </c>
      <c r="F503" s="306">
        <v>460.68</v>
      </c>
      <c r="G503" s="306">
        <v>446.22</v>
      </c>
      <c r="H503" s="306" t="s">
        <v>991</v>
      </c>
      <c r="I503" s="308">
        <v>1.29E-2</v>
      </c>
    </row>
    <row r="504" spans="2:9">
      <c r="B504" s="307">
        <v>44797</v>
      </c>
      <c r="C504" s="306">
        <v>12.21</v>
      </c>
      <c r="D504" s="306">
        <v>461.77</v>
      </c>
      <c r="E504" s="306">
        <v>457.59</v>
      </c>
      <c r="F504" s="306">
        <v>463.47</v>
      </c>
      <c r="G504" s="306">
        <v>456.29</v>
      </c>
      <c r="H504" s="306" t="s">
        <v>992</v>
      </c>
      <c r="I504" s="308">
        <v>6.0000000000000001E-3</v>
      </c>
    </row>
    <row r="505" spans="2:9">
      <c r="B505" s="307">
        <v>44798</v>
      </c>
      <c r="C505" s="306">
        <v>11.26</v>
      </c>
      <c r="D505" s="306">
        <v>457.79</v>
      </c>
      <c r="E505" s="306">
        <v>464.57</v>
      </c>
      <c r="F505" s="306">
        <v>467.36</v>
      </c>
      <c r="G505" s="306">
        <v>455.99</v>
      </c>
      <c r="H505" s="306" t="s">
        <v>993</v>
      </c>
      <c r="I505" s="308">
        <v>-8.6E-3</v>
      </c>
    </row>
    <row r="506" spans="2:9">
      <c r="B506" s="307">
        <v>44799</v>
      </c>
      <c r="C506" s="306">
        <v>11.25</v>
      </c>
      <c r="D506" s="306">
        <v>463.62</v>
      </c>
      <c r="E506" s="306">
        <v>463.57</v>
      </c>
      <c r="F506" s="306">
        <v>469</v>
      </c>
      <c r="G506" s="306">
        <v>462.52</v>
      </c>
      <c r="H506" s="306" t="s">
        <v>994</v>
      </c>
      <c r="I506" s="308">
        <v>1.2699999999999999E-2</v>
      </c>
    </row>
    <row r="507" spans="2:9">
      <c r="B507" s="307">
        <v>44802</v>
      </c>
      <c r="C507" s="306">
        <v>11.65</v>
      </c>
      <c r="D507" s="306">
        <v>451.95</v>
      </c>
      <c r="E507" s="306">
        <v>449.61</v>
      </c>
      <c r="F507" s="306">
        <v>455.49</v>
      </c>
      <c r="G507" s="306">
        <v>448.77</v>
      </c>
      <c r="H507" s="306" t="s">
        <v>995</v>
      </c>
      <c r="I507" s="308">
        <v>-2.52E-2</v>
      </c>
    </row>
    <row r="508" spans="2:9">
      <c r="B508" s="307">
        <v>44803</v>
      </c>
      <c r="C508" s="306">
        <v>14.42</v>
      </c>
      <c r="D508" s="306">
        <v>469.65</v>
      </c>
      <c r="E508" s="306">
        <v>457.24</v>
      </c>
      <c r="F508" s="306">
        <v>470.95</v>
      </c>
      <c r="G508" s="306">
        <v>455.69</v>
      </c>
      <c r="H508" s="306" t="s">
        <v>996</v>
      </c>
      <c r="I508" s="308">
        <v>3.9199999999999999E-2</v>
      </c>
    </row>
    <row r="509" spans="2:9">
      <c r="B509" s="307">
        <v>44805</v>
      </c>
      <c r="C509" s="306">
        <v>13.39</v>
      </c>
      <c r="D509" s="306">
        <v>465.46</v>
      </c>
      <c r="E509" s="306">
        <v>461.08</v>
      </c>
      <c r="F509" s="306">
        <v>472.94</v>
      </c>
      <c r="G509" s="306">
        <v>460.73</v>
      </c>
      <c r="H509" s="306" t="s">
        <v>869</v>
      </c>
      <c r="I509" s="308">
        <v>-8.8999999999999999E-3</v>
      </c>
    </row>
    <row r="510" spans="2:9">
      <c r="B510" s="307">
        <v>44806</v>
      </c>
      <c r="C510" s="306">
        <v>10.81</v>
      </c>
      <c r="D510" s="306">
        <v>460.33</v>
      </c>
      <c r="E510" s="306">
        <v>469.4</v>
      </c>
      <c r="F510" s="306">
        <v>470.35</v>
      </c>
      <c r="G510" s="306">
        <v>458.73</v>
      </c>
      <c r="H510" s="306" t="s">
        <v>997</v>
      </c>
      <c r="I510" s="308">
        <v>-1.0999999999999999E-2</v>
      </c>
    </row>
    <row r="511" spans="2:9">
      <c r="B511" s="307">
        <v>44809</v>
      </c>
      <c r="C511" s="306">
        <v>9.3800000000000008</v>
      </c>
      <c r="D511" s="306">
        <v>457.59</v>
      </c>
      <c r="E511" s="306">
        <v>458.34</v>
      </c>
      <c r="F511" s="306">
        <v>462.52</v>
      </c>
      <c r="G511" s="306">
        <v>455.59</v>
      </c>
      <c r="H511" s="306" t="s">
        <v>998</v>
      </c>
      <c r="I511" s="308">
        <v>-6.0000000000000001E-3</v>
      </c>
    </row>
    <row r="512" spans="2:9">
      <c r="B512" s="307">
        <v>44810</v>
      </c>
      <c r="C512" s="306">
        <v>9.81</v>
      </c>
      <c r="D512" s="306">
        <v>456.34</v>
      </c>
      <c r="E512" s="306">
        <v>461.28</v>
      </c>
      <c r="F512" s="306">
        <v>462.27</v>
      </c>
      <c r="G512" s="306">
        <v>455.2</v>
      </c>
      <c r="H512" s="306" t="s">
        <v>999</v>
      </c>
      <c r="I512" s="308">
        <v>-2.7000000000000001E-3</v>
      </c>
    </row>
    <row r="513" spans="2:9">
      <c r="B513" s="307">
        <v>44811</v>
      </c>
      <c r="C513" s="306">
        <v>20.76</v>
      </c>
      <c r="D513" s="306">
        <v>444.48</v>
      </c>
      <c r="E513" s="306">
        <v>451.81</v>
      </c>
      <c r="F513" s="306">
        <v>455.1</v>
      </c>
      <c r="G513" s="306">
        <v>442.29</v>
      </c>
      <c r="H513" s="306" t="s">
        <v>1000</v>
      </c>
      <c r="I513" s="308">
        <v>-2.5999999999999999E-2</v>
      </c>
    </row>
    <row r="514" spans="2:9">
      <c r="B514" s="307">
        <v>44812</v>
      </c>
      <c r="C514" s="306">
        <v>19.34</v>
      </c>
      <c r="D514" s="306">
        <v>440.84</v>
      </c>
      <c r="E514" s="306">
        <v>451.06</v>
      </c>
      <c r="F514" s="306">
        <v>451.16</v>
      </c>
      <c r="G514" s="306">
        <v>438.65</v>
      </c>
      <c r="H514" s="306" t="s">
        <v>1001</v>
      </c>
      <c r="I514" s="308">
        <v>-8.2000000000000007E-3</v>
      </c>
    </row>
    <row r="515" spans="2:9">
      <c r="B515" s="307">
        <v>44813</v>
      </c>
      <c r="C515" s="306">
        <v>14.29</v>
      </c>
      <c r="D515" s="306">
        <v>444.53</v>
      </c>
      <c r="E515" s="306">
        <v>446.12</v>
      </c>
      <c r="F515" s="306">
        <v>448.27</v>
      </c>
      <c r="G515" s="306">
        <v>439.24</v>
      </c>
      <c r="H515" s="306" t="s">
        <v>1002</v>
      </c>
      <c r="I515" s="308">
        <v>8.3999999999999995E-3</v>
      </c>
    </row>
    <row r="516" spans="2:9">
      <c r="B516" s="307">
        <v>44816</v>
      </c>
      <c r="C516" s="306">
        <v>8.9600000000000009</v>
      </c>
      <c r="D516" s="306">
        <v>449.61</v>
      </c>
      <c r="E516" s="306">
        <v>446.32</v>
      </c>
      <c r="F516" s="306">
        <v>451.61</v>
      </c>
      <c r="G516" s="306">
        <v>445.63</v>
      </c>
      <c r="H516" s="306" t="s">
        <v>1003</v>
      </c>
      <c r="I516" s="308">
        <v>1.14E-2</v>
      </c>
    </row>
    <row r="517" spans="2:9">
      <c r="B517" s="307">
        <v>44817</v>
      </c>
      <c r="C517" s="306">
        <v>10.66</v>
      </c>
      <c r="D517" s="306">
        <v>455.39</v>
      </c>
      <c r="E517" s="306">
        <v>452.9</v>
      </c>
      <c r="F517" s="306">
        <v>457.54</v>
      </c>
      <c r="G517" s="306">
        <v>452.15</v>
      </c>
      <c r="H517" s="306" t="s">
        <v>1004</v>
      </c>
      <c r="I517" s="308">
        <v>1.29E-2</v>
      </c>
    </row>
    <row r="518" spans="2:9">
      <c r="B518" s="307">
        <v>44818</v>
      </c>
      <c r="C518" s="306">
        <v>10.36</v>
      </c>
      <c r="D518" s="306">
        <v>448.82</v>
      </c>
      <c r="E518" s="306">
        <v>446.22</v>
      </c>
      <c r="F518" s="306">
        <v>453.3</v>
      </c>
      <c r="G518" s="306">
        <v>445.63</v>
      </c>
      <c r="H518" s="306" t="s">
        <v>1005</v>
      </c>
      <c r="I518" s="308">
        <v>-1.44E-2</v>
      </c>
    </row>
    <row r="519" spans="2:9">
      <c r="B519" s="307">
        <v>44819</v>
      </c>
      <c r="C519" s="306">
        <v>10.36</v>
      </c>
      <c r="D519" s="306">
        <v>445.87</v>
      </c>
      <c r="E519" s="306">
        <v>451.01</v>
      </c>
      <c r="F519" s="306">
        <v>454.45</v>
      </c>
      <c r="G519" s="306">
        <v>444.68</v>
      </c>
      <c r="H519" s="306" t="s">
        <v>1005</v>
      </c>
      <c r="I519" s="308">
        <v>-6.6E-3</v>
      </c>
    </row>
    <row r="520" spans="2:9">
      <c r="B520" s="307">
        <v>44820</v>
      </c>
      <c r="C520" s="306">
        <v>20.99</v>
      </c>
      <c r="D520" s="306">
        <v>431.17</v>
      </c>
      <c r="E520" s="306">
        <v>444.63</v>
      </c>
      <c r="F520" s="306">
        <v>445.03</v>
      </c>
      <c r="G520" s="306">
        <v>427.78</v>
      </c>
      <c r="H520" s="306" t="s">
        <v>1006</v>
      </c>
      <c r="I520" s="308">
        <v>-3.3000000000000002E-2</v>
      </c>
    </row>
    <row r="521" spans="2:9">
      <c r="B521" s="307">
        <v>44823</v>
      </c>
      <c r="C521" s="306">
        <v>15.24</v>
      </c>
      <c r="D521" s="306">
        <v>424.14</v>
      </c>
      <c r="E521" s="306">
        <v>430.17</v>
      </c>
      <c r="F521" s="306">
        <v>430.27</v>
      </c>
      <c r="G521" s="306">
        <v>422.75</v>
      </c>
      <c r="H521" s="306" t="s">
        <v>1007</v>
      </c>
      <c r="I521" s="308">
        <v>-1.6299999999999999E-2</v>
      </c>
    </row>
    <row r="522" spans="2:9">
      <c r="B522" s="307">
        <v>44824</v>
      </c>
      <c r="C522" s="306">
        <v>17.559999999999999</v>
      </c>
      <c r="D522" s="306">
        <v>432.91</v>
      </c>
      <c r="E522" s="306">
        <v>429.27</v>
      </c>
      <c r="F522" s="306">
        <v>441.99</v>
      </c>
      <c r="G522" s="306">
        <v>429.27</v>
      </c>
      <c r="H522" s="306" t="s">
        <v>1008</v>
      </c>
      <c r="I522" s="308">
        <v>2.07E-2</v>
      </c>
    </row>
    <row r="523" spans="2:9">
      <c r="B523" s="307">
        <v>44825</v>
      </c>
      <c r="C523" s="306">
        <v>10.83</v>
      </c>
      <c r="D523" s="306">
        <v>426.33</v>
      </c>
      <c r="E523" s="306">
        <v>432.61</v>
      </c>
      <c r="F523" s="306">
        <v>434.66</v>
      </c>
      <c r="G523" s="306">
        <v>424.19</v>
      </c>
      <c r="H523" s="306" t="s">
        <v>1009</v>
      </c>
      <c r="I523" s="308">
        <v>-1.52E-2</v>
      </c>
    </row>
    <row r="524" spans="2:9">
      <c r="B524" s="307">
        <v>44826</v>
      </c>
      <c r="C524" s="306">
        <v>13.6</v>
      </c>
      <c r="D524" s="306">
        <v>430.87</v>
      </c>
      <c r="E524" s="306">
        <v>423.69</v>
      </c>
      <c r="F524" s="306">
        <v>433.26</v>
      </c>
      <c r="G524" s="306">
        <v>421.25</v>
      </c>
      <c r="H524" s="306" t="s">
        <v>1010</v>
      </c>
      <c r="I524" s="308">
        <v>1.06E-2</v>
      </c>
    </row>
    <row r="525" spans="2:9">
      <c r="B525" s="307">
        <v>44827</v>
      </c>
      <c r="C525" s="306">
        <v>13.44</v>
      </c>
      <c r="D525" s="306">
        <v>421.8</v>
      </c>
      <c r="E525" s="306">
        <v>430.57</v>
      </c>
      <c r="F525" s="306">
        <v>430.57</v>
      </c>
      <c r="G525" s="306">
        <v>419.26</v>
      </c>
      <c r="H525" s="306" t="s">
        <v>1011</v>
      </c>
      <c r="I525" s="308">
        <v>-2.1100000000000001E-2</v>
      </c>
    </row>
    <row r="526" spans="2:9">
      <c r="B526" s="307">
        <v>44830</v>
      </c>
      <c r="C526" s="306">
        <v>33.229999999999997</v>
      </c>
      <c r="D526" s="306">
        <v>396.28</v>
      </c>
      <c r="E526" s="306">
        <v>414.72</v>
      </c>
      <c r="F526" s="306">
        <v>416.61</v>
      </c>
      <c r="G526" s="306">
        <v>391.94</v>
      </c>
      <c r="H526" s="306" t="s">
        <v>1012</v>
      </c>
      <c r="I526" s="308">
        <v>-6.0499999999999998E-2</v>
      </c>
    </row>
    <row r="527" spans="2:9">
      <c r="B527" s="307">
        <v>44831</v>
      </c>
      <c r="C527" s="306">
        <v>21.93</v>
      </c>
      <c r="D527" s="306">
        <v>397.57</v>
      </c>
      <c r="E527" s="306">
        <v>402.66</v>
      </c>
      <c r="F527" s="306">
        <v>402.76</v>
      </c>
      <c r="G527" s="306">
        <v>389.15</v>
      </c>
      <c r="H527" s="306" t="s">
        <v>1013</v>
      </c>
      <c r="I527" s="308">
        <v>3.3E-3</v>
      </c>
    </row>
    <row r="528" spans="2:9">
      <c r="B528" s="307">
        <v>44832</v>
      </c>
      <c r="C528" s="306">
        <v>18.11</v>
      </c>
      <c r="D528" s="306">
        <v>397.87</v>
      </c>
      <c r="E528" s="306">
        <v>393.68</v>
      </c>
      <c r="F528" s="306">
        <v>405.35</v>
      </c>
      <c r="G528" s="306">
        <v>391.64</v>
      </c>
      <c r="H528" s="306" t="s">
        <v>1014</v>
      </c>
      <c r="I528" s="308">
        <v>8.0000000000000004E-4</v>
      </c>
    </row>
    <row r="529" spans="2:9">
      <c r="B529" s="307">
        <v>44833</v>
      </c>
      <c r="C529" s="306">
        <v>20.73</v>
      </c>
      <c r="D529" s="306">
        <v>401.01</v>
      </c>
      <c r="E529" s="306">
        <v>409.74</v>
      </c>
      <c r="F529" s="306">
        <v>411.98</v>
      </c>
      <c r="G529" s="306">
        <v>398.37</v>
      </c>
      <c r="H529" s="306" t="s">
        <v>814</v>
      </c>
      <c r="I529" s="308">
        <v>7.9000000000000008E-3</v>
      </c>
    </row>
    <row r="530" spans="2:9">
      <c r="B530" s="307">
        <v>44834</v>
      </c>
      <c r="C530" s="306">
        <v>20.95</v>
      </c>
      <c r="D530" s="306">
        <v>403.36</v>
      </c>
      <c r="E530" s="306">
        <v>396.78</v>
      </c>
      <c r="F530" s="306">
        <v>406.99</v>
      </c>
      <c r="G530" s="306">
        <v>391.29</v>
      </c>
      <c r="H530" s="306" t="s">
        <v>827</v>
      </c>
      <c r="I530" s="308">
        <v>5.7999999999999996E-3</v>
      </c>
    </row>
    <row r="531" spans="2:9">
      <c r="B531" s="307">
        <v>44837</v>
      </c>
      <c r="C531" s="306">
        <v>20.329999999999998</v>
      </c>
      <c r="D531" s="306">
        <v>396.43</v>
      </c>
      <c r="E531" s="306">
        <v>404.25</v>
      </c>
      <c r="F531" s="306">
        <v>405.3</v>
      </c>
      <c r="G531" s="306">
        <v>394.28</v>
      </c>
      <c r="H531" s="306" t="s">
        <v>1015</v>
      </c>
      <c r="I531" s="308">
        <v>-1.72E-2</v>
      </c>
    </row>
    <row r="532" spans="2:9">
      <c r="B532" s="307">
        <v>44838</v>
      </c>
      <c r="C532" s="306">
        <v>12.76</v>
      </c>
      <c r="D532" s="306">
        <v>406.64</v>
      </c>
      <c r="E532" s="306">
        <v>404.75</v>
      </c>
      <c r="F532" s="306">
        <v>407.69</v>
      </c>
      <c r="G532" s="306">
        <v>401.66</v>
      </c>
      <c r="H532" s="306" t="s">
        <v>1016</v>
      </c>
      <c r="I532" s="308">
        <v>2.58E-2</v>
      </c>
    </row>
    <row r="533" spans="2:9">
      <c r="B533" s="307">
        <v>44840</v>
      </c>
      <c r="C533" s="306">
        <v>12.77</v>
      </c>
      <c r="D533" s="306">
        <v>412.83</v>
      </c>
      <c r="E533" s="306">
        <v>408.34</v>
      </c>
      <c r="F533" s="306">
        <v>416.36</v>
      </c>
      <c r="G533" s="306">
        <v>408.24</v>
      </c>
      <c r="H533" s="306" t="s">
        <v>1017</v>
      </c>
      <c r="I533" s="308">
        <v>1.52E-2</v>
      </c>
    </row>
    <row r="534" spans="2:9">
      <c r="B534" s="307">
        <v>44841</v>
      </c>
      <c r="C534" s="306">
        <v>10.67</v>
      </c>
      <c r="D534" s="306">
        <v>410.88</v>
      </c>
      <c r="E534" s="306">
        <v>412.13</v>
      </c>
      <c r="F534" s="306">
        <v>412.73</v>
      </c>
      <c r="G534" s="306">
        <v>407.44</v>
      </c>
      <c r="H534" s="306" t="s">
        <v>1018</v>
      </c>
      <c r="I534" s="308">
        <v>-4.7000000000000002E-3</v>
      </c>
    </row>
    <row r="535" spans="2:9">
      <c r="B535" s="307">
        <v>44844</v>
      </c>
      <c r="C535" s="306">
        <v>32.909999999999997</v>
      </c>
      <c r="D535" s="306">
        <v>394.73</v>
      </c>
      <c r="E535" s="306">
        <v>402.16</v>
      </c>
      <c r="F535" s="306">
        <v>402.16</v>
      </c>
      <c r="G535" s="306">
        <v>391.84</v>
      </c>
      <c r="H535" s="306" t="s">
        <v>1019</v>
      </c>
      <c r="I535" s="308">
        <v>-3.9300000000000002E-2</v>
      </c>
    </row>
    <row r="536" spans="2:9">
      <c r="B536" s="307">
        <v>44845</v>
      </c>
      <c r="C536" s="306">
        <v>14.64</v>
      </c>
      <c r="D536" s="306">
        <v>392.14</v>
      </c>
      <c r="E536" s="306">
        <v>395.78</v>
      </c>
      <c r="F536" s="306">
        <v>398.27</v>
      </c>
      <c r="G536" s="306">
        <v>390.1</v>
      </c>
      <c r="H536" s="306" t="s">
        <v>1020</v>
      </c>
      <c r="I536" s="308">
        <v>-6.6E-3</v>
      </c>
    </row>
    <row r="537" spans="2:9">
      <c r="B537" s="307">
        <v>44846</v>
      </c>
      <c r="C537" s="306">
        <v>14.29</v>
      </c>
      <c r="D537" s="306">
        <v>395.33</v>
      </c>
      <c r="E537" s="306">
        <v>393.34</v>
      </c>
      <c r="F537" s="306">
        <v>396.98</v>
      </c>
      <c r="G537" s="306">
        <v>389.9</v>
      </c>
      <c r="H537" s="306" t="s">
        <v>1002</v>
      </c>
      <c r="I537" s="308">
        <v>8.0999999999999996E-3</v>
      </c>
    </row>
    <row r="538" spans="2:9">
      <c r="B538" s="307">
        <v>44847</v>
      </c>
      <c r="C538" s="306">
        <v>12.58</v>
      </c>
      <c r="D538" s="306">
        <v>397.77</v>
      </c>
      <c r="E538" s="306">
        <v>395.33</v>
      </c>
      <c r="F538" s="306">
        <v>402.26</v>
      </c>
      <c r="G538" s="306">
        <v>393.34</v>
      </c>
      <c r="H538" s="306" t="s">
        <v>1021</v>
      </c>
      <c r="I538" s="308">
        <v>6.1999999999999998E-3</v>
      </c>
    </row>
    <row r="539" spans="2:9">
      <c r="B539" s="307">
        <v>44848</v>
      </c>
      <c r="C539" s="306">
        <v>12.88</v>
      </c>
      <c r="D539" s="306">
        <v>395.03</v>
      </c>
      <c r="E539" s="306">
        <v>405.75</v>
      </c>
      <c r="F539" s="306">
        <v>407.94</v>
      </c>
      <c r="G539" s="306">
        <v>394.08</v>
      </c>
      <c r="H539" s="306" t="s">
        <v>1022</v>
      </c>
      <c r="I539" s="308">
        <v>-6.8999999999999999E-3</v>
      </c>
    </row>
    <row r="540" spans="2:9">
      <c r="B540" s="307">
        <v>44851</v>
      </c>
      <c r="C540" s="306">
        <v>9.5399999999999991</v>
      </c>
      <c r="D540" s="306">
        <v>394.88</v>
      </c>
      <c r="E540" s="306">
        <v>392.79</v>
      </c>
      <c r="F540" s="306">
        <v>397.67</v>
      </c>
      <c r="G540" s="306">
        <v>391.29</v>
      </c>
      <c r="H540" s="306" t="s">
        <v>1023</v>
      </c>
      <c r="I540" s="308">
        <v>-4.0000000000000002E-4</v>
      </c>
    </row>
    <row r="541" spans="2:9">
      <c r="B541" s="307">
        <v>44852</v>
      </c>
      <c r="C541" s="306">
        <v>14.22</v>
      </c>
      <c r="D541" s="306">
        <v>403.01</v>
      </c>
      <c r="E541" s="306">
        <v>399.77</v>
      </c>
      <c r="F541" s="306">
        <v>405.45</v>
      </c>
      <c r="G541" s="306">
        <v>399.47</v>
      </c>
      <c r="H541" s="306" t="s">
        <v>1024</v>
      </c>
      <c r="I541" s="308">
        <v>2.06E-2</v>
      </c>
    </row>
    <row r="542" spans="2:9">
      <c r="B542" s="307">
        <v>44853</v>
      </c>
      <c r="C542" s="306">
        <v>8.65</v>
      </c>
      <c r="D542" s="306">
        <v>397.82</v>
      </c>
      <c r="E542" s="306">
        <v>404.95</v>
      </c>
      <c r="F542" s="306">
        <v>405.7</v>
      </c>
      <c r="G542" s="306">
        <v>396.08</v>
      </c>
      <c r="H542" s="306" t="s">
        <v>1025</v>
      </c>
      <c r="I542" s="308">
        <v>-1.29E-2</v>
      </c>
    </row>
    <row r="543" spans="2:9">
      <c r="B543" s="307">
        <v>44854</v>
      </c>
      <c r="C543" s="306">
        <v>10.75</v>
      </c>
      <c r="D543" s="306">
        <v>396.88</v>
      </c>
      <c r="E543" s="306">
        <v>395.78</v>
      </c>
      <c r="F543" s="306">
        <v>398.67</v>
      </c>
      <c r="G543" s="306">
        <v>391.89</v>
      </c>
      <c r="H543" s="306" t="s">
        <v>1026</v>
      </c>
      <c r="I543" s="308">
        <v>-2.3999999999999998E-3</v>
      </c>
    </row>
    <row r="544" spans="2:9">
      <c r="B544" s="307">
        <v>44855</v>
      </c>
      <c r="C544" s="306">
        <v>10.28</v>
      </c>
      <c r="D544" s="306">
        <v>396.83</v>
      </c>
      <c r="E544" s="306">
        <v>395.78</v>
      </c>
      <c r="F544" s="306">
        <v>401.01</v>
      </c>
      <c r="G544" s="306">
        <v>393.49</v>
      </c>
      <c r="H544" s="306" t="s">
        <v>1027</v>
      </c>
      <c r="I544" s="308">
        <v>-1E-4</v>
      </c>
    </row>
    <row r="545" spans="2:9">
      <c r="B545" s="307">
        <v>44858</v>
      </c>
      <c r="C545" s="306">
        <v>2.87</v>
      </c>
      <c r="D545" s="306">
        <v>400.36</v>
      </c>
      <c r="E545" s="306">
        <v>404.75</v>
      </c>
      <c r="F545" s="306">
        <v>404.75</v>
      </c>
      <c r="G545" s="306">
        <v>398.92</v>
      </c>
      <c r="H545" s="306" t="s">
        <v>1028</v>
      </c>
      <c r="I545" s="308">
        <v>8.8999999999999999E-3</v>
      </c>
    </row>
    <row r="546" spans="2:9">
      <c r="B546" s="307">
        <v>44859</v>
      </c>
      <c r="C546" s="306">
        <v>17.98</v>
      </c>
      <c r="D546" s="306">
        <v>403.31</v>
      </c>
      <c r="E546" s="306">
        <v>403.11</v>
      </c>
      <c r="F546" s="306">
        <v>409.24</v>
      </c>
      <c r="G546" s="306">
        <v>401.96</v>
      </c>
      <c r="H546" s="306" t="s">
        <v>1029</v>
      </c>
      <c r="I546" s="308">
        <v>7.3000000000000001E-3</v>
      </c>
    </row>
    <row r="547" spans="2:9">
      <c r="B547" s="307">
        <v>44861</v>
      </c>
      <c r="C547" s="306">
        <v>14.61</v>
      </c>
      <c r="D547" s="306">
        <v>406.45</v>
      </c>
      <c r="E547" s="306">
        <v>407.29</v>
      </c>
      <c r="F547" s="306">
        <v>410.43</v>
      </c>
      <c r="G547" s="306">
        <v>402.76</v>
      </c>
      <c r="H547" s="306" t="s">
        <v>1030</v>
      </c>
      <c r="I547" s="308">
        <v>7.7999999999999996E-3</v>
      </c>
    </row>
    <row r="548" spans="2:9">
      <c r="B548" s="307">
        <v>44862</v>
      </c>
      <c r="C548" s="306">
        <v>12.49</v>
      </c>
      <c r="D548" s="306">
        <v>408.64</v>
      </c>
      <c r="E548" s="306">
        <v>406.74</v>
      </c>
      <c r="F548" s="306">
        <v>409.93</v>
      </c>
      <c r="G548" s="306">
        <v>404.85</v>
      </c>
      <c r="H548" s="306" t="s">
        <v>1031</v>
      </c>
      <c r="I548" s="308">
        <v>5.4000000000000003E-3</v>
      </c>
    </row>
    <row r="549" spans="2:9">
      <c r="B549" s="307">
        <v>44865</v>
      </c>
      <c r="C549" s="306">
        <v>9.93</v>
      </c>
      <c r="D549" s="306">
        <v>411.48</v>
      </c>
      <c r="E549" s="306">
        <v>413.08</v>
      </c>
      <c r="F549" s="306">
        <v>415.02</v>
      </c>
      <c r="G549" s="306">
        <v>410.33</v>
      </c>
      <c r="H549" s="306" t="s">
        <v>1032</v>
      </c>
      <c r="I549" s="308">
        <v>7.0000000000000001E-3</v>
      </c>
    </row>
    <row r="550" spans="2:9">
      <c r="B550" s="307">
        <v>44866</v>
      </c>
      <c r="C550" s="306">
        <v>17.32</v>
      </c>
      <c r="D550" s="306">
        <v>420.05</v>
      </c>
      <c r="E550" s="306">
        <v>413.62</v>
      </c>
      <c r="F550" s="306">
        <v>421.1</v>
      </c>
      <c r="G550" s="306">
        <v>411.53</v>
      </c>
      <c r="H550" s="306" t="s">
        <v>1033</v>
      </c>
      <c r="I550" s="308">
        <v>2.0799999999999999E-2</v>
      </c>
    </row>
    <row r="551" spans="2:9">
      <c r="B551" s="307">
        <v>44867</v>
      </c>
      <c r="C551" s="306">
        <v>12.43</v>
      </c>
      <c r="D551" s="306">
        <v>420.85</v>
      </c>
      <c r="E551" s="306">
        <v>421.75</v>
      </c>
      <c r="F551" s="306">
        <v>423.79</v>
      </c>
      <c r="G551" s="306">
        <v>418.86</v>
      </c>
      <c r="H551" s="306" t="s">
        <v>871</v>
      </c>
      <c r="I551" s="308">
        <v>1.9E-3</v>
      </c>
    </row>
    <row r="552" spans="2:9">
      <c r="B552" s="307">
        <v>44868</v>
      </c>
      <c r="C552" s="306">
        <v>10.99</v>
      </c>
      <c r="D552" s="306">
        <v>414.97</v>
      </c>
      <c r="E552" s="306">
        <v>418.11</v>
      </c>
      <c r="F552" s="306">
        <v>422</v>
      </c>
      <c r="G552" s="306">
        <v>413.23</v>
      </c>
      <c r="H552" s="306" t="s">
        <v>1034</v>
      </c>
      <c r="I552" s="308">
        <v>-1.4E-2</v>
      </c>
    </row>
    <row r="553" spans="2:9">
      <c r="B553" s="307">
        <v>44869</v>
      </c>
      <c r="C553" s="306">
        <v>12.28</v>
      </c>
      <c r="D553" s="306">
        <v>424.04</v>
      </c>
      <c r="E553" s="306">
        <v>416.91</v>
      </c>
      <c r="F553" s="306">
        <v>424.69</v>
      </c>
      <c r="G553" s="306">
        <v>415.62</v>
      </c>
      <c r="H553" s="306" t="s">
        <v>1035</v>
      </c>
      <c r="I553" s="308">
        <v>2.1899999999999999E-2</v>
      </c>
    </row>
    <row r="554" spans="2:9">
      <c r="B554" s="307">
        <v>44872</v>
      </c>
      <c r="C554" s="306">
        <v>15.06</v>
      </c>
      <c r="D554" s="306">
        <v>433.66</v>
      </c>
      <c r="E554" s="306">
        <v>426.93</v>
      </c>
      <c r="F554" s="306">
        <v>436.15</v>
      </c>
      <c r="G554" s="306">
        <v>426.93</v>
      </c>
      <c r="H554" s="306" t="s">
        <v>1036</v>
      </c>
      <c r="I554" s="308">
        <v>2.2700000000000001E-2</v>
      </c>
    </row>
    <row r="555" spans="2:9">
      <c r="B555" s="307">
        <v>44874</v>
      </c>
      <c r="C555" s="306">
        <v>14.47</v>
      </c>
      <c r="D555" s="306">
        <v>431.82</v>
      </c>
      <c r="E555" s="306">
        <v>437.85</v>
      </c>
      <c r="F555" s="306">
        <v>439.84</v>
      </c>
      <c r="G555" s="306">
        <v>430.67</v>
      </c>
      <c r="H555" s="306" t="s">
        <v>1037</v>
      </c>
      <c r="I555" s="308">
        <v>-4.3E-3</v>
      </c>
    </row>
    <row r="556" spans="2:9">
      <c r="B556" s="307">
        <v>44875</v>
      </c>
      <c r="C556" s="306">
        <v>26.25</v>
      </c>
      <c r="D556" s="306">
        <v>410.93</v>
      </c>
      <c r="E556" s="306">
        <v>419.21</v>
      </c>
      <c r="F556" s="306">
        <v>419.26</v>
      </c>
      <c r="G556" s="306">
        <v>407.94</v>
      </c>
      <c r="H556" s="306" t="s">
        <v>777</v>
      </c>
      <c r="I556" s="308">
        <v>-4.8399999999999999E-2</v>
      </c>
    </row>
    <row r="557" spans="2:9">
      <c r="B557" s="307">
        <v>44876</v>
      </c>
      <c r="C557" s="306">
        <v>19.3</v>
      </c>
      <c r="D557" s="306">
        <v>422.2</v>
      </c>
      <c r="E557" s="306">
        <v>418.71</v>
      </c>
      <c r="F557" s="306">
        <v>424.19</v>
      </c>
      <c r="G557" s="306">
        <v>413.42</v>
      </c>
      <c r="H557" s="306" t="s">
        <v>1038</v>
      </c>
      <c r="I557" s="308">
        <v>2.7400000000000001E-2</v>
      </c>
    </row>
    <row r="558" spans="2:9">
      <c r="B558" s="307">
        <v>44879</v>
      </c>
      <c r="C558" s="306">
        <v>18</v>
      </c>
      <c r="D558" s="306">
        <v>432.37</v>
      </c>
      <c r="E558" s="306">
        <v>422.7</v>
      </c>
      <c r="F558" s="306">
        <v>436.35</v>
      </c>
      <c r="G558" s="306">
        <v>422.2</v>
      </c>
      <c r="H558" s="306" t="s">
        <v>758</v>
      </c>
      <c r="I558" s="308">
        <v>2.41E-2</v>
      </c>
    </row>
    <row r="559" spans="2:9">
      <c r="B559" s="307">
        <v>44880</v>
      </c>
      <c r="C559" s="306">
        <v>10.7</v>
      </c>
      <c r="D559" s="306">
        <v>435.8</v>
      </c>
      <c r="E559" s="306">
        <v>433.56</v>
      </c>
      <c r="F559" s="306">
        <v>437.15</v>
      </c>
      <c r="G559" s="306">
        <v>432.77</v>
      </c>
      <c r="H559" s="306" t="s">
        <v>1039</v>
      </c>
      <c r="I559" s="308">
        <v>8.0000000000000002E-3</v>
      </c>
    </row>
    <row r="560" spans="2:9">
      <c r="B560" s="307">
        <v>44881</v>
      </c>
      <c r="C560" s="306">
        <v>8.2100000000000009</v>
      </c>
      <c r="D560" s="306">
        <v>430.22</v>
      </c>
      <c r="E560" s="306">
        <v>435.61</v>
      </c>
      <c r="F560" s="306">
        <v>436.85</v>
      </c>
      <c r="G560" s="306">
        <v>428.28</v>
      </c>
      <c r="H560" s="306" t="s">
        <v>1040</v>
      </c>
      <c r="I560" s="308">
        <v>-1.2800000000000001E-2</v>
      </c>
    </row>
    <row r="561" spans="2:9">
      <c r="B561" s="307">
        <v>44882</v>
      </c>
      <c r="C561" s="306">
        <v>15.62</v>
      </c>
      <c r="D561" s="306">
        <v>421.85</v>
      </c>
      <c r="E561" s="306">
        <v>420.7</v>
      </c>
      <c r="F561" s="306">
        <v>426.23</v>
      </c>
      <c r="G561" s="306">
        <v>418.31</v>
      </c>
      <c r="H561" s="306" t="s">
        <v>1041</v>
      </c>
      <c r="I561" s="308">
        <v>-1.95E-2</v>
      </c>
    </row>
    <row r="562" spans="2:9">
      <c r="B562" s="307">
        <v>44883</v>
      </c>
      <c r="C562" s="306">
        <v>9.85</v>
      </c>
      <c r="D562" s="306">
        <v>422.5</v>
      </c>
      <c r="E562" s="306">
        <v>422.7</v>
      </c>
      <c r="F562" s="306">
        <v>425.14</v>
      </c>
      <c r="G562" s="306">
        <v>419.86</v>
      </c>
      <c r="H562" s="306" t="s">
        <v>1042</v>
      </c>
      <c r="I562" s="308">
        <v>1.5E-3</v>
      </c>
    </row>
    <row r="563" spans="2:9">
      <c r="B563" s="307">
        <v>44886</v>
      </c>
      <c r="C563" s="306">
        <v>9.5</v>
      </c>
      <c r="D563" s="306">
        <v>419.8</v>
      </c>
      <c r="E563" s="306">
        <v>424.29</v>
      </c>
      <c r="F563" s="306">
        <v>426.29</v>
      </c>
      <c r="G563" s="306">
        <v>418.71</v>
      </c>
      <c r="H563" s="306" t="s">
        <v>1043</v>
      </c>
      <c r="I563" s="308">
        <v>-6.4000000000000003E-3</v>
      </c>
    </row>
    <row r="564" spans="2:9">
      <c r="B564" s="307">
        <v>44887</v>
      </c>
      <c r="C564" s="306">
        <v>6.41</v>
      </c>
      <c r="D564" s="306">
        <v>423.39</v>
      </c>
      <c r="E564" s="306">
        <v>419.7</v>
      </c>
      <c r="F564" s="306">
        <v>425.09</v>
      </c>
      <c r="G564" s="306">
        <v>419.21</v>
      </c>
      <c r="H564" s="306" t="s">
        <v>1044</v>
      </c>
      <c r="I564" s="308">
        <v>8.5000000000000006E-3</v>
      </c>
    </row>
    <row r="565" spans="2:9">
      <c r="B565" s="307">
        <v>44888</v>
      </c>
      <c r="C565" s="306">
        <v>6.57</v>
      </c>
      <c r="D565" s="306">
        <v>422.75</v>
      </c>
      <c r="E565" s="306">
        <v>425.54</v>
      </c>
      <c r="F565" s="306">
        <v>427.98</v>
      </c>
      <c r="G565" s="306">
        <v>421.55</v>
      </c>
      <c r="H565" s="306" t="s">
        <v>1045</v>
      </c>
      <c r="I565" s="308">
        <v>-1.5E-3</v>
      </c>
    </row>
    <row r="566" spans="2:9">
      <c r="B566" s="307">
        <v>44889</v>
      </c>
      <c r="C566" s="306">
        <v>6.77</v>
      </c>
      <c r="D566" s="306">
        <v>422.1</v>
      </c>
      <c r="E566" s="306">
        <v>423.19</v>
      </c>
      <c r="F566" s="306">
        <v>423.94</v>
      </c>
      <c r="G566" s="306">
        <v>419.41</v>
      </c>
      <c r="H566" s="306" t="s">
        <v>1046</v>
      </c>
      <c r="I566" s="308">
        <v>-1.5E-3</v>
      </c>
    </row>
    <row r="567" spans="2:9">
      <c r="B567" s="307">
        <v>44890</v>
      </c>
      <c r="C567" s="306">
        <v>18.760000000000002</v>
      </c>
      <c r="D567" s="306">
        <v>431.87</v>
      </c>
      <c r="E567" s="306">
        <v>423.69</v>
      </c>
      <c r="F567" s="306">
        <v>433.81</v>
      </c>
      <c r="G567" s="306">
        <v>422.7</v>
      </c>
      <c r="H567" s="306" t="s">
        <v>1047</v>
      </c>
      <c r="I567" s="308">
        <v>2.3099999999999999E-2</v>
      </c>
    </row>
    <row r="568" spans="2:9">
      <c r="B568" s="307">
        <v>44893</v>
      </c>
      <c r="C568" s="306">
        <v>10.7</v>
      </c>
      <c r="D568" s="306">
        <v>431.92</v>
      </c>
      <c r="E568" s="306">
        <v>433.66</v>
      </c>
      <c r="F568" s="306">
        <v>438.99</v>
      </c>
      <c r="G568" s="306">
        <v>431.07</v>
      </c>
      <c r="H568" s="306" t="s">
        <v>1039</v>
      </c>
      <c r="I568" s="308">
        <v>1E-4</v>
      </c>
    </row>
    <row r="569" spans="2:9">
      <c r="B569" s="307">
        <v>44894</v>
      </c>
      <c r="C569" s="306">
        <v>8.6300000000000008</v>
      </c>
      <c r="D569" s="306">
        <v>431.82</v>
      </c>
      <c r="E569" s="306">
        <v>431.17</v>
      </c>
      <c r="F569" s="306">
        <v>436.55</v>
      </c>
      <c r="G569" s="306">
        <v>428.23</v>
      </c>
      <c r="H569" s="306" t="s">
        <v>1048</v>
      </c>
      <c r="I569" s="308">
        <v>-2.0000000000000001E-4</v>
      </c>
    </row>
    <row r="570" spans="2:9">
      <c r="B570" s="307">
        <v>44895</v>
      </c>
      <c r="C570" s="306">
        <v>14.73</v>
      </c>
      <c r="D570" s="306">
        <v>438.05</v>
      </c>
      <c r="E570" s="306">
        <v>433.66</v>
      </c>
      <c r="F570" s="306">
        <v>439.64</v>
      </c>
      <c r="G570" s="306">
        <v>431.97</v>
      </c>
      <c r="H570" s="306" t="s">
        <v>917</v>
      </c>
      <c r="I570" s="308">
        <v>1.44E-2</v>
      </c>
    </row>
    <row r="571" spans="2:9">
      <c r="B571" s="307">
        <v>44896</v>
      </c>
      <c r="C571" s="306">
        <v>8.91</v>
      </c>
      <c r="D571" s="306">
        <v>436.9</v>
      </c>
      <c r="E571" s="306">
        <v>441.64</v>
      </c>
      <c r="F571" s="306">
        <v>442.23</v>
      </c>
      <c r="G571" s="306">
        <v>435.51</v>
      </c>
      <c r="H571" s="306" t="s">
        <v>1049</v>
      </c>
      <c r="I571" s="308">
        <v>-2.5999999999999999E-3</v>
      </c>
    </row>
    <row r="572" spans="2:9">
      <c r="B572" s="307">
        <v>44897</v>
      </c>
      <c r="C572" s="306">
        <v>8.35</v>
      </c>
      <c r="D572" s="306">
        <v>434.06</v>
      </c>
      <c r="E572" s="306">
        <v>437.65</v>
      </c>
      <c r="F572" s="306">
        <v>439.79</v>
      </c>
      <c r="G572" s="306">
        <v>433.66</v>
      </c>
      <c r="H572" s="306" t="s">
        <v>1050</v>
      </c>
      <c r="I572" s="308">
        <v>-6.4999999999999997E-3</v>
      </c>
    </row>
    <row r="573" spans="2:9">
      <c r="B573" s="307">
        <v>44900</v>
      </c>
      <c r="C573" s="306">
        <v>12.86</v>
      </c>
      <c r="D573" s="306">
        <v>427.43</v>
      </c>
      <c r="E573" s="306">
        <v>434.16</v>
      </c>
      <c r="F573" s="306">
        <v>436.15</v>
      </c>
      <c r="G573" s="306">
        <v>426.48</v>
      </c>
      <c r="H573" s="306" t="s">
        <v>1051</v>
      </c>
      <c r="I573" s="308">
        <v>-1.5299999999999999E-2</v>
      </c>
    </row>
    <row r="574" spans="2:9">
      <c r="B574" s="307">
        <v>44901</v>
      </c>
      <c r="C574" s="306">
        <v>8.4600000000000009</v>
      </c>
      <c r="D574" s="306">
        <v>425.79</v>
      </c>
      <c r="E574" s="306">
        <v>427.48</v>
      </c>
      <c r="F574" s="306">
        <v>430.02</v>
      </c>
      <c r="G574" s="306">
        <v>424.04</v>
      </c>
      <c r="H574" s="306" t="s">
        <v>1052</v>
      </c>
      <c r="I574" s="308">
        <v>-3.8E-3</v>
      </c>
    </row>
    <row r="575" spans="2:9">
      <c r="B575" s="307">
        <v>44902</v>
      </c>
      <c r="C575" s="306">
        <v>12.13</v>
      </c>
      <c r="D575" s="306">
        <v>418.81</v>
      </c>
      <c r="E575" s="306">
        <v>426.68</v>
      </c>
      <c r="F575" s="306">
        <v>426.68</v>
      </c>
      <c r="G575" s="306">
        <v>417.81</v>
      </c>
      <c r="H575" s="306" t="s">
        <v>1053</v>
      </c>
      <c r="I575" s="308">
        <v>-1.6400000000000001E-2</v>
      </c>
    </row>
    <row r="576" spans="2:9">
      <c r="B576" s="307">
        <v>44903</v>
      </c>
      <c r="C576" s="306">
        <v>9.5399999999999991</v>
      </c>
      <c r="D576" s="306">
        <v>415.92</v>
      </c>
      <c r="E576" s="306">
        <v>419.7</v>
      </c>
      <c r="F576" s="306">
        <v>420.1</v>
      </c>
      <c r="G576" s="306">
        <v>414.07</v>
      </c>
      <c r="H576" s="306" t="s">
        <v>1023</v>
      </c>
      <c r="I576" s="308">
        <v>-6.8999999999999999E-3</v>
      </c>
    </row>
    <row r="577" spans="2:9">
      <c r="B577" s="307">
        <v>44904</v>
      </c>
      <c r="C577" s="306">
        <v>9.92</v>
      </c>
      <c r="D577" s="306">
        <v>412.03</v>
      </c>
      <c r="E577" s="306">
        <v>418.01</v>
      </c>
      <c r="F577" s="306">
        <v>419.65</v>
      </c>
      <c r="G577" s="306">
        <v>408.29</v>
      </c>
      <c r="H577" s="306" t="s">
        <v>1054</v>
      </c>
      <c r="I577" s="308">
        <v>-9.2999999999999992E-3</v>
      </c>
    </row>
    <row r="578" spans="2:9">
      <c r="B578" s="307">
        <v>44907</v>
      </c>
      <c r="C578" s="306">
        <v>8.01</v>
      </c>
      <c r="D578" s="306">
        <v>412.88</v>
      </c>
      <c r="E578" s="306">
        <v>410.73</v>
      </c>
      <c r="F578" s="306">
        <v>415.62</v>
      </c>
      <c r="G578" s="306">
        <v>406.74</v>
      </c>
      <c r="H578" s="306" t="s">
        <v>1055</v>
      </c>
      <c r="I578" s="308">
        <v>2.0999999999999999E-3</v>
      </c>
    </row>
    <row r="579" spans="2:9">
      <c r="B579" s="307">
        <v>44908</v>
      </c>
      <c r="C579" s="306">
        <v>9.7200000000000006</v>
      </c>
      <c r="D579" s="306">
        <v>417.21</v>
      </c>
      <c r="E579" s="306">
        <v>418.66</v>
      </c>
      <c r="F579" s="306">
        <v>420.2</v>
      </c>
      <c r="G579" s="306">
        <v>415.97</v>
      </c>
      <c r="H579" s="306" t="s">
        <v>1056</v>
      </c>
      <c r="I579" s="308">
        <v>1.0500000000000001E-2</v>
      </c>
    </row>
    <row r="580" spans="2:9">
      <c r="B580" s="307">
        <v>44909</v>
      </c>
      <c r="C580" s="306">
        <v>6.31</v>
      </c>
      <c r="D580" s="306">
        <v>416.61</v>
      </c>
      <c r="E580" s="306">
        <v>419.26</v>
      </c>
      <c r="F580" s="306">
        <v>420.05</v>
      </c>
      <c r="G580" s="306">
        <v>416.07</v>
      </c>
      <c r="H580" s="306" t="s">
        <v>1057</v>
      </c>
      <c r="I580" s="308">
        <v>-1.4E-3</v>
      </c>
    </row>
    <row r="581" spans="2:9">
      <c r="B581" s="307">
        <v>44910</v>
      </c>
      <c r="C581" s="306">
        <v>7.54</v>
      </c>
      <c r="D581" s="306">
        <v>415.42</v>
      </c>
      <c r="E581" s="306">
        <v>417.56</v>
      </c>
      <c r="F581" s="306">
        <v>421.5</v>
      </c>
      <c r="G581" s="306">
        <v>414.42</v>
      </c>
      <c r="H581" s="306" t="s">
        <v>1058</v>
      </c>
      <c r="I581" s="308">
        <v>-2.8999999999999998E-3</v>
      </c>
    </row>
    <row r="582" spans="2:9">
      <c r="B582" s="307">
        <v>44911</v>
      </c>
      <c r="C582" s="306">
        <v>50.95</v>
      </c>
      <c r="D582" s="306">
        <v>420.3</v>
      </c>
      <c r="E582" s="306">
        <v>416.07</v>
      </c>
      <c r="F582" s="306">
        <v>426.48</v>
      </c>
      <c r="G582" s="306">
        <v>411.83</v>
      </c>
      <c r="H582" s="306" t="s">
        <v>1059</v>
      </c>
      <c r="I582" s="308">
        <v>1.18E-2</v>
      </c>
    </row>
    <row r="583" spans="2:9">
      <c r="B583" s="307">
        <v>44914</v>
      </c>
      <c r="C583" s="306">
        <v>9.81</v>
      </c>
      <c r="D583" s="306">
        <v>416.71</v>
      </c>
      <c r="E583" s="306">
        <v>420.6</v>
      </c>
      <c r="F583" s="306">
        <v>421.55</v>
      </c>
      <c r="G583" s="306">
        <v>414.22</v>
      </c>
      <c r="H583" s="306" t="s">
        <v>999</v>
      </c>
      <c r="I583" s="308">
        <v>-8.5000000000000006E-3</v>
      </c>
    </row>
    <row r="584" spans="2:9">
      <c r="B584" s="307">
        <v>44915</v>
      </c>
      <c r="C584" s="306">
        <v>12.34</v>
      </c>
      <c r="D584" s="306">
        <v>409.24</v>
      </c>
      <c r="E584" s="306">
        <v>416.71</v>
      </c>
      <c r="F584" s="306">
        <v>416.71</v>
      </c>
      <c r="G584" s="306">
        <v>406.74</v>
      </c>
      <c r="H584" s="306" t="s">
        <v>1060</v>
      </c>
      <c r="I584" s="308">
        <v>-1.7899999999999999E-2</v>
      </c>
    </row>
    <row r="585" spans="2:9">
      <c r="B585" s="307">
        <v>44916</v>
      </c>
      <c r="C585" s="306">
        <v>11.61</v>
      </c>
      <c r="D585" s="306">
        <v>401.36</v>
      </c>
      <c r="E585" s="306">
        <v>411.33</v>
      </c>
      <c r="F585" s="306">
        <v>413.13</v>
      </c>
      <c r="G585" s="306">
        <v>399.77</v>
      </c>
      <c r="H585" s="306" t="s">
        <v>1061</v>
      </c>
      <c r="I585" s="308">
        <v>-1.9199999999999998E-2</v>
      </c>
    </row>
    <row r="586" spans="2:9">
      <c r="B586" s="307">
        <v>44917</v>
      </c>
      <c r="C586" s="306">
        <v>14.91</v>
      </c>
      <c r="D586" s="306">
        <v>393.24</v>
      </c>
      <c r="E586" s="306">
        <v>402.86</v>
      </c>
      <c r="F586" s="306">
        <v>403.45</v>
      </c>
      <c r="G586" s="306">
        <v>389</v>
      </c>
      <c r="H586" s="306" t="s">
        <v>768</v>
      </c>
      <c r="I586" s="308">
        <v>-2.0199999999999999E-2</v>
      </c>
    </row>
    <row r="587" spans="2:9">
      <c r="B587" s="307">
        <v>44918</v>
      </c>
      <c r="C587" s="306">
        <v>19.899999999999999</v>
      </c>
      <c r="D587" s="306">
        <v>377.19</v>
      </c>
      <c r="E587" s="306">
        <v>388.8</v>
      </c>
      <c r="F587" s="306">
        <v>388.8</v>
      </c>
      <c r="G587" s="306">
        <v>375.84</v>
      </c>
      <c r="H587" s="306" t="s">
        <v>1062</v>
      </c>
      <c r="I587" s="308">
        <v>-4.0800000000000003E-2</v>
      </c>
    </row>
    <row r="588" spans="2:9">
      <c r="B588" s="307">
        <v>44921</v>
      </c>
      <c r="C588" s="306">
        <v>16.98</v>
      </c>
      <c r="D588" s="306">
        <v>383.62</v>
      </c>
      <c r="E588" s="306">
        <v>379.08</v>
      </c>
      <c r="F588" s="306">
        <v>389.5</v>
      </c>
      <c r="G588" s="306">
        <v>374.05</v>
      </c>
      <c r="H588" s="306" t="s">
        <v>1063</v>
      </c>
      <c r="I588" s="308">
        <v>1.7000000000000001E-2</v>
      </c>
    </row>
    <row r="589" spans="2:9">
      <c r="B589" s="307">
        <v>44922</v>
      </c>
      <c r="C589" s="306">
        <v>14.37</v>
      </c>
      <c r="D589" s="306">
        <v>392.94</v>
      </c>
      <c r="E589" s="306">
        <v>388.8</v>
      </c>
      <c r="F589" s="306">
        <v>396.23</v>
      </c>
      <c r="G589" s="306">
        <v>387.3</v>
      </c>
      <c r="H589" s="306" t="s">
        <v>1064</v>
      </c>
      <c r="I589" s="308">
        <v>2.4299999999999999E-2</v>
      </c>
    </row>
    <row r="590" spans="2:9">
      <c r="B590" s="307">
        <v>44923</v>
      </c>
      <c r="C590" s="306">
        <v>8.44</v>
      </c>
      <c r="D590" s="306">
        <v>390.1</v>
      </c>
      <c r="E590" s="306">
        <v>392.79</v>
      </c>
      <c r="F590" s="306">
        <v>394.68</v>
      </c>
      <c r="G590" s="306">
        <v>389.2</v>
      </c>
      <c r="H590" s="306" t="s">
        <v>1065</v>
      </c>
      <c r="I590" s="308">
        <v>-7.1999999999999998E-3</v>
      </c>
    </row>
    <row r="591" spans="2:9">
      <c r="B591" s="307">
        <v>44924</v>
      </c>
      <c r="C591" s="306">
        <v>15.63</v>
      </c>
      <c r="D591" s="306">
        <v>384.71</v>
      </c>
      <c r="E591" s="306">
        <v>387.8</v>
      </c>
      <c r="F591" s="306">
        <v>388.8</v>
      </c>
      <c r="G591" s="306">
        <v>381.87</v>
      </c>
      <c r="H591" s="306" t="s">
        <v>1066</v>
      </c>
      <c r="I591" s="308">
        <v>-1.38E-2</v>
      </c>
    </row>
    <row r="592" spans="2:9">
      <c r="B592" s="307">
        <v>44925</v>
      </c>
      <c r="C592" s="306">
        <v>9.1999999999999993</v>
      </c>
      <c r="D592" s="306">
        <v>386.76</v>
      </c>
      <c r="E592" s="306">
        <v>389.8</v>
      </c>
      <c r="F592" s="306">
        <v>390.99</v>
      </c>
      <c r="G592" s="306">
        <v>385.81</v>
      </c>
      <c r="H592" s="306" t="s">
        <v>1067</v>
      </c>
      <c r="I592" s="308">
        <v>5.3E-3</v>
      </c>
    </row>
    <row r="593" spans="2:9">
      <c r="B593" s="307">
        <v>44928</v>
      </c>
      <c r="C593" s="306">
        <v>10.5</v>
      </c>
      <c r="D593" s="306">
        <v>393.59</v>
      </c>
      <c r="E593" s="306">
        <v>391.29</v>
      </c>
      <c r="F593" s="306">
        <v>394.78</v>
      </c>
      <c r="G593" s="306">
        <v>389.8</v>
      </c>
      <c r="H593" s="306" t="s">
        <v>1068</v>
      </c>
      <c r="I593" s="308">
        <v>1.77E-2</v>
      </c>
    </row>
    <row r="594" spans="2:9">
      <c r="B594" s="307">
        <v>44929</v>
      </c>
      <c r="C594" s="306">
        <v>9.43</v>
      </c>
      <c r="D594" s="306">
        <v>392.69</v>
      </c>
      <c r="E594" s="306">
        <v>394.78</v>
      </c>
      <c r="F594" s="306">
        <v>397.13</v>
      </c>
      <c r="G594" s="306">
        <v>391.79</v>
      </c>
      <c r="H594" s="306" t="s">
        <v>1069</v>
      </c>
      <c r="I594" s="308">
        <v>-2.3E-3</v>
      </c>
    </row>
    <row r="595" spans="2:9">
      <c r="B595" s="307">
        <v>44930</v>
      </c>
      <c r="C595" s="306">
        <v>16.12</v>
      </c>
      <c r="D595" s="306">
        <v>384.41</v>
      </c>
      <c r="E595" s="306">
        <v>393.59</v>
      </c>
      <c r="F595" s="306">
        <v>393.59</v>
      </c>
      <c r="G595" s="306">
        <v>383.82</v>
      </c>
      <c r="H595" s="306" t="s">
        <v>1070</v>
      </c>
      <c r="I595" s="308">
        <v>-2.1100000000000001E-2</v>
      </c>
    </row>
    <row r="596" spans="2:9">
      <c r="B596" s="307">
        <v>44931</v>
      </c>
      <c r="C596" s="306">
        <v>10.44</v>
      </c>
      <c r="D596" s="306">
        <v>385.71</v>
      </c>
      <c r="E596" s="306">
        <v>386.71</v>
      </c>
      <c r="F596" s="306">
        <v>387.55</v>
      </c>
      <c r="G596" s="306">
        <v>381.32</v>
      </c>
      <c r="H596" s="306" t="s">
        <v>1071</v>
      </c>
      <c r="I596" s="308">
        <v>3.3999999999999998E-3</v>
      </c>
    </row>
    <row r="597" spans="2:9">
      <c r="B597" s="307">
        <v>44932</v>
      </c>
      <c r="C597" s="306">
        <v>8.7200000000000006</v>
      </c>
      <c r="D597" s="306">
        <v>380.83</v>
      </c>
      <c r="E597" s="306">
        <v>384.91</v>
      </c>
      <c r="F597" s="306">
        <v>387.2</v>
      </c>
      <c r="G597" s="306">
        <v>379.83</v>
      </c>
      <c r="H597" s="306" t="s">
        <v>1072</v>
      </c>
      <c r="I597" s="308">
        <v>-1.2699999999999999E-2</v>
      </c>
    </row>
    <row r="598" spans="2:9">
      <c r="B598" s="307">
        <v>44935</v>
      </c>
      <c r="C598" s="306">
        <v>14.69</v>
      </c>
      <c r="D598" s="306">
        <v>388.25</v>
      </c>
      <c r="E598" s="306">
        <v>385.16</v>
      </c>
      <c r="F598" s="306">
        <v>391.49</v>
      </c>
      <c r="G598" s="306">
        <v>383.82</v>
      </c>
      <c r="H598" s="306" t="s">
        <v>1073</v>
      </c>
      <c r="I598" s="308">
        <v>1.95E-2</v>
      </c>
    </row>
    <row r="599" spans="2:9">
      <c r="B599" s="307">
        <v>44936</v>
      </c>
      <c r="C599" s="306">
        <v>54.02</v>
      </c>
      <c r="D599" s="306">
        <v>411.63</v>
      </c>
      <c r="E599" s="306">
        <v>398.77</v>
      </c>
      <c r="F599" s="306">
        <v>416.46</v>
      </c>
      <c r="G599" s="306">
        <v>398.77</v>
      </c>
      <c r="H599" s="306" t="s">
        <v>1074</v>
      </c>
      <c r="I599" s="308">
        <v>6.0199999999999997E-2</v>
      </c>
    </row>
    <row r="600" spans="2:9">
      <c r="B600" s="307">
        <v>44937</v>
      </c>
      <c r="C600" s="306">
        <v>22.22</v>
      </c>
      <c r="D600" s="306">
        <v>416.91</v>
      </c>
      <c r="E600" s="306">
        <v>414.47</v>
      </c>
      <c r="F600" s="306">
        <v>418.71</v>
      </c>
      <c r="G600" s="306">
        <v>412.28</v>
      </c>
      <c r="H600" s="306" t="s">
        <v>1075</v>
      </c>
      <c r="I600" s="308">
        <v>1.2800000000000001E-2</v>
      </c>
    </row>
    <row r="601" spans="2:9">
      <c r="B601" s="307">
        <v>44938</v>
      </c>
      <c r="C601" s="306">
        <v>12.48</v>
      </c>
      <c r="D601" s="306">
        <v>410.98</v>
      </c>
      <c r="E601" s="306">
        <v>419.01</v>
      </c>
      <c r="F601" s="306">
        <v>419.21</v>
      </c>
      <c r="G601" s="306">
        <v>408.79</v>
      </c>
      <c r="H601" s="306" t="s">
        <v>1076</v>
      </c>
      <c r="I601" s="308">
        <v>-1.4200000000000001E-2</v>
      </c>
    </row>
    <row r="602" spans="2:9">
      <c r="B602" s="307">
        <v>44939</v>
      </c>
      <c r="C602" s="306">
        <v>10.45</v>
      </c>
      <c r="D602" s="306">
        <v>410.23</v>
      </c>
      <c r="E602" s="306">
        <v>411.73</v>
      </c>
      <c r="F602" s="306">
        <v>415.07</v>
      </c>
      <c r="G602" s="306">
        <v>406.74</v>
      </c>
      <c r="H602" s="306" t="s">
        <v>1077</v>
      </c>
      <c r="I602" s="308">
        <v>-1.8E-3</v>
      </c>
    </row>
    <row r="603" spans="2:9">
      <c r="B603" s="307">
        <v>44942</v>
      </c>
      <c r="C603" s="306">
        <v>11.46</v>
      </c>
      <c r="D603" s="306">
        <v>411.73</v>
      </c>
      <c r="E603" s="306">
        <v>412.23</v>
      </c>
      <c r="F603" s="306">
        <v>413.62</v>
      </c>
      <c r="G603" s="306">
        <v>406.35</v>
      </c>
      <c r="H603" s="306" t="s">
        <v>1078</v>
      </c>
      <c r="I603" s="308">
        <v>3.5999999999999999E-3</v>
      </c>
    </row>
    <row r="604" spans="2:9">
      <c r="B604" s="307">
        <v>44943</v>
      </c>
      <c r="C604" s="306">
        <v>12.34</v>
      </c>
      <c r="D604" s="306">
        <v>414.02</v>
      </c>
      <c r="E604" s="306">
        <v>411.73</v>
      </c>
      <c r="F604" s="306">
        <v>418.16</v>
      </c>
      <c r="G604" s="306">
        <v>411.23</v>
      </c>
      <c r="H604" s="306" t="s">
        <v>1060</v>
      </c>
      <c r="I604" s="308">
        <v>5.5999999999999999E-3</v>
      </c>
    </row>
    <row r="605" spans="2:9">
      <c r="B605" s="307">
        <v>44944</v>
      </c>
      <c r="C605" s="306">
        <v>13.31</v>
      </c>
      <c r="D605" s="306">
        <v>407.14</v>
      </c>
      <c r="E605" s="306">
        <v>414.62</v>
      </c>
      <c r="F605" s="306">
        <v>414.67</v>
      </c>
      <c r="G605" s="306">
        <v>406.2</v>
      </c>
      <c r="H605" s="306" t="s">
        <v>1079</v>
      </c>
      <c r="I605" s="308">
        <v>-1.66E-2</v>
      </c>
    </row>
    <row r="606" spans="2:9">
      <c r="B606" s="307">
        <v>44945</v>
      </c>
      <c r="C606" s="306">
        <v>13.13</v>
      </c>
      <c r="D606" s="306">
        <v>399.52</v>
      </c>
      <c r="E606" s="306">
        <v>405.25</v>
      </c>
      <c r="F606" s="306">
        <v>406.55</v>
      </c>
      <c r="G606" s="306">
        <v>398.87</v>
      </c>
      <c r="H606" s="306" t="s">
        <v>1080</v>
      </c>
      <c r="I606" s="308">
        <v>-1.8700000000000001E-2</v>
      </c>
    </row>
    <row r="607" spans="2:9">
      <c r="B607" s="307">
        <v>44946</v>
      </c>
      <c r="C607" s="306">
        <v>23.91</v>
      </c>
      <c r="D607" s="306">
        <v>401.91</v>
      </c>
      <c r="E607" s="306">
        <v>402.76</v>
      </c>
      <c r="F607" s="306">
        <v>411.23</v>
      </c>
      <c r="G607" s="306">
        <v>399.97</v>
      </c>
      <c r="H607" s="306" t="s">
        <v>1081</v>
      </c>
      <c r="I607" s="308">
        <v>6.0000000000000001E-3</v>
      </c>
    </row>
    <row r="608" spans="2:9">
      <c r="B608" s="307">
        <v>44949</v>
      </c>
      <c r="C608" s="306">
        <v>13.11</v>
      </c>
      <c r="D608" s="306">
        <v>407.14</v>
      </c>
      <c r="E608" s="306">
        <v>405.75</v>
      </c>
      <c r="F608" s="306">
        <v>409.69</v>
      </c>
      <c r="G608" s="306">
        <v>403.75</v>
      </c>
      <c r="H608" s="306" t="s">
        <v>1082</v>
      </c>
      <c r="I608" s="308">
        <v>1.2999999999999999E-2</v>
      </c>
    </row>
    <row r="609" spans="2:9">
      <c r="B609" s="307">
        <v>44950</v>
      </c>
      <c r="C609" s="306">
        <v>30.2</v>
      </c>
      <c r="D609" s="306">
        <v>420.85</v>
      </c>
      <c r="E609" s="306">
        <v>408.74</v>
      </c>
      <c r="F609" s="306">
        <v>422.7</v>
      </c>
      <c r="G609" s="306">
        <v>408.74</v>
      </c>
      <c r="H609" s="306" t="s">
        <v>1083</v>
      </c>
      <c r="I609" s="308">
        <v>3.3700000000000001E-2</v>
      </c>
    </row>
    <row r="610" spans="2:9">
      <c r="B610" s="307">
        <v>44951</v>
      </c>
      <c r="C610" s="306">
        <v>22.98</v>
      </c>
      <c r="D610" s="306">
        <v>417.76</v>
      </c>
      <c r="E610" s="306">
        <v>422.45</v>
      </c>
      <c r="F610" s="306">
        <v>425.94</v>
      </c>
      <c r="G610" s="306">
        <v>416.42</v>
      </c>
      <c r="H610" s="306" t="s">
        <v>1084</v>
      </c>
      <c r="I610" s="308">
        <v>-7.3000000000000001E-3</v>
      </c>
    </row>
    <row r="611" spans="2:9">
      <c r="B611" s="307">
        <v>44953</v>
      </c>
      <c r="C611" s="306">
        <v>63.36</v>
      </c>
      <c r="D611" s="306">
        <v>444.23</v>
      </c>
      <c r="E611" s="306">
        <v>436.65</v>
      </c>
      <c r="F611" s="306">
        <v>452.01</v>
      </c>
      <c r="G611" s="306">
        <v>433.81</v>
      </c>
      <c r="H611" s="306" t="s">
        <v>1085</v>
      </c>
      <c r="I611" s="308">
        <v>6.3399999999999998E-2</v>
      </c>
    </row>
    <row r="612" spans="2:9">
      <c r="B612" s="307">
        <v>44956</v>
      </c>
      <c r="C612" s="306">
        <v>18.32</v>
      </c>
      <c r="D612" s="306">
        <v>442.29</v>
      </c>
      <c r="E612" s="306">
        <v>444.23</v>
      </c>
      <c r="F612" s="306">
        <v>448.62</v>
      </c>
      <c r="G612" s="306">
        <v>436.3</v>
      </c>
      <c r="H612" s="306" t="s">
        <v>1086</v>
      </c>
      <c r="I612" s="308">
        <v>-4.4000000000000003E-3</v>
      </c>
    </row>
    <row r="613" spans="2:9">
      <c r="B613" s="307">
        <v>44957</v>
      </c>
      <c r="C613" s="306">
        <v>25.15</v>
      </c>
      <c r="D613" s="306">
        <v>450.71</v>
      </c>
      <c r="E613" s="306">
        <v>442.33</v>
      </c>
      <c r="F613" s="306">
        <v>453.4</v>
      </c>
      <c r="G613" s="306">
        <v>439.54</v>
      </c>
      <c r="H613" s="306" t="s">
        <v>736</v>
      </c>
      <c r="I613" s="308">
        <v>1.9E-2</v>
      </c>
    </row>
    <row r="614" spans="2:9">
      <c r="B614" s="307">
        <v>44958</v>
      </c>
      <c r="C614" s="306">
        <v>23.8</v>
      </c>
      <c r="D614" s="306">
        <v>445.28</v>
      </c>
      <c r="E614" s="306">
        <v>455.39</v>
      </c>
      <c r="F614" s="306">
        <v>460.08</v>
      </c>
      <c r="G614" s="306">
        <v>436.3</v>
      </c>
      <c r="H614" s="306" t="s">
        <v>1087</v>
      </c>
      <c r="I614" s="308">
        <v>-1.21E-2</v>
      </c>
    </row>
    <row r="615" spans="2:9">
      <c r="B615" s="307">
        <v>44959</v>
      </c>
      <c r="C615" s="306">
        <v>11.34</v>
      </c>
      <c r="D615" s="306">
        <v>443.43</v>
      </c>
      <c r="E615" s="306">
        <v>445.38</v>
      </c>
      <c r="F615" s="306">
        <v>447.82</v>
      </c>
      <c r="G615" s="306">
        <v>439.34</v>
      </c>
      <c r="H615" s="306" t="s">
        <v>1088</v>
      </c>
      <c r="I615" s="308">
        <v>-4.1000000000000003E-3</v>
      </c>
    </row>
    <row r="616" spans="2:9">
      <c r="B616" s="307">
        <v>44960</v>
      </c>
      <c r="C616" s="306">
        <v>13.07</v>
      </c>
      <c r="D616" s="306">
        <v>444.08</v>
      </c>
      <c r="E616" s="306">
        <v>445.63</v>
      </c>
      <c r="F616" s="306">
        <v>449.41</v>
      </c>
      <c r="G616" s="306">
        <v>440.99</v>
      </c>
      <c r="H616" s="306" t="s">
        <v>1089</v>
      </c>
      <c r="I616" s="308">
        <v>1.5E-3</v>
      </c>
    </row>
    <row r="617" spans="2:9">
      <c r="B617" s="307">
        <v>44963</v>
      </c>
      <c r="C617" s="306">
        <v>6.8</v>
      </c>
      <c r="D617" s="306">
        <v>440.64</v>
      </c>
      <c r="E617" s="306">
        <v>443.08</v>
      </c>
      <c r="F617" s="306">
        <v>445.63</v>
      </c>
      <c r="G617" s="306">
        <v>438.2</v>
      </c>
      <c r="H617" s="306" t="s">
        <v>1090</v>
      </c>
      <c r="I617" s="308">
        <v>-7.7000000000000002E-3</v>
      </c>
    </row>
    <row r="618" spans="2:9">
      <c r="B618" s="307">
        <v>44964</v>
      </c>
      <c r="C618" s="306">
        <v>9.02</v>
      </c>
      <c r="D618" s="306">
        <v>434.11</v>
      </c>
      <c r="E618" s="306">
        <v>440.34</v>
      </c>
      <c r="F618" s="306">
        <v>442.04</v>
      </c>
      <c r="G618" s="306">
        <v>431.57</v>
      </c>
      <c r="H618" s="306" t="s">
        <v>1091</v>
      </c>
      <c r="I618" s="308">
        <v>-1.4800000000000001E-2</v>
      </c>
    </row>
    <row r="619" spans="2:9">
      <c r="B619" s="307">
        <v>44965</v>
      </c>
      <c r="C619" s="306">
        <v>8.67</v>
      </c>
      <c r="D619" s="306">
        <v>438.75</v>
      </c>
      <c r="E619" s="306">
        <v>434.11</v>
      </c>
      <c r="F619" s="306">
        <v>439.64</v>
      </c>
      <c r="G619" s="306">
        <v>430.22</v>
      </c>
      <c r="H619" s="306" t="s">
        <v>1092</v>
      </c>
      <c r="I619" s="308">
        <v>1.0699999999999999E-2</v>
      </c>
    </row>
    <row r="620" spans="2:9">
      <c r="B620" s="307">
        <v>44966</v>
      </c>
      <c r="C620" s="306">
        <v>7.35</v>
      </c>
      <c r="D620" s="306">
        <v>435.41</v>
      </c>
      <c r="E620" s="306">
        <v>438.65</v>
      </c>
      <c r="F620" s="306">
        <v>439.34</v>
      </c>
      <c r="G620" s="306">
        <v>432.22</v>
      </c>
      <c r="H620" s="306" t="s">
        <v>1093</v>
      </c>
      <c r="I620" s="308">
        <v>-7.6E-3</v>
      </c>
    </row>
    <row r="621" spans="2:9">
      <c r="B621" s="307">
        <v>44967</v>
      </c>
      <c r="C621" s="306">
        <v>14.8</v>
      </c>
      <c r="D621" s="306">
        <v>444.48</v>
      </c>
      <c r="E621" s="306">
        <v>436.6</v>
      </c>
      <c r="F621" s="306">
        <v>446.42</v>
      </c>
      <c r="G621" s="306">
        <v>429.87</v>
      </c>
      <c r="H621" s="306" t="s">
        <v>1094</v>
      </c>
      <c r="I621" s="308">
        <v>2.0799999999999999E-2</v>
      </c>
    </row>
    <row r="622" spans="2:9">
      <c r="B622" s="307">
        <v>44970</v>
      </c>
      <c r="C622" s="306">
        <v>8.33</v>
      </c>
      <c r="D622" s="306">
        <v>439.69</v>
      </c>
      <c r="E622" s="306">
        <v>444.13</v>
      </c>
      <c r="F622" s="306">
        <v>445.52</v>
      </c>
      <c r="G622" s="306">
        <v>437.55</v>
      </c>
      <c r="H622" s="306" t="s">
        <v>1095</v>
      </c>
      <c r="I622" s="308">
        <v>-1.0800000000000001E-2</v>
      </c>
    </row>
    <row r="623" spans="2:9">
      <c r="B623" s="307">
        <v>44971</v>
      </c>
      <c r="C623" s="306">
        <v>8.57</v>
      </c>
      <c r="D623" s="306">
        <v>439.2</v>
      </c>
      <c r="E623" s="306">
        <v>440.64</v>
      </c>
      <c r="F623" s="306">
        <v>442.93</v>
      </c>
      <c r="G623" s="306">
        <v>433.06</v>
      </c>
      <c r="H623" s="306" t="s">
        <v>1096</v>
      </c>
      <c r="I623" s="308">
        <v>-1.1000000000000001E-3</v>
      </c>
    </row>
    <row r="624" spans="2:9">
      <c r="B624" s="307">
        <v>44972</v>
      </c>
      <c r="C624" s="306">
        <v>9.86</v>
      </c>
      <c r="D624" s="306">
        <v>442.78</v>
      </c>
      <c r="E624" s="306">
        <v>437.15</v>
      </c>
      <c r="F624" s="306">
        <v>443.53</v>
      </c>
      <c r="G624" s="306">
        <v>436.8</v>
      </c>
      <c r="H624" s="306" t="s">
        <v>1097</v>
      </c>
      <c r="I624" s="308">
        <v>8.2000000000000007E-3</v>
      </c>
    </row>
    <row r="625" spans="2:9">
      <c r="B625" s="307">
        <v>44973</v>
      </c>
      <c r="C625" s="306">
        <v>7.67</v>
      </c>
      <c r="D625" s="306">
        <v>440.24</v>
      </c>
      <c r="E625" s="306">
        <v>443.63</v>
      </c>
      <c r="F625" s="306">
        <v>446.87</v>
      </c>
      <c r="G625" s="306">
        <v>439.14</v>
      </c>
      <c r="H625" s="306" t="s">
        <v>1098</v>
      </c>
      <c r="I625" s="308">
        <v>-5.7000000000000002E-3</v>
      </c>
    </row>
    <row r="626" spans="2:9">
      <c r="B626" s="307">
        <v>44974</v>
      </c>
      <c r="C626" s="306">
        <v>6.96</v>
      </c>
      <c r="D626" s="306">
        <v>438.55</v>
      </c>
      <c r="E626" s="306">
        <v>434.66</v>
      </c>
      <c r="F626" s="306">
        <v>441.09</v>
      </c>
      <c r="G626" s="306">
        <v>434.66</v>
      </c>
      <c r="H626" s="306" t="s">
        <v>1099</v>
      </c>
      <c r="I626" s="308">
        <v>-3.8999999999999998E-3</v>
      </c>
    </row>
    <row r="627" spans="2:9">
      <c r="B627" s="307">
        <v>44977</v>
      </c>
      <c r="C627" s="306">
        <v>9.7200000000000006</v>
      </c>
      <c r="D627" s="306">
        <v>441.64</v>
      </c>
      <c r="E627" s="306">
        <v>440.44</v>
      </c>
      <c r="F627" s="306">
        <v>443.93</v>
      </c>
      <c r="G627" s="306">
        <v>434.91</v>
      </c>
      <c r="H627" s="306" t="s">
        <v>1056</v>
      </c>
      <c r="I627" s="308">
        <v>7.0000000000000001E-3</v>
      </c>
    </row>
    <row r="628" spans="2:9">
      <c r="B628" s="307">
        <v>44978</v>
      </c>
      <c r="C628" s="306">
        <v>8.9600000000000009</v>
      </c>
      <c r="D628" s="306">
        <v>435.16</v>
      </c>
      <c r="E628" s="306">
        <v>443.83</v>
      </c>
      <c r="F628" s="306">
        <v>443.83</v>
      </c>
      <c r="G628" s="306">
        <v>433.91</v>
      </c>
      <c r="H628" s="306" t="s">
        <v>1003</v>
      </c>
      <c r="I628" s="308">
        <v>-1.47E-2</v>
      </c>
    </row>
    <row r="629" spans="2:9">
      <c r="B629" s="307">
        <v>44979</v>
      </c>
      <c r="C629" s="306">
        <v>7.21</v>
      </c>
      <c r="D629" s="306">
        <v>428.13</v>
      </c>
      <c r="E629" s="306">
        <v>433.96</v>
      </c>
      <c r="F629" s="306">
        <v>434.51</v>
      </c>
      <c r="G629" s="306">
        <v>426.93</v>
      </c>
      <c r="H629" s="306" t="s">
        <v>1100</v>
      </c>
      <c r="I629" s="308">
        <v>-1.6199999999999999E-2</v>
      </c>
    </row>
    <row r="630" spans="2:9">
      <c r="B630" s="307">
        <v>44980</v>
      </c>
      <c r="C630" s="306">
        <v>9.2799999999999994</v>
      </c>
      <c r="D630" s="306">
        <v>431.87</v>
      </c>
      <c r="E630" s="306">
        <v>427.33</v>
      </c>
      <c r="F630" s="306">
        <v>435.11</v>
      </c>
      <c r="G630" s="306">
        <v>425.89</v>
      </c>
      <c r="H630" s="306" t="s">
        <v>1101</v>
      </c>
      <c r="I630" s="308">
        <v>8.6999999999999994E-3</v>
      </c>
    </row>
    <row r="631" spans="2:9">
      <c r="B631" s="307">
        <v>44981</v>
      </c>
      <c r="C631" s="306">
        <v>7.9</v>
      </c>
      <c r="D631" s="306">
        <v>426.43</v>
      </c>
      <c r="E631" s="306">
        <v>434.06</v>
      </c>
      <c r="F631" s="306">
        <v>435.36</v>
      </c>
      <c r="G631" s="306">
        <v>425.69</v>
      </c>
      <c r="H631" s="306" t="s">
        <v>1102</v>
      </c>
      <c r="I631" s="308">
        <v>-1.26E-2</v>
      </c>
    </row>
    <row r="632" spans="2:9">
      <c r="B632" s="307">
        <v>44984</v>
      </c>
      <c r="C632" s="306">
        <v>10.44</v>
      </c>
      <c r="D632" s="306">
        <v>416.66</v>
      </c>
      <c r="E632" s="306">
        <v>426.43</v>
      </c>
      <c r="F632" s="306">
        <v>426.73</v>
      </c>
      <c r="G632" s="306">
        <v>411.78</v>
      </c>
      <c r="H632" s="306" t="s">
        <v>1071</v>
      </c>
      <c r="I632" s="308">
        <v>-2.29E-2</v>
      </c>
    </row>
    <row r="633" spans="2:9">
      <c r="B633" s="307">
        <v>44985</v>
      </c>
      <c r="C633" s="306">
        <v>9.65</v>
      </c>
      <c r="D633" s="306">
        <v>419.41</v>
      </c>
      <c r="E633" s="306">
        <v>417.71</v>
      </c>
      <c r="F633" s="306">
        <v>423.49</v>
      </c>
      <c r="G633" s="306">
        <v>417.71</v>
      </c>
      <c r="H633" s="306" t="s">
        <v>1103</v>
      </c>
      <c r="I633" s="308">
        <v>6.6E-3</v>
      </c>
    </row>
    <row r="634" spans="2:9">
      <c r="B634" s="307">
        <v>44986</v>
      </c>
      <c r="C634" s="306">
        <v>7.6</v>
      </c>
      <c r="D634" s="306">
        <v>424.69</v>
      </c>
      <c r="E634" s="306">
        <v>420.2</v>
      </c>
      <c r="F634" s="306">
        <v>426.68</v>
      </c>
      <c r="G634" s="306">
        <v>420.2</v>
      </c>
      <c r="H634" s="306" t="s">
        <v>1104</v>
      </c>
      <c r="I634" s="308">
        <v>1.26E-2</v>
      </c>
    </row>
    <row r="635" spans="2:9">
      <c r="B635" s="307">
        <v>44987</v>
      </c>
      <c r="C635" s="306">
        <v>5.66</v>
      </c>
      <c r="D635" s="306">
        <v>419.16</v>
      </c>
      <c r="E635" s="306">
        <v>424.69</v>
      </c>
      <c r="F635" s="306">
        <v>424.94</v>
      </c>
      <c r="G635" s="306">
        <v>418.26</v>
      </c>
      <c r="H635" s="306" t="s">
        <v>1105</v>
      </c>
      <c r="I635" s="308">
        <v>-1.2999999999999999E-2</v>
      </c>
    </row>
    <row r="636" spans="2:9">
      <c r="B636" s="307">
        <v>44988</v>
      </c>
      <c r="C636" s="306">
        <v>8.0299999999999994</v>
      </c>
      <c r="D636" s="306">
        <v>426.68</v>
      </c>
      <c r="E636" s="306">
        <v>421.3</v>
      </c>
      <c r="F636" s="306">
        <v>429.18</v>
      </c>
      <c r="G636" s="306">
        <v>420.65</v>
      </c>
      <c r="H636" s="306" t="s">
        <v>1106</v>
      </c>
      <c r="I636" s="308">
        <v>1.7999999999999999E-2</v>
      </c>
    </row>
    <row r="637" spans="2:9">
      <c r="B637" s="307">
        <v>44991</v>
      </c>
      <c r="C637" s="306">
        <v>11.31</v>
      </c>
      <c r="D637" s="306">
        <v>438.75</v>
      </c>
      <c r="E637" s="306">
        <v>429.62</v>
      </c>
      <c r="F637" s="306">
        <v>440.09</v>
      </c>
      <c r="G637" s="306">
        <v>428.68</v>
      </c>
      <c r="H637" s="306" t="s">
        <v>1107</v>
      </c>
      <c r="I637" s="308">
        <v>2.8299999999999999E-2</v>
      </c>
    </row>
    <row r="638" spans="2:9">
      <c r="B638" s="307">
        <v>44993</v>
      </c>
      <c r="C638" s="306">
        <v>7.85</v>
      </c>
      <c r="D638" s="306">
        <v>437.95</v>
      </c>
      <c r="E638" s="306">
        <v>437.65</v>
      </c>
      <c r="F638" s="306">
        <v>439.89</v>
      </c>
      <c r="G638" s="306">
        <v>434.76</v>
      </c>
      <c r="H638" s="306" t="s">
        <v>1108</v>
      </c>
      <c r="I638" s="308">
        <v>-1.8E-3</v>
      </c>
    </row>
    <row r="639" spans="2:9">
      <c r="B639" s="307">
        <v>44994</v>
      </c>
      <c r="C639" s="306">
        <v>5.7</v>
      </c>
      <c r="D639" s="306">
        <v>430.87</v>
      </c>
      <c r="E639" s="306">
        <v>437.75</v>
      </c>
      <c r="F639" s="306">
        <v>440.69</v>
      </c>
      <c r="G639" s="306">
        <v>429.97</v>
      </c>
      <c r="H639" s="306" t="s">
        <v>1109</v>
      </c>
      <c r="I639" s="308">
        <v>-1.6199999999999999E-2</v>
      </c>
    </row>
    <row r="640" spans="2:9">
      <c r="B640" s="307">
        <v>44995</v>
      </c>
      <c r="C640" s="306">
        <v>10.42</v>
      </c>
      <c r="D640" s="306">
        <v>434.51</v>
      </c>
      <c r="E640" s="306">
        <v>431.67</v>
      </c>
      <c r="F640" s="306">
        <v>436.45</v>
      </c>
      <c r="G640" s="306">
        <v>429.48</v>
      </c>
      <c r="H640" s="306" t="s">
        <v>1110</v>
      </c>
      <c r="I640" s="308">
        <v>8.3999999999999995E-3</v>
      </c>
    </row>
    <row r="641" spans="2:9">
      <c r="B641" s="307">
        <v>44998</v>
      </c>
      <c r="C641" s="306">
        <v>8.7799999999999994</v>
      </c>
      <c r="D641" s="306">
        <v>421.1</v>
      </c>
      <c r="E641" s="306">
        <v>434.76</v>
      </c>
      <c r="F641" s="306">
        <v>435.66</v>
      </c>
      <c r="G641" s="306">
        <v>417.81</v>
      </c>
      <c r="H641" s="306" t="s">
        <v>1111</v>
      </c>
      <c r="I641" s="308">
        <v>-3.09E-2</v>
      </c>
    </row>
    <row r="642" spans="2:9">
      <c r="B642" s="307">
        <v>44999</v>
      </c>
      <c r="C642" s="306">
        <v>9.19</v>
      </c>
      <c r="D642" s="306">
        <v>415.37</v>
      </c>
      <c r="E642" s="306">
        <v>421.55</v>
      </c>
      <c r="F642" s="306">
        <v>422.89</v>
      </c>
      <c r="G642" s="306">
        <v>412.13</v>
      </c>
      <c r="H642" s="306" t="s">
        <v>1112</v>
      </c>
      <c r="I642" s="308">
        <v>-1.3599999999999999E-2</v>
      </c>
    </row>
    <row r="643" spans="2:9">
      <c r="B643" s="307">
        <v>45000</v>
      </c>
      <c r="C643" s="306">
        <v>7.68</v>
      </c>
      <c r="D643" s="306">
        <v>410.08</v>
      </c>
      <c r="E643" s="306">
        <v>420.7</v>
      </c>
      <c r="F643" s="306">
        <v>423.69</v>
      </c>
      <c r="G643" s="306">
        <v>408.84</v>
      </c>
      <c r="H643" s="306" t="s">
        <v>1113</v>
      </c>
      <c r="I643" s="308">
        <v>-1.2699999999999999E-2</v>
      </c>
    </row>
    <row r="644" spans="2:9">
      <c r="B644" s="307">
        <v>45001</v>
      </c>
      <c r="C644" s="306">
        <v>11.85</v>
      </c>
      <c r="D644" s="306">
        <v>414.42</v>
      </c>
      <c r="E644" s="306">
        <v>412.03</v>
      </c>
      <c r="F644" s="306">
        <v>417.21</v>
      </c>
      <c r="G644" s="306">
        <v>403.75</v>
      </c>
      <c r="H644" s="306" t="s">
        <v>1114</v>
      </c>
      <c r="I644" s="308">
        <v>1.06E-2</v>
      </c>
    </row>
    <row r="645" spans="2:9">
      <c r="B645" s="307">
        <v>45002</v>
      </c>
      <c r="C645" s="306">
        <v>8.66</v>
      </c>
      <c r="D645" s="306">
        <v>417.71</v>
      </c>
      <c r="E645" s="306">
        <v>417.71</v>
      </c>
      <c r="F645" s="306">
        <v>422.15</v>
      </c>
      <c r="G645" s="306">
        <v>413.27</v>
      </c>
      <c r="H645" s="306" t="s">
        <v>1115</v>
      </c>
      <c r="I645" s="308">
        <v>7.9000000000000008E-3</v>
      </c>
    </row>
    <row r="646" spans="2:9">
      <c r="B646" s="307">
        <v>45005</v>
      </c>
      <c r="C646" s="306">
        <v>10.08</v>
      </c>
      <c r="D646" s="306">
        <v>409.49</v>
      </c>
      <c r="E646" s="306">
        <v>414.32</v>
      </c>
      <c r="F646" s="306">
        <v>415.67</v>
      </c>
      <c r="G646" s="306">
        <v>404.25</v>
      </c>
      <c r="H646" s="306" t="s">
        <v>978</v>
      </c>
      <c r="I646" s="308">
        <v>-1.9699999999999999E-2</v>
      </c>
    </row>
    <row r="647" spans="2:9">
      <c r="B647" s="307">
        <v>45006</v>
      </c>
      <c r="C647" s="306">
        <v>7.39</v>
      </c>
      <c r="D647" s="306">
        <v>411.28</v>
      </c>
      <c r="E647" s="306">
        <v>411.58</v>
      </c>
      <c r="F647" s="306">
        <v>412.63</v>
      </c>
      <c r="G647" s="306">
        <v>406.45</v>
      </c>
      <c r="H647" s="306" t="s">
        <v>1116</v>
      </c>
      <c r="I647" s="308">
        <v>4.4000000000000003E-3</v>
      </c>
    </row>
    <row r="648" spans="2:9">
      <c r="B648" s="307">
        <v>45007</v>
      </c>
      <c r="C648" s="306">
        <v>5.73</v>
      </c>
      <c r="D648" s="306">
        <v>414.82</v>
      </c>
      <c r="E648" s="306">
        <v>414.72</v>
      </c>
      <c r="F648" s="306">
        <v>417.11</v>
      </c>
      <c r="G648" s="306">
        <v>412.48</v>
      </c>
      <c r="H648" s="306" t="s">
        <v>1117</v>
      </c>
      <c r="I648" s="308">
        <v>8.6E-3</v>
      </c>
    </row>
    <row r="649" spans="2:9">
      <c r="B649" s="307">
        <v>45008</v>
      </c>
      <c r="C649" s="306">
        <v>9.82</v>
      </c>
      <c r="D649" s="306">
        <v>417.86</v>
      </c>
      <c r="E649" s="306">
        <v>414.72</v>
      </c>
      <c r="F649" s="306">
        <v>421.2</v>
      </c>
      <c r="G649" s="306">
        <v>414.72</v>
      </c>
      <c r="H649" s="306" t="s">
        <v>1118</v>
      </c>
      <c r="I649" s="308">
        <v>7.3000000000000001E-3</v>
      </c>
    </row>
    <row r="650" spans="2:9">
      <c r="B650" s="307">
        <v>45009</v>
      </c>
      <c r="C650" s="306">
        <v>6.88</v>
      </c>
      <c r="D650" s="306">
        <v>415.22</v>
      </c>
      <c r="E650" s="306">
        <v>417.71</v>
      </c>
      <c r="F650" s="306">
        <v>419.26</v>
      </c>
      <c r="G650" s="306">
        <v>413.52</v>
      </c>
      <c r="H650" s="306" t="s">
        <v>1119</v>
      </c>
      <c r="I650" s="308">
        <v>-6.3E-3</v>
      </c>
    </row>
    <row r="651" spans="2:9">
      <c r="B651" s="307">
        <v>45012</v>
      </c>
      <c r="C651" s="306">
        <v>7.43</v>
      </c>
      <c r="D651" s="306">
        <v>410.78</v>
      </c>
      <c r="E651" s="306">
        <v>414.72</v>
      </c>
      <c r="F651" s="306">
        <v>417.21</v>
      </c>
      <c r="G651" s="306">
        <v>408.99</v>
      </c>
      <c r="H651" s="306" t="s">
        <v>1120</v>
      </c>
      <c r="I651" s="308">
        <v>-1.0699999999999999E-2</v>
      </c>
    </row>
    <row r="652" spans="2:9">
      <c r="B652" s="307">
        <v>45013</v>
      </c>
      <c r="C652" s="306">
        <v>9.5500000000000007</v>
      </c>
      <c r="D652" s="306">
        <v>400.36</v>
      </c>
      <c r="E652" s="306">
        <v>412.88</v>
      </c>
      <c r="F652" s="306">
        <v>413.23</v>
      </c>
      <c r="G652" s="306">
        <v>399.22</v>
      </c>
      <c r="H652" s="306" t="s">
        <v>1121</v>
      </c>
      <c r="I652" s="308">
        <v>-2.5399999999999999E-2</v>
      </c>
    </row>
    <row r="653" spans="2:9">
      <c r="B653" s="307">
        <v>45014</v>
      </c>
      <c r="C653" s="306">
        <v>10.48</v>
      </c>
      <c r="D653" s="306">
        <v>407.94</v>
      </c>
      <c r="E653" s="306">
        <v>400.36</v>
      </c>
      <c r="F653" s="306">
        <v>409.34</v>
      </c>
      <c r="G653" s="306">
        <v>400.36</v>
      </c>
      <c r="H653" s="306" t="s">
        <v>1122</v>
      </c>
      <c r="I653" s="308">
        <v>1.89E-2</v>
      </c>
    </row>
    <row r="654" spans="2:9">
      <c r="B654" s="307">
        <v>45016</v>
      </c>
      <c r="C654" s="306">
        <v>11.04</v>
      </c>
      <c r="D654" s="306">
        <v>419.51</v>
      </c>
      <c r="E654" s="306">
        <v>410.08</v>
      </c>
      <c r="F654" s="306">
        <v>420.45</v>
      </c>
      <c r="G654" s="306">
        <v>409.74</v>
      </c>
      <c r="H654" s="306" t="s">
        <v>1123</v>
      </c>
      <c r="I654" s="308">
        <v>2.8299999999999999E-2</v>
      </c>
    </row>
    <row r="655" spans="2:9">
      <c r="B655" s="307">
        <v>45019</v>
      </c>
      <c r="C655" s="306">
        <v>6.95</v>
      </c>
      <c r="D655" s="306">
        <v>422.95</v>
      </c>
      <c r="E655" s="306">
        <v>421.7</v>
      </c>
      <c r="F655" s="306">
        <v>423.64</v>
      </c>
      <c r="G655" s="306">
        <v>418.21</v>
      </c>
      <c r="H655" s="306" t="s">
        <v>1124</v>
      </c>
      <c r="I655" s="308">
        <v>8.2000000000000007E-3</v>
      </c>
    </row>
    <row r="656" spans="2:9">
      <c r="B656" s="307">
        <v>45021</v>
      </c>
      <c r="C656" s="306">
        <v>8.82</v>
      </c>
      <c r="D656" s="306">
        <v>425.24</v>
      </c>
      <c r="E656" s="306">
        <v>422.95</v>
      </c>
      <c r="F656" s="306">
        <v>427.43</v>
      </c>
      <c r="G656" s="306">
        <v>421.85</v>
      </c>
      <c r="H656" s="306" t="s">
        <v>1125</v>
      </c>
      <c r="I656" s="308">
        <v>5.4000000000000003E-3</v>
      </c>
    </row>
    <row r="657" spans="2:9">
      <c r="B657" s="307">
        <v>45022</v>
      </c>
      <c r="C657" s="306">
        <v>10.91</v>
      </c>
      <c r="D657" s="306">
        <v>436.3</v>
      </c>
      <c r="E657" s="306">
        <v>425.19</v>
      </c>
      <c r="F657" s="306">
        <v>437.95</v>
      </c>
      <c r="G657" s="306">
        <v>422.45</v>
      </c>
      <c r="H657" s="306" t="s">
        <v>1126</v>
      </c>
      <c r="I657" s="308">
        <v>2.5999999999999999E-2</v>
      </c>
    </row>
    <row r="658" spans="2:9">
      <c r="B658" s="307">
        <v>45026</v>
      </c>
      <c r="C658" s="306">
        <v>50.46</v>
      </c>
      <c r="D658" s="306">
        <v>459.88</v>
      </c>
      <c r="E658" s="306">
        <v>450.66</v>
      </c>
      <c r="F658" s="306">
        <v>471.84</v>
      </c>
      <c r="G658" s="306">
        <v>450.61</v>
      </c>
      <c r="H658" s="306" t="s">
        <v>812</v>
      </c>
      <c r="I658" s="308">
        <v>5.3999999999999999E-2</v>
      </c>
    </row>
    <row r="659" spans="2:9">
      <c r="B659" s="307">
        <v>45027</v>
      </c>
      <c r="C659" s="306">
        <v>14.5</v>
      </c>
      <c r="D659" s="306">
        <v>457.29</v>
      </c>
      <c r="E659" s="306">
        <v>462.32</v>
      </c>
      <c r="F659" s="306">
        <v>462.32</v>
      </c>
      <c r="G659" s="306">
        <v>454.4</v>
      </c>
      <c r="H659" s="306" t="s">
        <v>1127</v>
      </c>
      <c r="I659" s="308">
        <v>-5.5999999999999999E-3</v>
      </c>
    </row>
    <row r="660" spans="2:9">
      <c r="B660" s="307">
        <v>45028</v>
      </c>
      <c r="C660" s="306">
        <v>13.55</v>
      </c>
      <c r="D660" s="306">
        <v>464.07</v>
      </c>
      <c r="E660" s="306">
        <v>457.94</v>
      </c>
      <c r="F660" s="306">
        <v>467.16</v>
      </c>
      <c r="G660" s="306">
        <v>456.79</v>
      </c>
      <c r="H660" s="306" t="s">
        <v>1128</v>
      </c>
      <c r="I660" s="308">
        <v>1.4800000000000001E-2</v>
      </c>
    </row>
    <row r="661" spans="2:9">
      <c r="B661" s="307">
        <v>45029</v>
      </c>
      <c r="C661" s="306">
        <v>12.73</v>
      </c>
      <c r="D661" s="306">
        <v>468.06</v>
      </c>
      <c r="E661" s="306">
        <v>463.52</v>
      </c>
      <c r="F661" s="306">
        <v>470.55</v>
      </c>
      <c r="G661" s="306">
        <v>461.83</v>
      </c>
      <c r="H661" s="306" t="s">
        <v>1129</v>
      </c>
      <c r="I661" s="308">
        <v>8.6E-3</v>
      </c>
    </row>
    <row r="662" spans="2:9">
      <c r="B662" s="307">
        <v>45033</v>
      </c>
      <c r="C662" s="306">
        <v>10.71</v>
      </c>
      <c r="D662" s="306">
        <v>470.7</v>
      </c>
      <c r="E662" s="306">
        <v>469.55</v>
      </c>
      <c r="F662" s="306">
        <v>471.55</v>
      </c>
      <c r="G662" s="306">
        <v>464.37</v>
      </c>
      <c r="H662" s="306" t="s">
        <v>1130</v>
      </c>
      <c r="I662" s="308">
        <v>5.5999999999999999E-3</v>
      </c>
    </row>
    <row r="663" spans="2:9">
      <c r="B663" s="307">
        <v>45034</v>
      </c>
      <c r="C663" s="306">
        <v>16.14</v>
      </c>
      <c r="D663" s="306">
        <v>471.55</v>
      </c>
      <c r="E663" s="306">
        <v>473.54</v>
      </c>
      <c r="F663" s="306">
        <v>481.86</v>
      </c>
      <c r="G663" s="306">
        <v>466.66</v>
      </c>
      <c r="H663" s="306" t="s">
        <v>1131</v>
      </c>
      <c r="I663" s="308">
        <v>1.8E-3</v>
      </c>
    </row>
    <row r="664" spans="2:9">
      <c r="B664" s="307">
        <v>45035</v>
      </c>
      <c r="C664" s="306">
        <v>7.37</v>
      </c>
      <c r="D664" s="306">
        <v>467.96</v>
      </c>
      <c r="E664" s="306">
        <v>471.55</v>
      </c>
      <c r="F664" s="306">
        <v>474.04</v>
      </c>
      <c r="G664" s="306">
        <v>466.41</v>
      </c>
      <c r="H664" s="306" t="s">
        <v>1132</v>
      </c>
      <c r="I664" s="308">
        <v>-7.6E-3</v>
      </c>
    </row>
    <row r="665" spans="2:9">
      <c r="B665" s="307">
        <v>45036</v>
      </c>
      <c r="C665" s="306">
        <v>14.26</v>
      </c>
      <c r="D665" s="306">
        <v>475.33</v>
      </c>
      <c r="E665" s="306">
        <v>472.24</v>
      </c>
      <c r="F665" s="306">
        <v>478.22</v>
      </c>
      <c r="G665" s="306">
        <v>467.96</v>
      </c>
      <c r="H665" s="306" t="s">
        <v>1133</v>
      </c>
      <c r="I665" s="308">
        <v>1.5800000000000002E-2</v>
      </c>
    </row>
    <row r="666" spans="2:9">
      <c r="B666" s="307">
        <v>45037</v>
      </c>
      <c r="C666" s="306">
        <v>8.48</v>
      </c>
      <c r="D666" s="306">
        <v>469.75</v>
      </c>
      <c r="E666" s="306">
        <v>475.23</v>
      </c>
      <c r="F666" s="306">
        <v>475.23</v>
      </c>
      <c r="G666" s="306">
        <v>465.76</v>
      </c>
      <c r="H666" s="306" t="s">
        <v>1134</v>
      </c>
      <c r="I666" s="308">
        <v>-1.17E-2</v>
      </c>
    </row>
    <row r="667" spans="2:9">
      <c r="B667" s="307">
        <v>45040</v>
      </c>
      <c r="C667" s="306">
        <v>8.02</v>
      </c>
      <c r="D667" s="306">
        <v>473.74</v>
      </c>
      <c r="E667" s="306">
        <v>469.75</v>
      </c>
      <c r="F667" s="306">
        <v>474.54</v>
      </c>
      <c r="G667" s="306">
        <v>466.86</v>
      </c>
      <c r="H667" s="306" t="s">
        <v>1135</v>
      </c>
      <c r="I667" s="308">
        <v>8.5000000000000006E-3</v>
      </c>
    </row>
    <row r="668" spans="2:9">
      <c r="B668" s="307">
        <v>45041</v>
      </c>
      <c r="C668" s="306">
        <v>6.89</v>
      </c>
      <c r="D668" s="306">
        <v>472.09</v>
      </c>
      <c r="E668" s="306">
        <v>473.74</v>
      </c>
      <c r="F668" s="306">
        <v>474.93</v>
      </c>
      <c r="G668" s="306">
        <v>470.45</v>
      </c>
      <c r="H668" s="306" t="s">
        <v>1136</v>
      </c>
      <c r="I668" s="308">
        <v>-3.5000000000000001E-3</v>
      </c>
    </row>
    <row r="669" spans="2:9">
      <c r="B669" s="307">
        <v>45042</v>
      </c>
      <c r="C669" s="306">
        <v>7.79</v>
      </c>
      <c r="D669" s="306">
        <v>476.73</v>
      </c>
      <c r="E669" s="306">
        <v>471.55</v>
      </c>
      <c r="F669" s="306">
        <v>478.02</v>
      </c>
      <c r="G669" s="306">
        <v>471.15</v>
      </c>
      <c r="H669" s="306" t="s">
        <v>1137</v>
      </c>
      <c r="I669" s="308">
        <v>9.7999999999999997E-3</v>
      </c>
    </row>
    <row r="670" spans="2:9">
      <c r="B670" s="307">
        <v>45043</v>
      </c>
      <c r="C670" s="306">
        <v>7.09</v>
      </c>
      <c r="D670" s="306">
        <v>480.12</v>
      </c>
      <c r="E670" s="306">
        <v>477.03</v>
      </c>
      <c r="F670" s="306">
        <v>480.52</v>
      </c>
      <c r="G670" s="306">
        <v>475.03</v>
      </c>
      <c r="H670" s="306" t="s">
        <v>1138</v>
      </c>
      <c r="I670" s="308">
        <v>7.1000000000000004E-3</v>
      </c>
    </row>
    <row r="671" spans="2:9">
      <c r="B671" s="307">
        <v>45044</v>
      </c>
      <c r="C671" s="306">
        <v>9.9499999999999993</v>
      </c>
      <c r="D671" s="306">
        <v>483.46</v>
      </c>
      <c r="E671" s="306">
        <v>479.92</v>
      </c>
      <c r="F671" s="306">
        <v>486.5</v>
      </c>
      <c r="G671" s="306">
        <v>476.88</v>
      </c>
      <c r="H671" s="306" t="s">
        <v>1139</v>
      </c>
      <c r="I671" s="308">
        <v>7.0000000000000001E-3</v>
      </c>
    </row>
    <row r="672" spans="2:9">
      <c r="B672" s="307">
        <v>45048</v>
      </c>
      <c r="C672" s="306">
        <v>11.54</v>
      </c>
      <c r="D672" s="306">
        <v>478.77</v>
      </c>
      <c r="E672" s="306">
        <v>481.02</v>
      </c>
      <c r="F672" s="306">
        <v>482.51</v>
      </c>
      <c r="G672" s="306">
        <v>473.09</v>
      </c>
      <c r="H672" s="306" t="s">
        <v>1140</v>
      </c>
      <c r="I672" s="308">
        <v>-9.7000000000000003E-3</v>
      </c>
    </row>
    <row r="673" spans="2:9">
      <c r="B673" s="307">
        <v>45049</v>
      </c>
      <c r="C673" s="306">
        <v>8.5299999999999994</v>
      </c>
      <c r="D673" s="306">
        <v>482.21</v>
      </c>
      <c r="E673" s="306">
        <v>478.77</v>
      </c>
      <c r="F673" s="306">
        <v>483.61</v>
      </c>
      <c r="G673" s="306">
        <v>476.28</v>
      </c>
      <c r="H673" s="306" t="s">
        <v>1141</v>
      </c>
      <c r="I673" s="308">
        <v>7.1999999999999998E-3</v>
      </c>
    </row>
    <row r="674" spans="2:9">
      <c r="B674" s="307">
        <v>45050</v>
      </c>
      <c r="C674" s="306">
        <v>5.65</v>
      </c>
      <c r="D674" s="306">
        <v>479.32</v>
      </c>
      <c r="E674" s="306">
        <v>482.11</v>
      </c>
      <c r="F674" s="306">
        <v>484.9</v>
      </c>
      <c r="G674" s="306">
        <v>477.28</v>
      </c>
      <c r="H674" s="306" t="s">
        <v>1142</v>
      </c>
      <c r="I674" s="308">
        <v>-6.0000000000000001E-3</v>
      </c>
    </row>
    <row r="675" spans="2:9">
      <c r="B675" s="307">
        <v>45051</v>
      </c>
      <c r="C675" s="306">
        <v>4.83</v>
      </c>
      <c r="D675" s="306">
        <v>475.63</v>
      </c>
      <c r="E675" s="306">
        <v>480.17</v>
      </c>
      <c r="F675" s="306">
        <v>483.21</v>
      </c>
      <c r="G675" s="306">
        <v>474.68</v>
      </c>
      <c r="H675" s="306" t="s">
        <v>1143</v>
      </c>
      <c r="I675" s="308">
        <v>-7.7000000000000002E-3</v>
      </c>
    </row>
    <row r="676" spans="2:9">
      <c r="B676" s="307">
        <v>45054</v>
      </c>
      <c r="C676" s="306">
        <v>23.52</v>
      </c>
      <c r="D676" s="306">
        <v>498.96</v>
      </c>
      <c r="E676" s="306">
        <v>478.52</v>
      </c>
      <c r="F676" s="306">
        <v>500.76</v>
      </c>
      <c r="G676" s="306">
        <v>476.63</v>
      </c>
      <c r="H676" s="306" t="s">
        <v>1144</v>
      </c>
      <c r="I676" s="308">
        <v>4.9000000000000002E-2</v>
      </c>
    </row>
    <row r="677" spans="2:9">
      <c r="B677" s="307">
        <v>45055</v>
      </c>
      <c r="C677" s="306">
        <v>19.82</v>
      </c>
      <c r="D677" s="306">
        <v>502.1</v>
      </c>
      <c r="E677" s="306">
        <v>500.46</v>
      </c>
      <c r="F677" s="306">
        <v>511.22</v>
      </c>
      <c r="G677" s="306">
        <v>500.01</v>
      </c>
      <c r="H677" s="306" t="s">
        <v>1145</v>
      </c>
      <c r="I677" s="308">
        <v>6.3E-3</v>
      </c>
    </row>
    <row r="678" spans="2:9">
      <c r="B678" s="307">
        <v>45056</v>
      </c>
      <c r="C678" s="306">
        <v>12.48</v>
      </c>
      <c r="D678" s="306">
        <v>507.93</v>
      </c>
      <c r="E678" s="306">
        <v>506.44</v>
      </c>
      <c r="F678" s="306">
        <v>511.32</v>
      </c>
      <c r="G678" s="306">
        <v>502.8</v>
      </c>
      <c r="H678" s="306" t="s">
        <v>1076</v>
      </c>
      <c r="I678" s="308">
        <v>1.1599999999999999E-2</v>
      </c>
    </row>
    <row r="679" spans="2:9">
      <c r="B679" s="307">
        <v>45057</v>
      </c>
      <c r="C679" s="306">
        <v>11.45</v>
      </c>
      <c r="D679" s="306">
        <v>510.03</v>
      </c>
      <c r="E679" s="306">
        <v>510.42</v>
      </c>
      <c r="F679" s="306">
        <v>512.57000000000005</v>
      </c>
      <c r="G679" s="306">
        <v>503.95</v>
      </c>
      <c r="H679" s="306" t="s">
        <v>1146</v>
      </c>
      <c r="I679" s="308">
        <v>4.1000000000000003E-3</v>
      </c>
    </row>
    <row r="680" spans="2:9">
      <c r="B680" s="307">
        <v>45058</v>
      </c>
      <c r="C680" s="306">
        <v>19.77</v>
      </c>
      <c r="D680" s="306">
        <v>514.36</v>
      </c>
      <c r="E680" s="306">
        <v>512.32000000000005</v>
      </c>
      <c r="F680" s="306">
        <v>518.9</v>
      </c>
      <c r="G680" s="306">
        <v>508.73</v>
      </c>
      <c r="H680" s="306" t="s">
        <v>1147</v>
      </c>
      <c r="I680" s="308">
        <v>8.5000000000000006E-3</v>
      </c>
    </row>
    <row r="681" spans="2:9">
      <c r="B681" s="307">
        <v>45061</v>
      </c>
      <c r="C681" s="306">
        <v>38.270000000000003</v>
      </c>
      <c r="D681" s="306">
        <v>529.22</v>
      </c>
      <c r="E681" s="306">
        <v>522.24</v>
      </c>
      <c r="F681" s="306">
        <v>535.5</v>
      </c>
      <c r="G681" s="306">
        <v>519.9</v>
      </c>
      <c r="H681" s="306" t="s">
        <v>1148</v>
      </c>
      <c r="I681" s="308">
        <v>2.8899999999999999E-2</v>
      </c>
    </row>
    <row r="682" spans="2:9">
      <c r="B682" s="307">
        <v>45062</v>
      </c>
      <c r="C682" s="306">
        <v>16.510000000000002</v>
      </c>
      <c r="D682" s="306">
        <v>519.54999999999995</v>
      </c>
      <c r="E682" s="306">
        <v>532.30999999999995</v>
      </c>
      <c r="F682" s="306">
        <v>534.29999999999995</v>
      </c>
      <c r="G682" s="306">
        <v>517.25</v>
      </c>
      <c r="H682" s="306" t="s">
        <v>1149</v>
      </c>
      <c r="I682" s="308">
        <v>-1.83E-2</v>
      </c>
    </row>
    <row r="683" spans="2:9">
      <c r="B683" s="307">
        <v>45063</v>
      </c>
      <c r="C683" s="306">
        <v>13.68</v>
      </c>
      <c r="D683" s="306">
        <v>513.91</v>
      </c>
      <c r="E683" s="306">
        <v>520.89</v>
      </c>
      <c r="F683" s="306">
        <v>522.34</v>
      </c>
      <c r="G683" s="306">
        <v>510.92</v>
      </c>
      <c r="H683" s="306" t="s">
        <v>1150</v>
      </c>
      <c r="I683" s="308">
        <v>-1.0800000000000001E-2</v>
      </c>
    </row>
    <row r="684" spans="2:9">
      <c r="B684" s="307">
        <v>45064</v>
      </c>
      <c r="C684" s="306">
        <v>12.29</v>
      </c>
      <c r="D684" s="306">
        <v>506.89</v>
      </c>
      <c r="E684" s="306">
        <v>517.20000000000005</v>
      </c>
      <c r="F684" s="306">
        <v>519.29999999999995</v>
      </c>
      <c r="G684" s="306">
        <v>505.54</v>
      </c>
      <c r="H684" s="306" t="s">
        <v>1151</v>
      </c>
      <c r="I684" s="308">
        <v>-1.37E-2</v>
      </c>
    </row>
    <row r="685" spans="2:9">
      <c r="B685" s="307">
        <v>45065</v>
      </c>
      <c r="C685" s="306">
        <v>19.34</v>
      </c>
      <c r="D685" s="306">
        <v>523.34</v>
      </c>
      <c r="E685" s="306">
        <v>508.23</v>
      </c>
      <c r="F685" s="306">
        <v>524.78</v>
      </c>
      <c r="G685" s="306">
        <v>503.2</v>
      </c>
      <c r="H685" s="306" t="s">
        <v>1001</v>
      </c>
      <c r="I685" s="308">
        <v>3.2500000000000001E-2</v>
      </c>
    </row>
    <row r="686" spans="2:9">
      <c r="B686" s="307">
        <v>45068</v>
      </c>
      <c r="C686" s="306">
        <v>9.98</v>
      </c>
      <c r="D686" s="306">
        <v>520.89</v>
      </c>
      <c r="E686" s="306">
        <v>523.34</v>
      </c>
      <c r="F686" s="306">
        <v>525.38</v>
      </c>
      <c r="G686" s="306">
        <v>517.75</v>
      </c>
      <c r="H686" s="306" t="s">
        <v>1152</v>
      </c>
      <c r="I686" s="308">
        <v>-4.7000000000000002E-3</v>
      </c>
    </row>
    <row r="687" spans="2:9">
      <c r="B687" s="307">
        <v>45069</v>
      </c>
      <c r="C687" s="306">
        <v>12.26</v>
      </c>
      <c r="D687" s="306">
        <v>526.87</v>
      </c>
      <c r="E687" s="306">
        <v>520.89</v>
      </c>
      <c r="F687" s="306">
        <v>529.37</v>
      </c>
      <c r="G687" s="306">
        <v>519.54999999999995</v>
      </c>
      <c r="H687" s="306" t="s">
        <v>1153</v>
      </c>
      <c r="I687" s="308">
        <v>1.15E-2</v>
      </c>
    </row>
    <row r="688" spans="2:9">
      <c r="B688" s="307">
        <v>45070</v>
      </c>
      <c r="C688" s="306">
        <v>7.65</v>
      </c>
      <c r="D688" s="306">
        <v>518.6</v>
      </c>
      <c r="E688" s="306">
        <v>525.53</v>
      </c>
      <c r="F688" s="306">
        <v>528.02</v>
      </c>
      <c r="G688" s="306">
        <v>517.54999999999995</v>
      </c>
      <c r="H688" s="306" t="s">
        <v>1154</v>
      </c>
      <c r="I688" s="308">
        <v>-1.5699999999999999E-2</v>
      </c>
    </row>
    <row r="689" spans="2:9">
      <c r="B689" s="307">
        <v>45071</v>
      </c>
      <c r="C689" s="306">
        <v>11.54</v>
      </c>
      <c r="D689" s="306">
        <v>513.27</v>
      </c>
      <c r="E689" s="306">
        <v>516.41</v>
      </c>
      <c r="F689" s="306">
        <v>516.41</v>
      </c>
      <c r="G689" s="306">
        <v>507.53</v>
      </c>
      <c r="H689" s="306" t="s">
        <v>1140</v>
      </c>
      <c r="I689" s="308">
        <v>-1.03E-2</v>
      </c>
    </row>
    <row r="690" spans="2:9">
      <c r="B690" s="307">
        <v>45072</v>
      </c>
      <c r="C690" s="306">
        <v>8.36</v>
      </c>
      <c r="D690" s="306">
        <v>516.85</v>
      </c>
      <c r="E690" s="306">
        <v>513.32000000000005</v>
      </c>
      <c r="F690" s="306">
        <v>518.15</v>
      </c>
      <c r="G690" s="306">
        <v>510.62</v>
      </c>
      <c r="H690" s="306" t="s">
        <v>1155</v>
      </c>
      <c r="I690" s="308">
        <v>7.0000000000000001E-3</v>
      </c>
    </row>
    <row r="691" spans="2:9">
      <c r="B691" s="307">
        <v>45075</v>
      </c>
      <c r="C691" s="306">
        <v>6.6</v>
      </c>
      <c r="D691" s="306">
        <v>519.85</v>
      </c>
      <c r="E691" s="306">
        <v>523.39</v>
      </c>
      <c r="F691" s="306">
        <v>523.48</v>
      </c>
      <c r="G691" s="306">
        <v>518.1</v>
      </c>
      <c r="H691" s="306" t="s">
        <v>1156</v>
      </c>
      <c r="I691" s="308">
        <v>5.7999999999999996E-3</v>
      </c>
    </row>
    <row r="692" spans="2:9">
      <c r="B692" s="307">
        <v>45076</v>
      </c>
      <c r="C692" s="306">
        <v>5.13</v>
      </c>
      <c r="D692" s="306">
        <v>517.20000000000005</v>
      </c>
      <c r="E692" s="306">
        <v>519.85</v>
      </c>
      <c r="F692" s="306">
        <v>521.89</v>
      </c>
      <c r="G692" s="306">
        <v>516.41</v>
      </c>
      <c r="H692" s="306" t="s">
        <v>1157</v>
      </c>
      <c r="I692" s="308">
        <v>-5.1000000000000004E-3</v>
      </c>
    </row>
    <row r="693" spans="2:9">
      <c r="B693" s="307">
        <v>45077</v>
      </c>
      <c r="C693" s="306">
        <v>12.33</v>
      </c>
      <c r="D693" s="306">
        <v>524.67999999999995</v>
      </c>
      <c r="E693" s="306">
        <v>518.35</v>
      </c>
      <c r="F693" s="306">
        <v>525.88</v>
      </c>
      <c r="G693" s="306">
        <v>514.80999999999995</v>
      </c>
      <c r="H693" s="306" t="s">
        <v>1158</v>
      </c>
      <c r="I693" s="308">
        <v>1.4500000000000001E-2</v>
      </c>
    </row>
    <row r="694" spans="2:9">
      <c r="B694" s="307">
        <v>45078</v>
      </c>
      <c r="C694" s="306">
        <v>12.51</v>
      </c>
      <c r="D694" s="306">
        <v>533.54999999999995</v>
      </c>
      <c r="E694" s="306">
        <v>525.88</v>
      </c>
      <c r="F694" s="306">
        <v>534.6</v>
      </c>
      <c r="G694" s="306">
        <v>521.24</v>
      </c>
      <c r="H694" s="306" t="s">
        <v>976</v>
      </c>
      <c r="I694" s="308">
        <v>1.6899999999999998E-2</v>
      </c>
    </row>
    <row r="695" spans="2:9">
      <c r="B695" s="307">
        <v>45079</v>
      </c>
      <c r="C695" s="306">
        <v>12.29</v>
      </c>
      <c r="D695" s="306">
        <v>534.25</v>
      </c>
      <c r="E695" s="306">
        <v>535.35</v>
      </c>
      <c r="F695" s="306">
        <v>539.59</v>
      </c>
      <c r="G695" s="306">
        <v>531.11</v>
      </c>
      <c r="H695" s="306" t="s">
        <v>1151</v>
      </c>
      <c r="I695" s="308">
        <v>1.2999999999999999E-3</v>
      </c>
    </row>
    <row r="696" spans="2:9">
      <c r="B696" s="307">
        <v>45082</v>
      </c>
      <c r="C696" s="306">
        <v>15.01</v>
      </c>
      <c r="D696" s="306">
        <v>544.57000000000005</v>
      </c>
      <c r="E696" s="306">
        <v>537.34</v>
      </c>
      <c r="F696" s="306">
        <v>547.11</v>
      </c>
      <c r="G696" s="306">
        <v>536.24</v>
      </c>
      <c r="H696" s="306" t="s">
        <v>1159</v>
      </c>
      <c r="I696" s="308">
        <v>1.9300000000000001E-2</v>
      </c>
    </row>
    <row r="697" spans="2:9">
      <c r="B697" s="307">
        <v>45083</v>
      </c>
      <c r="C697" s="306">
        <v>15.4</v>
      </c>
      <c r="D697" s="306">
        <v>554.04</v>
      </c>
      <c r="E697" s="306">
        <v>547.76</v>
      </c>
      <c r="F697" s="306">
        <v>555.29</v>
      </c>
      <c r="G697" s="306">
        <v>543.66999999999996</v>
      </c>
      <c r="H697" s="306" t="s">
        <v>1160</v>
      </c>
      <c r="I697" s="308">
        <v>1.7399999999999999E-2</v>
      </c>
    </row>
    <row r="698" spans="2:9">
      <c r="B698" s="307">
        <v>45084</v>
      </c>
      <c r="C698" s="306">
        <v>20.86</v>
      </c>
      <c r="D698" s="306">
        <v>566.20000000000005</v>
      </c>
      <c r="E698" s="306">
        <v>557.08000000000004</v>
      </c>
      <c r="F698" s="306">
        <v>573.23</v>
      </c>
      <c r="G698" s="306">
        <v>550.45000000000005</v>
      </c>
      <c r="H698" s="306" t="s">
        <v>1161</v>
      </c>
      <c r="I698" s="308">
        <v>2.1999999999999999E-2</v>
      </c>
    </row>
    <row r="699" spans="2:9">
      <c r="B699" s="307">
        <v>45085</v>
      </c>
      <c r="C699" s="306">
        <v>21.53</v>
      </c>
      <c r="D699" s="306">
        <v>557.98</v>
      </c>
      <c r="E699" s="306">
        <v>568.25</v>
      </c>
      <c r="F699" s="306">
        <v>574.78</v>
      </c>
      <c r="G699" s="306">
        <v>555.29</v>
      </c>
      <c r="H699" s="306" t="s">
        <v>1162</v>
      </c>
      <c r="I699" s="308">
        <v>-1.4500000000000001E-2</v>
      </c>
    </row>
    <row r="700" spans="2:9">
      <c r="B700" s="307">
        <v>45086</v>
      </c>
      <c r="C700" s="306">
        <v>9.36</v>
      </c>
      <c r="D700" s="306">
        <v>560.57000000000005</v>
      </c>
      <c r="E700" s="306">
        <v>562.66</v>
      </c>
      <c r="F700" s="306">
        <v>564.71</v>
      </c>
      <c r="G700" s="306">
        <v>557.58000000000004</v>
      </c>
      <c r="H700" s="306" t="s">
        <v>1163</v>
      </c>
      <c r="I700" s="308">
        <v>4.5999999999999999E-3</v>
      </c>
    </row>
    <row r="701" spans="2:9">
      <c r="B701" s="307">
        <v>45089</v>
      </c>
      <c r="C701" s="306">
        <v>7.6</v>
      </c>
      <c r="D701" s="306">
        <v>562.41</v>
      </c>
      <c r="E701" s="306">
        <v>565.26</v>
      </c>
      <c r="F701" s="306">
        <v>567.15</v>
      </c>
      <c r="G701" s="306">
        <v>558.91999999999996</v>
      </c>
      <c r="H701" s="306" t="s">
        <v>1104</v>
      </c>
      <c r="I701" s="308">
        <v>3.3E-3</v>
      </c>
    </row>
    <row r="702" spans="2:9">
      <c r="B702" s="307">
        <v>45090</v>
      </c>
      <c r="C702" s="306">
        <v>12.85</v>
      </c>
      <c r="D702" s="306">
        <v>560.47</v>
      </c>
      <c r="E702" s="306">
        <v>565.95000000000005</v>
      </c>
      <c r="F702" s="306">
        <v>569.29</v>
      </c>
      <c r="G702" s="306">
        <v>559.03</v>
      </c>
      <c r="H702" s="306" t="s">
        <v>1164</v>
      </c>
      <c r="I702" s="308">
        <v>-3.5000000000000001E-3</v>
      </c>
    </row>
    <row r="703" spans="2:9">
      <c r="B703" s="307">
        <v>45091</v>
      </c>
      <c r="C703" s="306">
        <v>12.71</v>
      </c>
      <c r="D703" s="306">
        <v>568.54999999999995</v>
      </c>
      <c r="E703" s="306">
        <v>564.26</v>
      </c>
      <c r="F703" s="306">
        <v>569.44000000000005</v>
      </c>
      <c r="G703" s="306">
        <v>562.27</v>
      </c>
      <c r="H703" s="306" t="s">
        <v>1165</v>
      </c>
      <c r="I703" s="308">
        <v>1.44E-2</v>
      </c>
    </row>
    <row r="704" spans="2:9">
      <c r="B704" s="307">
        <v>45092</v>
      </c>
      <c r="C704" s="306">
        <v>12.48</v>
      </c>
      <c r="D704" s="306">
        <v>566.70000000000005</v>
      </c>
      <c r="E704" s="306">
        <v>570.04</v>
      </c>
      <c r="F704" s="306">
        <v>573.23</v>
      </c>
      <c r="G704" s="306">
        <v>566</v>
      </c>
      <c r="H704" s="306" t="s">
        <v>1076</v>
      </c>
      <c r="I704" s="308">
        <v>-3.2000000000000002E-3</v>
      </c>
    </row>
    <row r="705" spans="2:9">
      <c r="B705" s="307">
        <v>45093</v>
      </c>
      <c r="C705" s="306">
        <v>8.74</v>
      </c>
      <c r="D705" s="306">
        <v>568.04999999999995</v>
      </c>
      <c r="E705" s="306">
        <v>567.9</v>
      </c>
      <c r="F705" s="306">
        <v>570.44000000000005</v>
      </c>
      <c r="G705" s="306">
        <v>564.30999999999995</v>
      </c>
      <c r="H705" s="306" t="s">
        <v>1166</v>
      </c>
      <c r="I705" s="308">
        <v>2.3999999999999998E-3</v>
      </c>
    </row>
    <row r="706" spans="2:9">
      <c r="B706" s="307">
        <v>45096</v>
      </c>
      <c r="C706" s="306">
        <v>6.28</v>
      </c>
      <c r="D706" s="306">
        <v>564.30999999999995</v>
      </c>
      <c r="E706" s="306">
        <v>568.9</v>
      </c>
      <c r="F706" s="306">
        <v>571.44000000000005</v>
      </c>
      <c r="G706" s="306">
        <v>562.47</v>
      </c>
      <c r="H706" s="306" t="s">
        <v>1167</v>
      </c>
      <c r="I706" s="308">
        <v>-6.6E-3</v>
      </c>
    </row>
    <row r="707" spans="2:9">
      <c r="B707" s="307">
        <v>45097</v>
      </c>
      <c r="C707" s="306">
        <v>18.07</v>
      </c>
      <c r="D707" s="306">
        <v>581.46</v>
      </c>
      <c r="E707" s="306">
        <v>564.30999999999995</v>
      </c>
      <c r="F707" s="306">
        <v>582.15</v>
      </c>
      <c r="G707" s="306">
        <v>560.77</v>
      </c>
      <c r="H707" s="306" t="s">
        <v>1168</v>
      </c>
      <c r="I707" s="308">
        <v>3.04E-2</v>
      </c>
    </row>
    <row r="708" spans="2:9">
      <c r="B708" s="307">
        <v>45098</v>
      </c>
      <c r="C708" s="306">
        <v>9.15</v>
      </c>
      <c r="D708" s="306">
        <v>579.61</v>
      </c>
      <c r="E708" s="306">
        <v>583.15</v>
      </c>
      <c r="F708" s="306">
        <v>584.1</v>
      </c>
      <c r="G708" s="306">
        <v>572.73</v>
      </c>
      <c r="H708" s="306" t="s">
        <v>1169</v>
      </c>
      <c r="I708" s="308">
        <v>-3.2000000000000002E-3</v>
      </c>
    </row>
    <row r="709" spans="2:9">
      <c r="B709" s="307">
        <v>45099</v>
      </c>
      <c r="C709" s="306">
        <v>11.23</v>
      </c>
      <c r="D709" s="306">
        <v>567.6</v>
      </c>
      <c r="E709" s="306">
        <v>582.20000000000005</v>
      </c>
      <c r="F709" s="306">
        <v>582.9</v>
      </c>
      <c r="G709" s="306">
        <v>566.45000000000005</v>
      </c>
      <c r="H709" s="306" t="s">
        <v>1170</v>
      </c>
      <c r="I709" s="308">
        <v>-2.07E-2</v>
      </c>
    </row>
    <row r="710" spans="2:9">
      <c r="B710" s="307">
        <v>45100</v>
      </c>
      <c r="C710" s="306">
        <v>9.36</v>
      </c>
      <c r="D710" s="306">
        <v>557.92999999999995</v>
      </c>
      <c r="E710" s="306">
        <v>568.25</v>
      </c>
      <c r="F710" s="306">
        <v>569.39</v>
      </c>
      <c r="G710" s="306">
        <v>555.98</v>
      </c>
      <c r="H710" s="306" t="s">
        <v>1163</v>
      </c>
      <c r="I710" s="308">
        <v>-1.7000000000000001E-2</v>
      </c>
    </row>
    <row r="711" spans="2:9">
      <c r="B711" s="307">
        <v>45103</v>
      </c>
      <c r="C711" s="306">
        <v>6.99</v>
      </c>
      <c r="D711" s="306">
        <v>566.1</v>
      </c>
      <c r="E711" s="306">
        <v>558.28</v>
      </c>
      <c r="F711" s="306">
        <v>567.25</v>
      </c>
      <c r="G711" s="306">
        <v>556.08000000000004</v>
      </c>
      <c r="H711" s="306" t="s">
        <v>1171</v>
      </c>
      <c r="I711" s="308">
        <v>1.47E-2</v>
      </c>
    </row>
    <row r="712" spans="2:9">
      <c r="B712" s="307">
        <v>45104</v>
      </c>
      <c r="C712" s="306">
        <v>9.4</v>
      </c>
      <c r="D712" s="306">
        <v>571.34</v>
      </c>
      <c r="E712" s="306">
        <v>568.25</v>
      </c>
      <c r="F712" s="306">
        <v>575.13</v>
      </c>
      <c r="G712" s="306">
        <v>566.70000000000005</v>
      </c>
      <c r="H712" s="306" t="s">
        <v>1172</v>
      </c>
      <c r="I712" s="308">
        <v>9.1999999999999998E-3</v>
      </c>
    </row>
    <row r="713" spans="2:9">
      <c r="B713" s="307">
        <v>45105</v>
      </c>
      <c r="C713" s="306">
        <v>16.72</v>
      </c>
      <c r="D713" s="306">
        <v>584.84</v>
      </c>
      <c r="E713" s="306">
        <v>577.22</v>
      </c>
      <c r="F713" s="306">
        <v>588.17999999999995</v>
      </c>
      <c r="G713" s="306">
        <v>573.73</v>
      </c>
      <c r="H713" s="306" t="s">
        <v>1173</v>
      </c>
      <c r="I713" s="308">
        <v>2.3599999999999999E-2</v>
      </c>
    </row>
    <row r="714" spans="2:9">
      <c r="B714" s="307">
        <v>45107</v>
      </c>
      <c r="C714" s="306">
        <v>12.49</v>
      </c>
      <c r="D714" s="306">
        <v>593.72</v>
      </c>
      <c r="E714" s="306">
        <v>586.54</v>
      </c>
      <c r="F714" s="306">
        <v>597.16</v>
      </c>
      <c r="G714" s="306">
        <v>586.19000000000005</v>
      </c>
      <c r="H714" s="306" t="s">
        <v>1031</v>
      </c>
      <c r="I714" s="308">
        <v>1.52E-2</v>
      </c>
    </row>
    <row r="715" spans="2:9">
      <c r="B715" s="307">
        <v>45110</v>
      </c>
      <c r="C715" s="306">
        <v>11.13</v>
      </c>
      <c r="D715" s="306">
        <v>588.98</v>
      </c>
      <c r="E715" s="306">
        <v>598.15</v>
      </c>
      <c r="F715" s="306">
        <v>600.45000000000005</v>
      </c>
      <c r="G715" s="306">
        <v>588.17999999999995</v>
      </c>
      <c r="H715" s="306" t="s">
        <v>1174</v>
      </c>
      <c r="I715" s="308">
        <v>-8.0000000000000002E-3</v>
      </c>
    </row>
    <row r="716" spans="2:9">
      <c r="B716" s="307">
        <v>45111</v>
      </c>
      <c r="C716" s="306">
        <v>6.92</v>
      </c>
      <c r="D716" s="306">
        <v>589.63</v>
      </c>
      <c r="E716" s="306">
        <v>592.57000000000005</v>
      </c>
      <c r="F716" s="306">
        <v>594.57000000000005</v>
      </c>
      <c r="G716" s="306">
        <v>587.69000000000005</v>
      </c>
      <c r="H716" s="306" t="s">
        <v>1175</v>
      </c>
      <c r="I716" s="308">
        <v>1.1000000000000001E-3</v>
      </c>
    </row>
    <row r="717" spans="2:9">
      <c r="B717" s="307">
        <v>45112</v>
      </c>
      <c r="C717" s="306">
        <v>8.7200000000000006</v>
      </c>
      <c r="D717" s="306">
        <v>586.44000000000005</v>
      </c>
      <c r="E717" s="306">
        <v>590.17999999999995</v>
      </c>
      <c r="F717" s="306">
        <v>591.17999999999995</v>
      </c>
      <c r="G717" s="306">
        <v>583.15</v>
      </c>
      <c r="H717" s="306" t="s">
        <v>1072</v>
      </c>
      <c r="I717" s="308">
        <v>-5.4000000000000003E-3</v>
      </c>
    </row>
    <row r="718" spans="2:9">
      <c r="B718" s="307">
        <v>45113</v>
      </c>
      <c r="C718" s="306">
        <v>14.36</v>
      </c>
      <c r="D718" s="306">
        <v>598.95000000000005</v>
      </c>
      <c r="E718" s="306">
        <v>588.98</v>
      </c>
      <c r="F718" s="306">
        <v>603.09</v>
      </c>
      <c r="G718" s="306">
        <v>586.74</v>
      </c>
      <c r="H718" s="306" t="s">
        <v>916</v>
      </c>
      <c r="I718" s="308">
        <v>2.1299999999999999E-2</v>
      </c>
    </row>
    <row r="719" spans="2:9">
      <c r="B719" s="307">
        <v>45114</v>
      </c>
      <c r="C719" s="306">
        <v>21.07</v>
      </c>
      <c r="D719" s="306">
        <v>616.29999999999995</v>
      </c>
      <c r="E719" s="306">
        <v>598.15</v>
      </c>
      <c r="F719" s="306">
        <v>622.88</v>
      </c>
      <c r="G719" s="306">
        <v>590.38</v>
      </c>
      <c r="H719" s="306" t="s">
        <v>1176</v>
      </c>
      <c r="I719" s="308">
        <v>2.9000000000000001E-2</v>
      </c>
    </row>
    <row r="720" spans="2:9">
      <c r="B720" s="307">
        <v>45117</v>
      </c>
      <c r="C720" s="306">
        <v>23.8</v>
      </c>
      <c r="D720" s="306">
        <v>616.75</v>
      </c>
      <c r="E720" s="306">
        <v>622.08000000000004</v>
      </c>
      <c r="F720" s="306">
        <v>632.85</v>
      </c>
      <c r="G720" s="306">
        <v>615.65</v>
      </c>
      <c r="H720" s="306" t="s">
        <v>1087</v>
      </c>
      <c r="I720" s="308">
        <v>6.9999999999999999E-4</v>
      </c>
    </row>
    <row r="721" spans="2:9">
      <c r="B721" s="307">
        <v>45118</v>
      </c>
      <c r="C721" s="306">
        <v>12.05</v>
      </c>
      <c r="D721" s="306">
        <v>626.57000000000005</v>
      </c>
      <c r="E721" s="306">
        <v>623.03</v>
      </c>
      <c r="F721" s="306">
        <v>628.51</v>
      </c>
      <c r="G721" s="306">
        <v>620.24</v>
      </c>
      <c r="H721" s="306" t="s">
        <v>1177</v>
      </c>
      <c r="I721" s="308">
        <v>1.5900000000000001E-2</v>
      </c>
    </row>
    <row r="722" spans="2:9">
      <c r="B722" s="307">
        <v>45119</v>
      </c>
      <c r="C722" s="306">
        <v>10.79</v>
      </c>
      <c r="D722" s="306">
        <v>619.54</v>
      </c>
      <c r="E722" s="306">
        <v>628.01</v>
      </c>
      <c r="F722" s="306">
        <v>628.86</v>
      </c>
      <c r="G722" s="306">
        <v>617.45000000000005</v>
      </c>
      <c r="H722" s="306" t="s">
        <v>1178</v>
      </c>
      <c r="I722" s="308">
        <v>-1.12E-2</v>
      </c>
    </row>
    <row r="723" spans="2:9">
      <c r="B723" s="307">
        <v>45120</v>
      </c>
      <c r="C723" s="306">
        <v>9.69</v>
      </c>
      <c r="D723" s="306">
        <v>618.74</v>
      </c>
      <c r="E723" s="306">
        <v>623.08000000000004</v>
      </c>
      <c r="F723" s="306">
        <v>624.57000000000005</v>
      </c>
      <c r="G723" s="306">
        <v>613.61</v>
      </c>
      <c r="H723" s="306" t="s">
        <v>1179</v>
      </c>
      <c r="I723" s="308">
        <v>-1.2999999999999999E-3</v>
      </c>
    </row>
    <row r="724" spans="2:9">
      <c r="B724" s="307">
        <v>45121</v>
      </c>
      <c r="C724" s="306">
        <v>7.01</v>
      </c>
      <c r="D724" s="306">
        <v>622.98</v>
      </c>
      <c r="E724" s="306">
        <v>621.08000000000004</v>
      </c>
      <c r="F724" s="306">
        <v>624.07000000000005</v>
      </c>
      <c r="G724" s="306">
        <v>617.59</v>
      </c>
      <c r="H724" s="306" t="s">
        <v>1180</v>
      </c>
      <c r="I724" s="308">
        <v>6.7999999999999996E-3</v>
      </c>
    </row>
    <row r="725" spans="2:9">
      <c r="B725" s="307">
        <v>45124</v>
      </c>
      <c r="C725" s="306">
        <v>7.58</v>
      </c>
      <c r="D725" s="306">
        <v>616.6</v>
      </c>
      <c r="E725" s="306">
        <v>624.97</v>
      </c>
      <c r="F725" s="306">
        <v>625.07000000000005</v>
      </c>
      <c r="G725" s="306">
        <v>615.25</v>
      </c>
      <c r="H725" s="306" t="s">
        <v>1181</v>
      </c>
      <c r="I725" s="308">
        <v>-1.0200000000000001E-2</v>
      </c>
    </row>
    <row r="726" spans="2:9">
      <c r="B726" s="307">
        <v>45125</v>
      </c>
      <c r="C726" s="306">
        <v>10.36</v>
      </c>
      <c r="D726" s="306">
        <v>610.22</v>
      </c>
      <c r="E726" s="306">
        <v>618.49</v>
      </c>
      <c r="F726" s="306">
        <v>618.94000000000005</v>
      </c>
      <c r="G726" s="306">
        <v>605.13</v>
      </c>
      <c r="H726" s="306" t="s">
        <v>1005</v>
      </c>
      <c r="I726" s="308">
        <v>-1.03E-2</v>
      </c>
    </row>
    <row r="727" spans="2:9">
      <c r="B727" s="307">
        <v>45126</v>
      </c>
      <c r="C727" s="306">
        <v>11.13</v>
      </c>
      <c r="D727" s="306">
        <v>618.69000000000005</v>
      </c>
      <c r="E727" s="306">
        <v>612.11</v>
      </c>
      <c r="F727" s="306">
        <v>623.38</v>
      </c>
      <c r="G727" s="306">
        <v>608.27</v>
      </c>
      <c r="H727" s="306" t="s">
        <v>1174</v>
      </c>
      <c r="I727" s="308">
        <v>1.3899999999999999E-2</v>
      </c>
    </row>
    <row r="728" spans="2:9">
      <c r="B728" s="307">
        <v>45127</v>
      </c>
      <c r="C728" s="306">
        <v>7.83</v>
      </c>
      <c r="D728" s="306">
        <v>619.74</v>
      </c>
      <c r="E728" s="306">
        <v>620.73</v>
      </c>
      <c r="F728" s="306">
        <v>621.67999999999995</v>
      </c>
      <c r="G728" s="306">
        <v>614.29999999999995</v>
      </c>
      <c r="H728" s="306" t="s">
        <v>1182</v>
      </c>
      <c r="I728" s="308">
        <v>1.6999999999999999E-3</v>
      </c>
    </row>
    <row r="729" spans="2:9">
      <c r="B729" s="307">
        <v>45128</v>
      </c>
      <c r="C729" s="306">
        <v>12.91</v>
      </c>
      <c r="D729" s="306">
        <v>623.83000000000004</v>
      </c>
      <c r="E729" s="306">
        <v>619.09</v>
      </c>
      <c r="F729" s="306">
        <v>629.05999999999995</v>
      </c>
      <c r="G729" s="306">
        <v>615.79999999999995</v>
      </c>
      <c r="H729" s="306" t="s">
        <v>1183</v>
      </c>
      <c r="I729" s="308">
        <v>6.6E-3</v>
      </c>
    </row>
    <row r="730" spans="2:9">
      <c r="B730" s="307">
        <v>45131</v>
      </c>
      <c r="C730" s="306">
        <v>12.25</v>
      </c>
      <c r="D730" s="306">
        <v>627.30999999999995</v>
      </c>
      <c r="E730" s="306">
        <v>626.02</v>
      </c>
      <c r="F730" s="306">
        <v>632.5</v>
      </c>
      <c r="G730" s="306">
        <v>624.32000000000005</v>
      </c>
      <c r="H730" s="306" t="s">
        <v>1184</v>
      </c>
      <c r="I730" s="308">
        <v>5.5999999999999999E-3</v>
      </c>
    </row>
    <row r="731" spans="2:9">
      <c r="B731" s="307">
        <v>45132</v>
      </c>
      <c r="C731" s="306">
        <v>13.99</v>
      </c>
      <c r="D731" s="306">
        <v>637.48</v>
      </c>
      <c r="E731" s="306">
        <v>634.04</v>
      </c>
      <c r="F731" s="306">
        <v>640.52</v>
      </c>
      <c r="G731" s="306">
        <v>631.4</v>
      </c>
      <c r="H731" s="306" t="s">
        <v>1185</v>
      </c>
      <c r="I731" s="308">
        <v>1.6199999999999999E-2</v>
      </c>
    </row>
    <row r="732" spans="2:9">
      <c r="B732" s="307">
        <v>45133</v>
      </c>
      <c r="C732" s="306">
        <v>31.67</v>
      </c>
      <c r="D732" s="306">
        <v>639.13</v>
      </c>
      <c r="E732" s="306">
        <v>638.03</v>
      </c>
      <c r="F732" s="306">
        <v>663.35</v>
      </c>
      <c r="G732" s="306">
        <v>637.03</v>
      </c>
      <c r="H732" s="306" t="s">
        <v>1186</v>
      </c>
      <c r="I732" s="308">
        <v>2.5999999999999999E-3</v>
      </c>
    </row>
    <row r="733" spans="2:9">
      <c r="B733" s="307">
        <v>45134</v>
      </c>
      <c r="C733" s="306">
        <v>11.7</v>
      </c>
      <c r="D733" s="306">
        <v>641.72</v>
      </c>
      <c r="E733" s="306">
        <v>645.01</v>
      </c>
      <c r="F733" s="306">
        <v>646.46</v>
      </c>
      <c r="G733" s="306">
        <v>634.79</v>
      </c>
      <c r="H733" s="306" t="s">
        <v>1187</v>
      </c>
      <c r="I733" s="308">
        <v>4.1000000000000003E-3</v>
      </c>
    </row>
    <row r="734" spans="2:9">
      <c r="B734" s="307">
        <v>45135</v>
      </c>
      <c r="C734" s="306">
        <v>9.3000000000000007</v>
      </c>
      <c r="D734" s="306">
        <v>633.35</v>
      </c>
      <c r="E734" s="306">
        <v>644.01</v>
      </c>
      <c r="F734" s="306">
        <v>644.01</v>
      </c>
      <c r="G734" s="306">
        <v>629.86</v>
      </c>
      <c r="H734" s="306" t="s">
        <v>1188</v>
      </c>
      <c r="I734" s="308">
        <v>-1.2999999999999999E-2</v>
      </c>
    </row>
    <row r="735" spans="2:9">
      <c r="B735" s="307">
        <v>45138</v>
      </c>
      <c r="C735" s="306">
        <v>7.5</v>
      </c>
      <c r="D735" s="306">
        <v>642.32000000000005</v>
      </c>
      <c r="E735" s="306">
        <v>638.23</v>
      </c>
      <c r="F735" s="306">
        <v>643.55999999999995</v>
      </c>
      <c r="G735" s="306">
        <v>633.94000000000005</v>
      </c>
      <c r="H735" s="306" t="s">
        <v>1189</v>
      </c>
      <c r="I735" s="308">
        <v>1.4200000000000001E-2</v>
      </c>
    </row>
    <row r="736" spans="2:9">
      <c r="B736" s="307">
        <v>45139</v>
      </c>
      <c r="C736" s="306">
        <v>8.92</v>
      </c>
      <c r="D736" s="306">
        <v>641.66999999999996</v>
      </c>
      <c r="E736" s="306">
        <v>643.02</v>
      </c>
      <c r="F736" s="306">
        <v>650.89</v>
      </c>
      <c r="G736" s="306">
        <v>640.03</v>
      </c>
      <c r="H736" s="306" t="s">
        <v>1190</v>
      </c>
      <c r="I736" s="308">
        <v>-1E-3</v>
      </c>
    </row>
    <row r="737" spans="2:9">
      <c r="B737" s="307">
        <v>45140</v>
      </c>
      <c r="C737" s="306">
        <v>15.76</v>
      </c>
      <c r="D737" s="306">
        <v>620.73</v>
      </c>
      <c r="E737" s="306">
        <v>642.02</v>
      </c>
      <c r="F737" s="306">
        <v>642.32000000000005</v>
      </c>
      <c r="G737" s="306">
        <v>614.54999999999995</v>
      </c>
      <c r="H737" s="306" t="s">
        <v>1191</v>
      </c>
      <c r="I737" s="308">
        <v>-3.2599999999999997E-2</v>
      </c>
    </row>
    <row r="738" spans="2:9">
      <c r="B738" s="307">
        <v>45141</v>
      </c>
      <c r="C738" s="306">
        <v>11.46</v>
      </c>
      <c r="D738" s="306">
        <v>617.04999999999995</v>
      </c>
      <c r="E738" s="306">
        <v>621.08000000000004</v>
      </c>
      <c r="F738" s="306">
        <v>624.52</v>
      </c>
      <c r="G738" s="306">
        <v>612.26</v>
      </c>
      <c r="H738" s="306" t="s">
        <v>1078</v>
      </c>
      <c r="I738" s="308">
        <v>-5.8999999999999999E-3</v>
      </c>
    </row>
    <row r="739" spans="2:9">
      <c r="B739" s="307">
        <v>45142</v>
      </c>
      <c r="C739" s="306">
        <v>11.81</v>
      </c>
      <c r="D739" s="306">
        <v>613.11</v>
      </c>
      <c r="E739" s="306">
        <v>622.92999999999995</v>
      </c>
      <c r="F739" s="306">
        <v>623.08000000000004</v>
      </c>
      <c r="G739" s="306">
        <v>611.41</v>
      </c>
      <c r="H739" s="306" t="s">
        <v>1192</v>
      </c>
      <c r="I739" s="308">
        <v>-6.4000000000000003E-3</v>
      </c>
    </row>
    <row r="740" spans="2:9">
      <c r="B740" s="307">
        <v>45145</v>
      </c>
      <c r="C740" s="306">
        <v>9.89</v>
      </c>
      <c r="D740" s="306">
        <v>607.63</v>
      </c>
      <c r="E740" s="306">
        <v>617.1</v>
      </c>
      <c r="F740" s="306">
        <v>617.1</v>
      </c>
      <c r="G740" s="306">
        <v>606.63</v>
      </c>
      <c r="H740" s="306" t="s">
        <v>1193</v>
      </c>
      <c r="I740" s="308">
        <v>-8.8999999999999999E-3</v>
      </c>
    </row>
    <row r="741" spans="2:9">
      <c r="B741" s="307">
        <v>45146</v>
      </c>
      <c r="C741" s="306">
        <v>8.86</v>
      </c>
      <c r="D741" s="306">
        <v>605.42999999999995</v>
      </c>
      <c r="E741" s="306">
        <v>610.66999999999996</v>
      </c>
      <c r="F741" s="306">
        <v>612.86</v>
      </c>
      <c r="G741" s="306">
        <v>603.39</v>
      </c>
      <c r="H741" s="306" t="s">
        <v>1194</v>
      </c>
      <c r="I741" s="308">
        <v>-3.5999999999999999E-3</v>
      </c>
    </row>
    <row r="742" spans="2:9">
      <c r="B742" s="307">
        <v>45147</v>
      </c>
      <c r="C742" s="306">
        <v>13.36</v>
      </c>
      <c r="D742" s="306">
        <v>620.64</v>
      </c>
      <c r="E742" s="306">
        <v>608.72</v>
      </c>
      <c r="F742" s="306">
        <v>622.08000000000004</v>
      </c>
      <c r="G742" s="306">
        <v>603.49</v>
      </c>
      <c r="H742" s="306" t="s">
        <v>985</v>
      </c>
      <c r="I742" s="308">
        <v>2.5100000000000001E-2</v>
      </c>
    </row>
    <row r="743" spans="2:9">
      <c r="B743" s="307">
        <v>45148</v>
      </c>
      <c r="C743" s="306">
        <v>53.12</v>
      </c>
      <c r="D743" s="306">
        <v>616.35</v>
      </c>
      <c r="E743" s="306">
        <v>621.08000000000004</v>
      </c>
      <c r="F743" s="306">
        <v>626.37</v>
      </c>
      <c r="G743" s="306">
        <v>596.16</v>
      </c>
      <c r="H743" s="306" t="s">
        <v>1195</v>
      </c>
      <c r="I743" s="308">
        <v>-6.8999999999999999E-3</v>
      </c>
    </row>
    <row r="744" spans="2:9">
      <c r="B744" s="307">
        <v>45149</v>
      </c>
      <c r="C744" s="306">
        <v>9.35</v>
      </c>
      <c r="D744" s="306">
        <v>609.91999999999996</v>
      </c>
      <c r="E744" s="306">
        <v>617.84</v>
      </c>
      <c r="F744" s="306">
        <v>622.83000000000004</v>
      </c>
      <c r="G744" s="306">
        <v>608.12</v>
      </c>
      <c r="H744" s="306" t="s">
        <v>1196</v>
      </c>
      <c r="I744" s="308">
        <v>-1.04E-2</v>
      </c>
    </row>
    <row r="745" spans="2:9">
      <c r="B745" s="307">
        <v>45152</v>
      </c>
      <c r="C745" s="306">
        <v>14.49</v>
      </c>
      <c r="D745" s="306">
        <v>605.48</v>
      </c>
      <c r="E745" s="306">
        <v>610.12</v>
      </c>
      <c r="F745" s="306">
        <v>610.12</v>
      </c>
      <c r="G745" s="306">
        <v>592.66999999999996</v>
      </c>
      <c r="H745" s="306" t="s">
        <v>1197</v>
      </c>
      <c r="I745" s="308">
        <v>-7.3000000000000001E-3</v>
      </c>
    </row>
    <row r="746" spans="2:9">
      <c r="B746" s="307">
        <v>45154</v>
      </c>
      <c r="C746" s="306">
        <v>14.56</v>
      </c>
      <c r="D746" s="306">
        <v>616.85</v>
      </c>
      <c r="E746" s="306">
        <v>604.83000000000004</v>
      </c>
      <c r="F746" s="306">
        <v>619.44000000000005</v>
      </c>
      <c r="G746" s="306">
        <v>595.46</v>
      </c>
      <c r="H746" s="306" t="s">
        <v>1198</v>
      </c>
      <c r="I746" s="308">
        <v>1.8800000000000001E-2</v>
      </c>
    </row>
    <row r="747" spans="2:9">
      <c r="B747" s="307">
        <v>45155</v>
      </c>
      <c r="C747" s="306">
        <v>12.12</v>
      </c>
      <c r="D747" s="306">
        <v>611.86</v>
      </c>
      <c r="E747" s="306">
        <v>618.09</v>
      </c>
      <c r="F747" s="306">
        <v>620.09</v>
      </c>
      <c r="G747" s="306">
        <v>609.12</v>
      </c>
      <c r="H747" s="306" t="s">
        <v>841</v>
      </c>
      <c r="I747" s="308">
        <v>-8.0999999999999996E-3</v>
      </c>
    </row>
    <row r="748" spans="2:9">
      <c r="B748" s="307">
        <v>45156</v>
      </c>
      <c r="C748" s="306">
        <v>11.19</v>
      </c>
      <c r="D748" s="306">
        <v>613.91</v>
      </c>
      <c r="E748" s="306">
        <v>610.91</v>
      </c>
      <c r="F748" s="306">
        <v>618.19000000000005</v>
      </c>
      <c r="G748" s="306">
        <v>609.02</v>
      </c>
      <c r="H748" s="306" t="s">
        <v>1199</v>
      </c>
      <c r="I748" s="308">
        <v>3.3E-3</v>
      </c>
    </row>
    <row r="749" spans="2:9">
      <c r="B749" s="307">
        <v>45159</v>
      </c>
      <c r="C749" s="306">
        <v>9.58</v>
      </c>
      <c r="D749" s="306">
        <v>618.59</v>
      </c>
      <c r="E749" s="306">
        <v>615.1</v>
      </c>
      <c r="F749" s="306">
        <v>621.38</v>
      </c>
      <c r="G749" s="306">
        <v>612.91</v>
      </c>
      <c r="H749" s="306" t="s">
        <v>1200</v>
      </c>
      <c r="I749" s="308">
        <v>7.6E-3</v>
      </c>
    </row>
    <row r="750" spans="2:9">
      <c r="B750" s="307">
        <v>45160</v>
      </c>
      <c r="C750" s="306">
        <v>8.5299999999999994</v>
      </c>
      <c r="D750" s="306">
        <v>618.29</v>
      </c>
      <c r="E750" s="306">
        <v>619.89</v>
      </c>
      <c r="F750" s="306">
        <v>624.57000000000005</v>
      </c>
      <c r="G750" s="306">
        <v>616.70000000000005</v>
      </c>
      <c r="H750" s="306" t="s">
        <v>1141</v>
      </c>
      <c r="I750" s="308">
        <v>-5.0000000000000001E-4</v>
      </c>
    </row>
    <row r="751" spans="2:9">
      <c r="B751" s="307">
        <v>45161</v>
      </c>
      <c r="C751" s="306">
        <v>8.25</v>
      </c>
      <c r="D751" s="306">
        <v>612.01</v>
      </c>
      <c r="E751" s="306">
        <v>620.83000000000004</v>
      </c>
      <c r="F751" s="306">
        <v>620.83000000000004</v>
      </c>
      <c r="G751" s="306">
        <v>611.26</v>
      </c>
      <c r="H751" s="306" t="s">
        <v>1201</v>
      </c>
      <c r="I751" s="308">
        <v>-1.0200000000000001E-2</v>
      </c>
    </row>
    <row r="752" spans="2:9">
      <c r="B752" s="307">
        <v>45162</v>
      </c>
      <c r="C752" s="306">
        <v>7.1</v>
      </c>
      <c r="D752" s="306">
        <v>609.07000000000005</v>
      </c>
      <c r="E752" s="306">
        <v>616.1</v>
      </c>
      <c r="F752" s="306">
        <v>617.1</v>
      </c>
      <c r="G752" s="306">
        <v>607.78</v>
      </c>
      <c r="H752" s="306" t="s">
        <v>1202</v>
      </c>
      <c r="I752" s="308">
        <v>-4.7999999999999996E-3</v>
      </c>
    </row>
    <row r="753" spans="2:9">
      <c r="B753" s="307">
        <v>45163</v>
      </c>
      <c r="C753" s="306">
        <v>16.079999999999998</v>
      </c>
      <c r="D753" s="306">
        <v>603.24</v>
      </c>
      <c r="E753" s="306">
        <v>608.97</v>
      </c>
      <c r="F753" s="306">
        <v>614.79999999999995</v>
      </c>
      <c r="G753" s="306">
        <v>591.47</v>
      </c>
      <c r="H753" s="306" t="s">
        <v>1203</v>
      </c>
      <c r="I753" s="308">
        <v>-9.5999999999999992E-3</v>
      </c>
    </row>
    <row r="754" spans="2:9">
      <c r="B754" s="307">
        <v>45166</v>
      </c>
      <c r="C754" s="306">
        <v>7.48</v>
      </c>
      <c r="D754" s="306">
        <v>600.54999999999995</v>
      </c>
      <c r="E754" s="306">
        <v>603.54</v>
      </c>
      <c r="F754" s="306">
        <v>606.63</v>
      </c>
      <c r="G754" s="306">
        <v>599.70000000000005</v>
      </c>
      <c r="H754" s="306" t="s">
        <v>1204</v>
      </c>
      <c r="I754" s="308">
        <v>-4.4999999999999997E-3</v>
      </c>
    </row>
    <row r="755" spans="2:9">
      <c r="B755" s="307">
        <v>45167</v>
      </c>
      <c r="C755" s="306">
        <v>6.96</v>
      </c>
      <c r="D755" s="306">
        <v>605.28</v>
      </c>
      <c r="E755" s="306">
        <v>601.74</v>
      </c>
      <c r="F755" s="306">
        <v>608.62</v>
      </c>
      <c r="G755" s="306">
        <v>601.74</v>
      </c>
      <c r="H755" s="306" t="s">
        <v>1099</v>
      </c>
      <c r="I755" s="308">
        <v>7.9000000000000008E-3</v>
      </c>
    </row>
    <row r="756" spans="2:9">
      <c r="B756" s="307">
        <v>45168</v>
      </c>
      <c r="C756" s="306">
        <v>5.68</v>
      </c>
      <c r="D756" s="306">
        <v>603.69000000000005</v>
      </c>
      <c r="E756" s="306">
        <v>609.32000000000005</v>
      </c>
      <c r="F756" s="306">
        <v>611.02</v>
      </c>
      <c r="G756" s="306">
        <v>603.14</v>
      </c>
      <c r="H756" s="306" t="s">
        <v>1205</v>
      </c>
      <c r="I756" s="308">
        <v>-2.5999999999999999E-3</v>
      </c>
    </row>
    <row r="757" spans="2:9">
      <c r="B757" s="307">
        <v>45169</v>
      </c>
      <c r="C757" s="306">
        <v>10.54</v>
      </c>
      <c r="D757" s="306">
        <v>599.15</v>
      </c>
      <c r="E757" s="306">
        <v>606.92999999999995</v>
      </c>
      <c r="F757" s="306">
        <v>607.78</v>
      </c>
      <c r="G757" s="306">
        <v>597.21</v>
      </c>
      <c r="H757" s="306" t="s">
        <v>1206</v>
      </c>
      <c r="I757" s="308">
        <v>-7.4999999999999997E-3</v>
      </c>
    </row>
    <row r="758" spans="2:9">
      <c r="B758" s="307">
        <v>45170</v>
      </c>
      <c r="C758" s="306">
        <v>10.3</v>
      </c>
      <c r="D758" s="306">
        <v>609.32000000000005</v>
      </c>
      <c r="E758" s="306">
        <v>602.34</v>
      </c>
      <c r="F758" s="306">
        <v>613.01</v>
      </c>
      <c r="G758" s="306">
        <v>600.04999999999995</v>
      </c>
      <c r="H758" s="306" t="s">
        <v>1207</v>
      </c>
      <c r="I758" s="308">
        <v>1.7000000000000001E-2</v>
      </c>
    </row>
    <row r="759" spans="2:9">
      <c r="B759" s="307">
        <v>45173</v>
      </c>
      <c r="C759" s="306">
        <v>8.39</v>
      </c>
      <c r="D759" s="306">
        <v>607.13</v>
      </c>
      <c r="E759" s="306">
        <v>613.71</v>
      </c>
      <c r="F759" s="306">
        <v>613.71</v>
      </c>
      <c r="G759" s="306">
        <v>604.14</v>
      </c>
      <c r="H759" s="306" t="s">
        <v>1208</v>
      </c>
      <c r="I759" s="308">
        <v>-3.5999999999999999E-3</v>
      </c>
    </row>
    <row r="760" spans="2:9">
      <c r="B760" s="307">
        <v>45174</v>
      </c>
      <c r="C760" s="306">
        <v>8.56</v>
      </c>
      <c r="D760" s="306">
        <v>609.27</v>
      </c>
      <c r="E760" s="306">
        <v>608.12</v>
      </c>
      <c r="F760" s="306">
        <v>617</v>
      </c>
      <c r="G760" s="306">
        <v>606.17999999999995</v>
      </c>
      <c r="H760" s="306" t="s">
        <v>1209</v>
      </c>
      <c r="I760" s="308">
        <v>3.5000000000000001E-3</v>
      </c>
    </row>
    <row r="761" spans="2:9">
      <c r="B761" s="307">
        <v>45175</v>
      </c>
      <c r="C761" s="306">
        <v>6.52</v>
      </c>
      <c r="D761" s="306">
        <v>608.37</v>
      </c>
      <c r="E761" s="306">
        <v>609.27</v>
      </c>
      <c r="F761" s="306">
        <v>610.66999999999996</v>
      </c>
      <c r="G761" s="306">
        <v>603.74</v>
      </c>
      <c r="H761" s="306" t="s">
        <v>1210</v>
      </c>
      <c r="I761" s="308">
        <v>-1.5E-3</v>
      </c>
    </row>
    <row r="762" spans="2:9">
      <c r="B762" s="307">
        <v>45176</v>
      </c>
      <c r="C762" s="306">
        <v>6.52</v>
      </c>
      <c r="D762" s="306">
        <v>613.01</v>
      </c>
      <c r="E762" s="306">
        <v>609.02</v>
      </c>
      <c r="F762" s="306">
        <v>614.6</v>
      </c>
      <c r="G762" s="306">
        <v>607.17999999999995</v>
      </c>
      <c r="H762" s="306" t="s">
        <v>1210</v>
      </c>
      <c r="I762" s="308">
        <v>7.6E-3</v>
      </c>
    </row>
    <row r="763" spans="2:9">
      <c r="B763" s="307">
        <v>45177</v>
      </c>
      <c r="C763" s="306">
        <v>16.190000000000001</v>
      </c>
      <c r="D763" s="306">
        <v>625.32000000000005</v>
      </c>
      <c r="E763" s="306">
        <v>616.04999999999995</v>
      </c>
      <c r="F763" s="306">
        <v>626.97</v>
      </c>
      <c r="G763" s="306">
        <v>612.30999999999995</v>
      </c>
      <c r="H763" s="306" t="s">
        <v>1211</v>
      </c>
      <c r="I763" s="308">
        <v>2.01E-2</v>
      </c>
    </row>
    <row r="764" spans="2:9">
      <c r="B764" s="307">
        <v>45180</v>
      </c>
      <c r="C764" s="306">
        <v>8.7799999999999994</v>
      </c>
      <c r="D764" s="306">
        <v>632.9</v>
      </c>
      <c r="E764" s="306">
        <v>632.70000000000005</v>
      </c>
      <c r="F764" s="306">
        <v>633.45000000000005</v>
      </c>
      <c r="G764" s="306">
        <v>628.55999999999995</v>
      </c>
      <c r="H764" s="306" t="s">
        <v>1111</v>
      </c>
      <c r="I764" s="308">
        <v>1.21E-2</v>
      </c>
    </row>
    <row r="765" spans="2:9">
      <c r="B765" s="307">
        <v>45181</v>
      </c>
      <c r="C765" s="306">
        <v>12.54</v>
      </c>
      <c r="D765" s="306">
        <v>618.89</v>
      </c>
      <c r="E765" s="306">
        <v>636.04</v>
      </c>
      <c r="F765" s="306">
        <v>637.03</v>
      </c>
      <c r="G765" s="306">
        <v>613.36</v>
      </c>
      <c r="H765" s="306" t="s">
        <v>1212</v>
      </c>
      <c r="I765" s="308">
        <v>-2.2100000000000002E-2</v>
      </c>
    </row>
    <row r="766" spans="2:9">
      <c r="B766" s="307">
        <v>45182</v>
      </c>
      <c r="C766" s="306">
        <v>6.99</v>
      </c>
      <c r="D766" s="306">
        <v>623.97</v>
      </c>
      <c r="E766" s="306">
        <v>619.09</v>
      </c>
      <c r="F766" s="306">
        <v>626.57000000000005</v>
      </c>
      <c r="G766" s="306">
        <v>617.64</v>
      </c>
      <c r="H766" s="306" t="s">
        <v>1171</v>
      </c>
      <c r="I766" s="308">
        <v>8.2000000000000007E-3</v>
      </c>
    </row>
    <row r="767" spans="2:9">
      <c r="B767" s="307">
        <v>45183</v>
      </c>
      <c r="C767" s="306">
        <v>5.72</v>
      </c>
      <c r="D767" s="306">
        <v>622.67999999999995</v>
      </c>
      <c r="E767" s="306">
        <v>626.16999999999996</v>
      </c>
      <c r="F767" s="306">
        <v>628.86</v>
      </c>
      <c r="G767" s="306">
        <v>621.38</v>
      </c>
      <c r="H767" s="306" t="s">
        <v>1213</v>
      </c>
      <c r="I767" s="308">
        <v>-2.0999999999999999E-3</v>
      </c>
    </row>
    <row r="768" spans="2:9">
      <c r="B768" s="307">
        <v>45184</v>
      </c>
      <c r="C768" s="306">
        <v>18.920000000000002</v>
      </c>
      <c r="D768" s="306">
        <v>632.29999999999995</v>
      </c>
      <c r="E768" s="306">
        <v>626.77</v>
      </c>
      <c r="F768" s="306">
        <v>634.54</v>
      </c>
      <c r="G768" s="306">
        <v>625.22</v>
      </c>
      <c r="H768" s="306" t="s">
        <v>1214</v>
      </c>
      <c r="I768" s="308">
        <v>1.54E-2</v>
      </c>
    </row>
    <row r="769" spans="2:9">
      <c r="B769" s="307">
        <v>45187</v>
      </c>
      <c r="C769" s="306">
        <v>11.11</v>
      </c>
      <c r="D769" s="306">
        <v>638.67999999999995</v>
      </c>
      <c r="E769" s="306">
        <v>633.94000000000005</v>
      </c>
      <c r="F769" s="306">
        <v>642.22</v>
      </c>
      <c r="G769" s="306">
        <v>631.20000000000005</v>
      </c>
      <c r="H769" s="306" t="s">
        <v>1215</v>
      </c>
      <c r="I769" s="308">
        <v>1.01E-2</v>
      </c>
    </row>
    <row r="770" spans="2:9">
      <c r="B770" s="307">
        <v>45189</v>
      </c>
      <c r="C770" s="306">
        <v>11.78</v>
      </c>
      <c r="D770" s="306">
        <v>636.54</v>
      </c>
      <c r="E770" s="306">
        <v>638.73</v>
      </c>
      <c r="F770" s="306">
        <v>645.01</v>
      </c>
      <c r="G770" s="306">
        <v>635.04</v>
      </c>
      <c r="H770" s="306" t="s">
        <v>1216</v>
      </c>
      <c r="I770" s="308">
        <v>-3.3999999999999998E-3</v>
      </c>
    </row>
    <row r="771" spans="2:9">
      <c r="B771" s="307">
        <v>45190</v>
      </c>
      <c r="C771" s="306">
        <v>9.27</v>
      </c>
      <c r="D771" s="306">
        <v>625.12</v>
      </c>
      <c r="E771" s="306">
        <v>636.54</v>
      </c>
      <c r="F771" s="306">
        <v>639.73</v>
      </c>
      <c r="G771" s="306">
        <v>622.08000000000004</v>
      </c>
      <c r="H771" s="306" t="s">
        <v>1217</v>
      </c>
      <c r="I771" s="308">
        <v>-1.7899999999999999E-2</v>
      </c>
    </row>
    <row r="772" spans="2:9">
      <c r="B772" s="307">
        <v>45191</v>
      </c>
      <c r="C772" s="306">
        <v>6.55</v>
      </c>
      <c r="D772" s="306">
        <v>618.54</v>
      </c>
      <c r="E772" s="306">
        <v>626.07000000000005</v>
      </c>
      <c r="F772" s="306">
        <v>628.86</v>
      </c>
      <c r="G772" s="306">
        <v>617.1</v>
      </c>
      <c r="H772" s="306" t="s">
        <v>1218</v>
      </c>
      <c r="I772" s="308">
        <v>-1.0500000000000001E-2</v>
      </c>
    </row>
    <row r="773" spans="2:9">
      <c r="B773" s="307">
        <v>45194</v>
      </c>
      <c r="C773" s="306">
        <v>6.39</v>
      </c>
      <c r="D773" s="306">
        <v>616.79999999999995</v>
      </c>
      <c r="E773" s="306">
        <v>621.92999999999995</v>
      </c>
      <c r="F773" s="306">
        <v>623.28</v>
      </c>
      <c r="G773" s="306">
        <v>616</v>
      </c>
      <c r="H773" s="306" t="s">
        <v>1219</v>
      </c>
      <c r="I773" s="308">
        <v>-2.8E-3</v>
      </c>
    </row>
    <row r="774" spans="2:9">
      <c r="B774" s="307">
        <v>45195</v>
      </c>
      <c r="C774" s="306">
        <v>6.27</v>
      </c>
      <c r="D774" s="306">
        <v>617.89</v>
      </c>
      <c r="E774" s="306">
        <v>616.79999999999995</v>
      </c>
      <c r="F774" s="306">
        <v>623.78</v>
      </c>
      <c r="G774" s="306">
        <v>616.04999999999995</v>
      </c>
      <c r="H774" s="306" t="s">
        <v>1220</v>
      </c>
      <c r="I774" s="308">
        <v>1.8E-3</v>
      </c>
    </row>
    <row r="775" spans="2:9">
      <c r="B775" s="307">
        <v>45196</v>
      </c>
      <c r="C775" s="306">
        <v>5.96</v>
      </c>
      <c r="D775" s="306">
        <v>618.24</v>
      </c>
      <c r="E775" s="306">
        <v>618.04</v>
      </c>
      <c r="F775" s="306">
        <v>619.99</v>
      </c>
      <c r="G775" s="306">
        <v>614.85</v>
      </c>
      <c r="H775" s="306" t="s">
        <v>1221</v>
      </c>
      <c r="I775" s="308">
        <v>5.9999999999999995E-4</v>
      </c>
    </row>
    <row r="776" spans="2:9">
      <c r="B776" s="307">
        <v>45197</v>
      </c>
      <c r="C776" s="306">
        <v>6.77</v>
      </c>
      <c r="D776" s="306">
        <v>612.21</v>
      </c>
      <c r="E776" s="306">
        <v>620.98</v>
      </c>
      <c r="F776" s="306">
        <v>621.88</v>
      </c>
      <c r="G776" s="306">
        <v>610.37</v>
      </c>
      <c r="H776" s="306" t="s">
        <v>1046</v>
      </c>
      <c r="I776" s="308">
        <v>-9.7999999999999997E-3</v>
      </c>
    </row>
    <row r="777" spans="2:9">
      <c r="B777" s="307">
        <v>45198</v>
      </c>
      <c r="C777" s="306">
        <v>8.9700000000000006</v>
      </c>
      <c r="D777" s="306">
        <v>628.26</v>
      </c>
      <c r="E777" s="306">
        <v>616.79999999999995</v>
      </c>
      <c r="F777" s="306">
        <v>631.04999999999995</v>
      </c>
      <c r="G777" s="306">
        <v>615.1</v>
      </c>
      <c r="H777" s="306" t="s">
        <v>1222</v>
      </c>
      <c r="I777" s="308">
        <v>2.6200000000000001E-2</v>
      </c>
    </row>
    <row r="778" spans="2:9">
      <c r="B778" s="307">
        <v>45202</v>
      </c>
      <c r="C778" s="306">
        <v>6.89</v>
      </c>
      <c r="D778" s="306">
        <v>618.54</v>
      </c>
      <c r="E778" s="306">
        <v>630.65</v>
      </c>
      <c r="F778" s="306">
        <v>630.70000000000005</v>
      </c>
      <c r="G778" s="306">
        <v>616.70000000000005</v>
      </c>
      <c r="H778" s="306" t="s">
        <v>1136</v>
      </c>
      <c r="I778" s="308">
        <v>-1.55E-2</v>
      </c>
    </row>
    <row r="779" spans="2:9">
      <c r="B779" s="307">
        <v>45203</v>
      </c>
      <c r="C779" s="306">
        <v>7.61</v>
      </c>
      <c r="D779" s="306">
        <v>611.71</v>
      </c>
      <c r="E779" s="306">
        <v>618.89</v>
      </c>
      <c r="F779" s="306">
        <v>618.89</v>
      </c>
      <c r="G779" s="306">
        <v>606.42999999999995</v>
      </c>
      <c r="H779" s="306" t="s">
        <v>1223</v>
      </c>
      <c r="I779" s="308">
        <v>-1.0999999999999999E-2</v>
      </c>
    </row>
    <row r="780" spans="2:9">
      <c r="B780" s="307">
        <v>45204</v>
      </c>
      <c r="C780" s="306">
        <v>7.89</v>
      </c>
      <c r="D780" s="306">
        <v>617.69000000000005</v>
      </c>
      <c r="E780" s="306">
        <v>617.1</v>
      </c>
      <c r="F780" s="306">
        <v>619.44000000000005</v>
      </c>
      <c r="G780" s="306">
        <v>612.76</v>
      </c>
      <c r="H780" s="306" t="s">
        <v>1224</v>
      </c>
      <c r="I780" s="308">
        <v>9.7999999999999997E-3</v>
      </c>
    </row>
    <row r="781" spans="2:9">
      <c r="B781" s="307">
        <v>45205</v>
      </c>
      <c r="C781" s="306">
        <v>7.92</v>
      </c>
      <c r="D781" s="306">
        <v>620.53</v>
      </c>
      <c r="E781" s="306">
        <v>625.07000000000005</v>
      </c>
      <c r="F781" s="306">
        <v>625.41999999999996</v>
      </c>
      <c r="G781" s="306">
        <v>618.09</v>
      </c>
      <c r="H781" s="306" t="s">
        <v>1225</v>
      </c>
      <c r="I781" s="308">
        <v>4.5999999999999999E-3</v>
      </c>
    </row>
    <row r="782" spans="2:9">
      <c r="B782" s="307">
        <v>45208</v>
      </c>
      <c r="C782" s="306">
        <v>6.38</v>
      </c>
      <c r="D782" s="306">
        <v>615.45000000000005</v>
      </c>
      <c r="E782" s="306">
        <v>618.89</v>
      </c>
      <c r="F782" s="306">
        <v>620.09</v>
      </c>
      <c r="G782" s="306">
        <v>611.80999999999995</v>
      </c>
      <c r="H782" s="306" t="s">
        <v>1226</v>
      </c>
      <c r="I782" s="308">
        <v>-8.2000000000000007E-3</v>
      </c>
    </row>
    <row r="783" spans="2:9">
      <c r="B783" s="307">
        <v>45209</v>
      </c>
      <c r="C783" s="306">
        <v>9.83</v>
      </c>
      <c r="D783" s="306">
        <v>628.61</v>
      </c>
      <c r="E783" s="306">
        <v>618.09</v>
      </c>
      <c r="F783" s="306">
        <v>630.54999999999995</v>
      </c>
      <c r="G783" s="306">
        <v>615.70000000000005</v>
      </c>
      <c r="H783" s="306" t="s">
        <v>1227</v>
      </c>
      <c r="I783" s="308">
        <v>2.1399999999999999E-2</v>
      </c>
    </row>
    <row r="784" spans="2:9">
      <c r="B784" s="307">
        <v>45210</v>
      </c>
      <c r="C784" s="306">
        <v>7.7</v>
      </c>
      <c r="D784" s="306">
        <v>632.04999999999995</v>
      </c>
      <c r="E784" s="306">
        <v>631.04999999999995</v>
      </c>
      <c r="F784" s="306">
        <v>635.84</v>
      </c>
      <c r="G784" s="306">
        <v>630.65</v>
      </c>
      <c r="H784" s="306" t="s">
        <v>1228</v>
      </c>
      <c r="I784" s="308">
        <v>5.4999999999999997E-3</v>
      </c>
    </row>
    <row r="785" spans="2:9">
      <c r="B785" s="307">
        <v>45211</v>
      </c>
      <c r="C785" s="306">
        <v>5.93</v>
      </c>
      <c r="D785" s="306">
        <v>634.99</v>
      </c>
      <c r="E785" s="306">
        <v>635.04</v>
      </c>
      <c r="F785" s="306">
        <v>638.23</v>
      </c>
      <c r="G785" s="306">
        <v>633.1</v>
      </c>
      <c r="H785" s="306" t="s">
        <v>1229</v>
      </c>
      <c r="I785" s="308">
        <v>4.7000000000000002E-3</v>
      </c>
    </row>
    <row r="786" spans="2:9">
      <c r="B786" s="307">
        <v>45212</v>
      </c>
      <c r="C786" s="306">
        <v>28.01</v>
      </c>
      <c r="D786" s="306">
        <v>665.05</v>
      </c>
      <c r="E786" s="306">
        <v>632</v>
      </c>
      <c r="F786" s="306">
        <v>666.94</v>
      </c>
      <c r="G786" s="306">
        <v>631.04999999999995</v>
      </c>
      <c r="H786" s="306" t="s">
        <v>1230</v>
      </c>
      <c r="I786" s="308">
        <v>4.7300000000000002E-2</v>
      </c>
    </row>
    <row r="787" spans="2:9">
      <c r="B787" s="307">
        <v>45215</v>
      </c>
      <c r="C787" s="306">
        <v>20.010000000000002</v>
      </c>
      <c r="D787" s="306">
        <v>664.15</v>
      </c>
      <c r="E787" s="306">
        <v>666.49</v>
      </c>
      <c r="F787" s="306">
        <v>675.72</v>
      </c>
      <c r="G787" s="306">
        <v>659.22</v>
      </c>
      <c r="H787" s="306" t="s">
        <v>1231</v>
      </c>
      <c r="I787" s="308">
        <v>-1.2999999999999999E-3</v>
      </c>
    </row>
    <row r="788" spans="2:9">
      <c r="B788" s="307">
        <v>45216</v>
      </c>
      <c r="C788" s="306">
        <v>10.26</v>
      </c>
      <c r="D788" s="306">
        <v>653.67999999999995</v>
      </c>
      <c r="E788" s="306">
        <v>667.94</v>
      </c>
      <c r="F788" s="306">
        <v>668.84</v>
      </c>
      <c r="G788" s="306">
        <v>652.64</v>
      </c>
      <c r="H788" s="306" t="s">
        <v>845</v>
      </c>
      <c r="I788" s="308">
        <v>-1.5800000000000002E-2</v>
      </c>
    </row>
    <row r="789" spans="2:9">
      <c r="B789" s="307">
        <v>45217</v>
      </c>
      <c r="C789" s="306">
        <v>14.91</v>
      </c>
      <c r="D789" s="306">
        <v>666.44</v>
      </c>
      <c r="E789" s="306">
        <v>656.57</v>
      </c>
      <c r="F789" s="306">
        <v>670.18</v>
      </c>
      <c r="G789" s="306">
        <v>651.79</v>
      </c>
      <c r="H789" s="306" t="s">
        <v>768</v>
      </c>
      <c r="I789" s="308">
        <v>1.95E-2</v>
      </c>
    </row>
    <row r="790" spans="2:9">
      <c r="B790" s="307">
        <v>45218</v>
      </c>
      <c r="C790" s="306">
        <v>10.63</v>
      </c>
      <c r="D790" s="306">
        <v>666.74</v>
      </c>
      <c r="E790" s="306">
        <v>660.91</v>
      </c>
      <c r="F790" s="306">
        <v>670.23</v>
      </c>
      <c r="G790" s="306">
        <v>656.57</v>
      </c>
      <c r="H790" s="306" t="s">
        <v>1232</v>
      </c>
      <c r="I790" s="308">
        <v>4.0000000000000002E-4</v>
      </c>
    </row>
    <row r="791" spans="2:9">
      <c r="B791" s="307">
        <v>45219</v>
      </c>
      <c r="C791" s="306">
        <v>11.76</v>
      </c>
      <c r="D791" s="306">
        <v>661.16</v>
      </c>
      <c r="E791" s="306">
        <v>664.6</v>
      </c>
      <c r="F791" s="306">
        <v>674.32</v>
      </c>
      <c r="G791" s="306">
        <v>658.47</v>
      </c>
      <c r="H791" s="306" t="s">
        <v>1233</v>
      </c>
      <c r="I791" s="308">
        <v>-8.3999999999999995E-3</v>
      </c>
    </row>
    <row r="792" spans="2:9">
      <c r="B792" s="307">
        <v>45222</v>
      </c>
      <c r="C792" s="306">
        <v>8.56</v>
      </c>
      <c r="D792" s="306">
        <v>645.36</v>
      </c>
      <c r="E792" s="306">
        <v>661.61</v>
      </c>
      <c r="F792" s="306">
        <v>665.2</v>
      </c>
      <c r="G792" s="306">
        <v>643.02</v>
      </c>
      <c r="H792" s="306" t="s">
        <v>1209</v>
      </c>
      <c r="I792" s="308">
        <v>-2.3900000000000001E-2</v>
      </c>
    </row>
    <row r="793" spans="2:9">
      <c r="B793" s="307">
        <v>45224</v>
      </c>
      <c r="C793" s="306">
        <v>8.23</v>
      </c>
      <c r="D793" s="306">
        <v>635.89</v>
      </c>
      <c r="E793" s="306">
        <v>648</v>
      </c>
      <c r="F793" s="306">
        <v>649.9</v>
      </c>
      <c r="G793" s="306">
        <v>634.09</v>
      </c>
      <c r="H793" s="306" t="s">
        <v>1234</v>
      </c>
      <c r="I793" s="308">
        <v>-1.47E-2</v>
      </c>
    </row>
    <row r="794" spans="2:9">
      <c r="B794" s="307">
        <v>45225</v>
      </c>
      <c r="C794" s="306">
        <v>8.89</v>
      </c>
      <c r="D794" s="306">
        <v>624.62</v>
      </c>
      <c r="E794" s="306">
        <v>633.04999999999995</v>
      </c>
      <c r="F794" s="306">
        <v>633.70000000000005</v>
      </c>
      <c r="G794" s="306">
        <v>622.23</v>
      </c>
      <c r="H794" s="306" t="s">
        <v>1235</v>
      </c>
      <c r="I794" s="308">
        <v>-1.77E-2</v>
      </c>
    </row>
    <row r="795" spans="2:9">
      <c r="B795" s="307">
        <v>45226</v>
      </c>
      <c r="C795" s="306">
        <v>10.23</v>
      </c>
      <c r="D795" s="306">
        <v>639.08000000000004</v>
      </c>
      <c r="E795" s="306">
        <v>628.05999999999995</v>
      </c>
      <c r="F795" s="306">
        <v>641.97</v>
      </c>
      <c r="G795" s="306">
        <v>626.52</v>
      </c>
      <c r="H795" s="306" t="s">
        <v>1236</v>
      </c>
      <c r="I795" s="308">
        <v>2.3099999999999999E-2</v>
      </c>
    </row>
    <row r="796" spans="2:9">
      <c r="B796" s="307">
        <v>45229</v>
      </c>
      <c r="C796" s="306">
        <v>12.79</v>
      </c>
      <c r="D796" s="306">
        <v>626.57000000000005</v>
      </c>
      <c r="E796" s="306">
        <v>641.82000000000005</v>
      </c>
      <c r="F796" s="306">
        <v>641.82000000000005</v>
      </c>
      <c r="G796" s="306">
        <v>619.94000000000005</v>
      </c>
      <c r="H796" s="306" t="s">
        <v>1237</v>
      </c>
      <c r="I796" s="308">
        <v>-1.9599999999999999E-2</v>
      </c>
    </row>
    <row r="797" spans="2:9">
      <c r="B797" s="307">
        <v>45230</v>
      </c>
      <c r="C797" s="306">
        <v>11.4</v>
      </c>
      <c r="D797" s="306">
        <v>626.72</v>
      </c>
      <c r="E797" s="306">
        <v>640.03</v>
      </c>
      <c r="F797" s="306">
        <v>640.03</v>
      </c>
      <c r="G797" s="306">
        <v>625.37</v>
      </c>
      <c r="H797" s="306" t="s">
        <v>1238</v>
      </c>
      <c r="I797" s="308">
        <v>2.0000000000000001E-4</v>
      </c>
    </row>
    <row r="798" spans="2:9">
      <c r="B798" s="307">
        <v>45231</v>
      </c>
      <c r="C798" s="306">
        <v>8.7899999999999991</v>
      </c>
      <c r="D798" s="306">
        <v>625.77</v>
      </c>
      <c r="E798" s="306">
        <v>628.05999999999995</v>
      </c>
      <c r="F798" s="306">
        <v>631.85</v>
      </c>
      <c r="G798" s="306">
        <v>624.37</v>
      </c>
      <c r="H798" s="306" t="s">
        <v>1239</v>
      </c>
      <c r="I798" s="308">
        <v>-1.5E-3</v>
      </c>
    </row>
    <row r="799" spans="2:9">
      <c r="B799" s="307">
        <v>45232</v>
      </c>
      <c r="C799" s="306">
        <v>9.93</v>
      </c>
      <c r="D799" s="306">
        <v>634.49</v>
      </c>
      <c r="E799" s="306">
        <v>630.05999999999995</v>
      </c>
      <c r="F799" s="306">
        <v>636.24</v>
      </c>
      <c r="G799" s="306">
        <v>628.16</v>
      </c>
      <c r="H799" s="306" t="s">
        <v>1032</v>
      </c>
      <c r="I799" s="308">
        <v>1.3899999999999999E-2</v>
      </c>
    </row>
    <row r="800" spans="2:9">
      <c r="B800" s="307">
        <v>45233</v>
      </c>
      <c r="C800" s="306">
        <v>23.09</v>
      </c>
      <c r="D800" s="306">
        <v>645.51</v>
      </c>
      <c r="E800" s="306">
        <v>659.96</v>
      </c>
      <c r="F800" s="306">
        <v>663.95</v>
      </c>
      <c r="G800" s="306">
        <v>644.21</v>
      </c>
      <c r="H800" s="306" t="s">
        <v>1240</v>
      </c>
      <c r="I800" s="308">
        <v>1.7399999999999999E-2</v>
      </c>
    </row>
    <row r="801" spans="2:9">
      <c r="B801" s="307">
        <v>45236</v>
      </c>
      <c r="C801" s="306">
        <v>10.8</v>
      </c>
      <c r="D801" s="306">
        <v>644.05999999999995</v>
      </c>
      <c r="E801" s="306">
        <v>650.84</v>
      </c>
      <c r="F801" s="306">
        <v>650.84</v>
      </c>
      <c r="G801" s="306">
        <v>641.22</v>
      </c>
      <c r="H801" s="306" t="s">
        <v>1241</v>
      </c>
      <c r="I801" s="308">
        <v>-2.2000000000000001E-3</v>
      </c>
    </row>
    <row r="802" spans="2:9">
      <c r="B802" s="307">
        <v>45237</v>
      </c>
      <c r="C802" s="306">
        <v>6.59</v>
      </c>
      <c r="D802" s="306">
        <v>643.02</v>
      </c>
      <c r="E802" s="306">
        <v>643.02</v>
      </c>
      <c r="F802" s="306">
        <v>647.9</v>
      </c>
      <c r="G802" s="306">
        <v>641.32000000000005</v>
      </c>
      <c r="H802" s="306" t="s">
        <v>1242</v>
      </c>
      <c r="I802" s="308">
        <v>-1.6000000000000001E-3</v>
      </c>
    </row>
    <row r="803" spans="2:9">
      <c r="B803" s="307">
        <v>45238</v>
      </c>
      <c r="C803" s="306">
        <v>6.55</v>
      </c>
      <c r="D803" s="306">
        <v>640.57000000000005</v>
      </c>
      <c r="E803" s="306">
        <v>646.01</v>
      </c>
      <c r="F803" s="306">
        <v>647.04999999999995</v>
      </c>
      <c r="G803" s="306">
        <v>639.92999999999995</v>
      </c>
      <c r="H803" s="306" t="s">
        <v>1218</v>
      </c>
      <c r="I803" s="308">
        <v>-3.8E-3</v>
      </c>
    </row>
    <row r="804" spans="2:9">
      <c r="B804" s="307">
        <v>45239</v>
      </c>
      <c r="C804" s="306">
        <v>10.16</v>
      </c>
      <c r="D804" s="306">
        <v>647.35</v>
      </c>
      <c r="E804" s="306">
        <v>642.02</v>
      </c>
      <c r="F804" s="306">
        <v>651.64</v>
      </c>
      <c r="G804" s="306">
        <v>640.72</v>
      </c>
      <c r="H804" s="306" t="s">
        <v>1243</v>
      </c>
      <c r="I804" s="308">
        <v>1.06E-2</v>
      </c>
    </row>
    <row r="805" spans="2:9">
      <c r="B805" s="307">
        <v>45240</v>
      </c>
      <c r="C805" s="306">
        <v>6.43</v>
      </c>
      <c r="D805" s="306">
        <v>649.04999999999995</v>
      </c>
      <c r="E805" s="306">
        <v>647.35</v>
      </c>
      <c r="F805" s="306">
        <v>650.94000000000005</v>
      </c>
      <c r="G805" s="306">
        <v>642.02</v>
      </c>
      <c r="H805" s="306" t="s">
        <v>1244</v>
      </c>
      <c r="I805" s="308">
        <v>2.5999999999999999E-3</v>
      </c>
    </row>
    <row r="806" spans="2:9">
      <c r="B806" s="307">
        <v>45242</v>
      </c>
      <c r="C806" s="306">
        <v>2.2400000000000002</v>
      </c>
      <c r="D806" s="306">
        <v>653.54999999999995</v>
      </c>
      <c r="E806" s="306">
        <v>657.95</v>
      </c>
      <c r="F806" s="306">
        <v>657.95</v>
      </c>
      <c r="G806" s="306">
        <v>652.70000000000005</v>
      </c>
      <c r="H806" s="306" t="s">
        <v>1245</v>
      </c>
      <c r="I806" s="308">
        <v>6.8999999999999999E-3</v>
      </c>
    </row>
    <row r="807" spans="2:9">
      <c r="B807" s="307">
        <v>45243</v>
      </c>
      <c r="C807" s="306">
        <v>3.28</v>
      </c>
      <c r="D807" s="306">
        <v>651.24</v>
      </c>
      <c r="E807" s="306">
        <v>650.99</v>
      </c>
      <c r="F807" s="306">
        <v>651.99</v>
      </c>
      <c r="G807" s="306">
        <v>647.29999999999995</v>
      </c>
      <c r="H807" s="306" t="s">
        <v>1246</v>
      </c>
      <c r="I807" s="308">
        <v>-3.5000000000000001E-3</v>
      </c>
    </row>
    <row r="808" spans="2:9">
      <c r="B808" s="307">
        <v>45245</v>
      </c>
      <c r="C808" s="306">
        <v>11.32</v>
      </c>
      <c r="D808" s="306">
        <v>669.48</v>
      </c>
      <c r="E808" s="306">
        <v>657.97</v>
      </c>
      <c r="F808" s="306">
        <v>671.43</v>
      </c>
      <c r="G808" s="306">
        <v>654.53</v>
      </c>
      <c r="H808" s="306" t="s">
        <v>1247</v>
      </c>
      <c r="I808" s="308">
        <v>2.8000000000000001E-2</v>
      </c>
    </row>
    <row r="809" spans="2:9">
      <c r="B809" s="307">
        <v>45246</v>
      </c>
      <c r="C809" s="306">
        <v>17.5</v>
      </c>
      <c r="D809" s="306">
        <v>678.31</v>
      </c>
      <c r="E809" s="306">
        <v>671.93</v>
      </c>
      <c r="F809" s="306">
        <v>683.39</v>
      </c>
      <c r="G809" s="306">
        <v>668.84</v>
      </c>
      <c r="H809" s="306" t="s">
        <v>1248</v>
      </c>
      <c r="I809" s="308">
        <v>1.32E-2</v>
      </c>
    </row>
    <row r="810" spans="2:9">
      <c r="B810" s="307">
        <v>45247</v>
      </c>
      <c r="C810" s="306">
        <v>9.56</v>
      </c>
      <c r="D810" s="306">
        <v>679.45</v>
      </c>
      <c r="E810" s="306">
        <v>680.4</v>
      </c>
      <c r="F810" s="306">
        <v>685.53</v>
      </c>
      <c r="G810" s="306">
        <v>677.51</v>
      </c>
      <c r="H810" s="306" t="s">
        <v>1249</v>
      </c>
      <c r="I810" s="308">
        <v>1.6999999999999999E-3</v>
      </c>
    </row>
    <row r="811" spans="2:9">
      <c r="B811" s="307">
        <v>45250</v>
      </c>
      <c r="C811" s="306">
        <v>8.32</v>
      </c>
      <c r="D811" s="306">
        <v>672.23</v>
      </c>
      <c r="E811" s="306">
        <v>679.9</v>
      </c>
      <c r="F811" s="306">
        <v>684.64</v>
      </c>
      <c r="G811" s="306">
        <v>668.64</v>
      </c>
      <c r="H811" s="306" t="s">
        <v>1250</v>
      </c>
      <c r="I811" s="308">
        <v>-1.06E-2</v>
      </c>
    </row>
    <row r="812" spans="2:9">
      <c r="B812" s="307">
        <v>45251</v>
      </c>
      <c r="C812" s="306">
        <v>7.29</v>
      </c>
      <c r="D812" s="306">
        <v>679.6</v>
      </c>
      <c r="E812" s="306">
        <v>674.92</v>
      </c>
      <c r="F812" s="306">
        <v>681.2</v>
      </c>
      <c r="G812" s="306">
        <v>672.92</v>
      </c>
      <c r="H812" s="306" t="s">
        <v>1251</v>
      </c>
      <c r="I812" s="308">
        <v>1.0999999999999999E-2</v>
      </c>
    </row>
    <row r="813" spans="2:9">
      <c r="B813" s="307">
        <v>45252</v>
      </c>
      <c r="C813" s="306">
        <v>9.2799999999999994</v>
      </c>
      <c r="D813" s="306">
        <v>679.1</v>
      </c>
      <c r="E813" s="306">
        <v>681.85</v>
      </c>
      <c r="F813" s="306">
        <v>685.24</v>
      </c>
      <c r="G813" s="306">
        <v>673.97</v>
      </c>
      <c r="H813" s="306" t="s">
        <v>1101</v>
      </c>
      <c r="I813" s="308">
        <v>-6.9999999999999999E-4</v>
      </c>
    </row>
    <row r="814" spans="2:9">
      <c r="B814" s="307">
        <v>45253</v>
      </c>
      <c r="C814" s="306">
        <v>5.89</v>
      </c>
      <c r="D814" s="306">
        <v>677.86</v>
      </c>
      <c r="E814" s="306">
        <v>681.1</v>
      </c>
      <c r="F814" s="306">
        <v>683.79</v>
      </c>
      <c r="G814" s="306">
        <v>674.97</v>
      </c>
      <c r="H814" s="306" t="s">
        <v>1252</v>
      </c>
      <c r="I814" s="308">
        <v>-1.8E-3</v>
      </c>
    </row>
    <row r="815" spans="2:9">
      <c r="B815" s="307">
        <v>45254</v>
      </c>
      <c r="C815" s="306">
        <v>6.95</v>
      </c>
      <c r="D815" s="306">
        <v>671.63</v>
      </c>
      <c r="E815" s="306">
        <v>679.3</v>
      </c>
      <c r="F815" s="306">
        <v>679.85</v>
      </c>
      <c r="G815" s="306">
        <v>669.18</v>
      </c>
      <c r="H815" s="306" t="s">
        <v>1124</v>
      </c>
      <c r="I815" s="308">
        <v>-9.1999999999999998E-3</v>
      </c>
    </row>
    <row r="816" spans="2:9">
      <c r="B816" s="307">
        <v>45258</v>
      </c>
      <c r="C816" s="306">
        <v>16.02</v>
      </c>
      <c r="D816" s="306">
        <v>695.35</v>
      </c>
      <c r="E816" s="306">
        <v>675.37</v>
      </c>
      <c r="F816" s="306">
        <v>697.3</v>
      </c>
      <c r="G816" s="306">
        <v>672.18</v>
      </c>
      <c r="H816" s="306" t="s">
        <v>1253</v>
      </c>
      <c r="I816" s="308">
        <v>3.5299999999999998E-2</v>
      </c>
    </row>
    <row r="817" spans="2:9">
      <c r="B817" s="307">
        <v>45259</v>
      </c>
      <c r="C817" s="306">
        <v>16.12</v>
      </c>
      <c r="D817" s="306">
        <v>710.16</v>
      </c>
      <c r="E817" s="306">
        <v>700.59</v>
      </c>
      <c r="F817" s="306">
        <v>712.2</v>
      </c>
      <c r="G817" s="306">
        <v>692.21</v>
      </c>
      <c r="H817" s="306" t="s">
        <v>1070</v>
      </c>
      <c r="I817" s="308">
        <v>2.1299999999999999E-2</v>
      </c>
    </row>
    <row r="818" spans="2:9">
      <c r="B818" s="307">
        <v>45260</v>
      </c>
      <c r="C818" s="306">
        <v>24.28</v>
      </c>
      <c r="D818" s="306">
        <v>704.23</v>
      </c>
      <c r="E818" s="306">
        <v>714.1</v>
      </c>
      <c r="F818" s="306">
        <v>715.04</v>
      </c>
      <c r="G818" s="306">
        <v>694.86</v>
      </c>
      <c r="H818" s="306" t="s">
        <v>1254</v>
      </c>
      <c r="I818" s="308">
        <v>-8.3999999999999995E-3</v>
      </c>
    </row>
    <row r="819" spans="2:9">
      <c r="B819" s="307">
        <v>45261</v>
      </c>
      <c r="C819" s="306">
        <v>10.57</v>
      </c>
      <c r="D819" s="306">
        <v>703.28</v>
      </c>
      <c r="E819" s="306">
        <v>705.82</v>
      </c>
      <c r="F819" s="306">
        <v>708.81</v>
      </c>
      <c r="G819" s="306">
        <v>700.84</v>
      </c>
      <c r="H819" s="306" t="s">
        <v>1255</v>
      </c>
      <c r="I819" s="308">
        <v>-1.2999999999999999E-3</v>
      </c>
    </row>
    <row r="820" spans="2:9">
      <c r="B820" s="307">
        <v>45264</v>
      </c>
      <c r="C820" s="306">
        <v>9.35</v>
      </c>
      <c r="D820" s="306">
        <v>703.43</v>
      </c>
      <c r="E820" s="306">
        <v>713.8</v>
      </c>
      <c r="F820" s="306">
        <v>714.79</v>
      </c>
      <c r="G820" s="306">
        <v>702.63</v>
      </c>
      <c r="H820" s="306" t="s">
        <v>1196</v>
      </c>
      <c r="I820" s="308">
        <v>2.0000000000000001E-4</v>
      </c>
    </row>
    <row r="821" spans="2:9">
      <c r="B821" s="307">
        <v>45265</v>
      </c>
      <c r="C821" s="306">
        <v>9.6</v>
      </c>
      <c r="D821" s="306">
        <v>706.77</v>
      </c>
      <c r="E821" s="306">
        <v>703.73</v>
      </c>
      <c r="F821" s="306">
        <v>712.7</v>
      </c>
      <c r="G821" s="306">
        <v>702.83</v>
      </c>
      <c r="H821" s="306" t="s">
        <v>1256</v>
      </c>
      <c r="I821" s="308">
        <v>4.7000000000000002E-3</v>
      </c>
    </row>
    <row r="822" spans="2:9">
      <c r="B822" s="307">
        <v>45266</v>
      </c>
      <c r="C822" s="306">
        <v>12.15</v>
      </c>
      <c r="D822" s="306">
        <v>720.23</v>
      </c>
      <c r="E822" s="306">
        <v>706.87</v>
      </c>
      <c r="F822" s="306">
        <v>722.57</v>
      </c>
      <c r="G822" s="306">
        <v>706.82</v>
      </c>
      <c r="H822" s="306" t="s">
        <v>1257</v>
      </c>
      <c r="I822" s="308">
        <v>1.9E-2</v>
      </c>
    </row>
    <row r="823" spans="2:9">
      <c r="B823" s="307">
        <v>45267</v>
      </c>
      <c r="C823" s="306">
        <v>10.45</v>
      </c>
      <c r="D823" s="306">
        <v>719.73</v>
      </c>
      <c r="E823" s="306">
        <v>722.77</v>
      </c>
      <c r="F823" s="306">
        <v>725.26</v>
      </c>
      <c r="G823" s="306">
        <v>713.8</v>
      </c>
      <c r="H823" s="306" t="s">
        <v>1077</v>
      </c>
      <c r="I823" s="308">
        <v>-6.9999999999999999E-4</v>
      </c>
    </row>
    <row r="824" spans="2:9">
      <c r="B824" s="307">
        <v>45268</v>
      </c>
      <c r="C824" s="306">
        <v>8.56</v>
      </c>
      <c r="D824" s="306">
        <v>712.35</v>
      </c>
      <c r="E824" s="306">
        <v>719.83</v>
      </c>
      <c r="F824" s="306">
        <v>725.36</v>
      </c>
      <c r="G824" s="306">
        <v>705.32</v>
      </c>
      <c r="H824" s="306" t="s">
        <v>1209</v>
      </c>
      <c r="I824" s="308">
        <v>-1.0200000000000001E-2</v>
      </c>
    </row>
    <row r="825" spans="2:9">
      <c r="B825" s="307">
        <v>45271</v>
      </c>
      <c r="C825" s="306">
        <v>6.4</v>
      </c>
      <c r="D825" s="306">
        <v>718.58</v>
      </c>
      <c r="E825" s="306">
        <v>715.59</v>
      </c>
      <c r="F825" s="306">
        <v>724.27</v>
      </c>
      <c r="G825" s="306">
        <v>714.35</v>
      </c>
      <c r="H825" s="306" t="s">
        <v>1258</v>
      </c>
      <c r="I825" s="308">
        <v>8.6999999999999994E-3</v>
      </c>
    </row>
    <row r="826" spans="2:9">
      <c r="B826" s="307">
        <v>45272</v>
      </c>
      <c r="C826" s="306">
        <v>6.46</v>
      </c>
      <c r="D826" s="306">
        <v>713.2</v>
      </c>
      <c r="E826" s="306">
        <v>722.57</v>
      </c>
      <c r="F826" s="306">
        <v>722.57</v>
      </c>
      <c r="G826" s="306">
        <v>710.81</v>
      </c>
      <c r="H826" s="306" t="s">
        <v>1259</v>
      </c>
      <c r="I826" s="308">
        <v>-7.4999999999999997E-3</v>
      </c>
    </row>
    <row r="827" spans="2:9">
      <c r="B827" s="307">
        <v>45273</v>
      </c>
      <c r="C827" s="306">
        <v>5.81</v>
      </c>
      <c r="D827" s="306">
        <v>718.08</v>
      </c>
      <c r="E827" s="306">
        <v>713.8</v>
      </c>
      <c r="F827" s="306">
        <v>719.23</v>
      </c>
      <c r="G827" s="306">
        <v>711.3</v>
      </c>
      <c r="H827" s="306" t="s">
        <v>1260</v>
      </c>
      <c r="I827" s="308">
        <v>6.7999999999999996E-3</v>
      </c>
    </row>
    <row r="828" spans="2:9">
      <c r="B828" s="307">
        <v>45274</v>
      </c>
      <c r="C828" s="306">
        <v>6.73</v>
      </c>
      <c r="D828" s="306">
        <v>717.54</v>
      </c>
      <c r="E828" s="306">
        <v>721.77</v>
      </c>
      <c r="F828" s="306">
        <v>722.47</v>
      </c>
      <c r="G828" s="306">
        <v>716.39</v>
      </c>
      <c r="H828" s="306" t="s">
        <v>1261</v>
      </c>
      <c r="I828" s="308">
        <v>-8.0000000000000004E-4</v>
      </c>
    </row>
    <row r="829" spans="2:9">
      <c r="B829" s="307">
        <v>45275</v>
      </c>
      <c r="C829" s="306">
        <v>12.08</v>
      </c>
      <c r="D829" s="306">
        <v>730.15</v>
      </c>
      <c r="E829" s="306">
        <v>721.67</v>
      </c>
      <c r="F829" s="306">
        <v>731.74</v>
      </c>
      <c r="G829" s="306">
        <v>719.03</v>
      </c>
      <c r="H829" s="306" t="s">
        <v>1262</v>
      </c>
      <c r="I829" s="308">
        <v>1.7600000000000001E-2</v>
      </c>
    </row>
    <row r="830" spans="2:9">
      <c r="B830" s="307">
        <v>45278</v>
      </c>
      <c r="C830" s="306">
        <v>5.45</v>
      </c>
      <c r="D830" s="306">
        <v>728.55</v>
      </c>
      <c r="E830" s="306">
        <v>730.65</v>
      </c>
      <c r="F830" s="306">
        <v>732.49</v>
      </c>
      <c r="G830" s="306">
        <v>725.86</v>
      </c>
      <c r="H830" s="306" t="s">
        <v>1263</v>
      </c>
      <c r="I830" s="308">
        <v>-2.2000000000000001E-3</v>
      </c>
    </row>
    <row r="831" spans="2:9">
      <c r="B831" s="307">
        <v>45279</v>
      </c>
      <c r="C831" s="306">
        <v>4.51</v>
      </c>
      <c r="D831" s="306">
        <v>726.71</v>
      </c>
      <c r="E831" s="306">
        <v>730.35</v>
      </c>
      <c r="F831" s="306">
        <v>730.35</v>
      </c>
      <c r="G831" s="306">
        <v>723.77</v>
      </c>
      <c r="H831" s="306" t="s">
        <v>1264</v>
      </c>
      <c r="I831" s="308">
        <v>-2.5000000000000001E-3</v>
      </c>
    </row>
    <row r="832" spans="2:9">
      <c r="B832" s="307">
        <v>45280</v>
      </c>
      <c r="C832" s="306">
        <v>8.11</v>
      </c>
      <c r="D832" s="306">
        <v>703.08</v>
      </c>
      <c r="E832" s="306">
        <v>728.7</v>
      </c>
      <c r="F832" s="306">
        <v>730.74</v>
      </c>
      <c r="G832" s="306">
        <v>700.89</v>
      </c>
      <c r="H832" s="306" t="s">
        <v>1265</v>
      </c>
      <c r="I832" s="308">
        <v>-3.2500000000000001E-2</v>
      </c>
    </row>
    <row r="833" spans="2:9">
      <c r="B833" s="307">
        <v>45281</v>
      </c>
      <c r="C833" s="306">
        <v>7.7</v>
      </c>
      <c r="D833" s="306">
        <v>706.67</v>
      </c>
      <c r="E833" s="306">
        <v>700.84</v>
      </c>
      <c r="F833" s="306">
        <v>709.71</v>
      </c>
      <c r="G833" s="306">
        <v>694.11</v>
      </c>
      <c r="H833" s="306" t="s">
        <v>1228</v>
      </c>
      <c r="I833" s="308">
        <v>5.1000000000000004E-3</v>
      </c>
    </row>
    <row r="834" spans="2:9">
      <c r="B834" s="307">
        <v>45282</v>
      </c>
      <c r="C834" s="306">
        <v>12.06</v>
      </c>
      <c r="D834" s="306">
        <v>722.47</v>
      </c>
      <c r="E834" s="306">
        <v>714.59</v>
      </c>
      <c r="F834" s="306">
        <v>728.75</v>
      </c>
      <c r="G834" s="306">
        <v>709.81</v>
      </c>
      <c r="H834" s="306" t="s">
        <v>1266</v>
      </c>
      <c r="I834" s="308">
        <v>2.24E-2</v>
      </c>
    </row>
    <row r="835" spans="2:9">
      <c r="B835" s="307">
        <v>45286</v>
      </c>
      <c r="C835" s="306">
        <v>7.23</v>
      </c>
      <c r="D835" s="306">
        <v>717.34</v>
      </c>
      <c r="E835" s="306">
        <v>725.16</v>
      </c>
      <c r="F835" s="306">
        <v>725.26</v>
      </c>
      <c r="G835" s="306">
        <v>714.4</v>
      </c>
      <c r="H835" s="306" t="s">
        <v>1267</v>
      </c>
      <c r="I835" s="308">
        <v>-7.1000000000000004E-3</v>
      </c>
    </row>
    <row r="836" spans="2:9">
      <c r="B836" s="307">
        <v>45287</v>
      </c>
      <c r="C836" s="306">
        <v>15.05</v>
      </c>
      <c r="D836" s="306">
        <v>738.62</v>
      </c>
      <c r="E836" s="306">
        <v>725.76</v>
      </c>
      <c r="F836" s="306">
        <v>739.57</v>
      </c>
      <c r="G836" s="306">
        <v>722.92</v>
      </c>
      <c r="H836" s="306" t="s">
        <v>990</v>
      </c>
      <c r="I836" s="308">
        <v>2.9700000000000001E-2</v>
      </c>
    </row>
    <row r="837" spans="2:9">
      <c r="B837" s="307">
        <v>45288</v>
      </c>
      <c r="C837" s="306">
        <v>14.91</v>
      </c>
      <c r="D837" s="306">
        <v>751.58</v>
      </c>
      <c r="E837" s="306">
        <v>740.37</v>
      </c>
      <c r="F837" s="306">
        <v>755.62</v>
      </c>
      <c r="G837" s="306">
        <v>736.78</v>
      </c>
      <c r="H837" s="306" t="s">
        <v>768</v>
      </c>
      <c r="I837" s="308">
        <v>1.7500000000000002E-2</v>
      </c>
    </row>
    <row r="838" spans="2:9">
      <c r="B838" s="307">
        <v>45289</v>
      </c>
      <c r="C838" s="306">
        <v>41.17</v>
      </c>
      <c r="D838" s="306">
        <v>777.55</v>
      </c>
      <c r="E838" s="306">
        <v>752.68</v>
      </c>
      <c r="F838" s="306">
        <v>800.43</v>
      </c>
      <c r="G838" s="306">
        <v>751.68</v>
      </c>
      <c r="H838" s="306" t="s">
        <v>1268</v>
      </c>
      <c r="I838" s="308">
        <v>3.4599999999999999E-2</v>
      </c>
    </row>
    <row r="839" spans="2:9">
      <c r="B839" s="307">
        <v>45292</v>
      </c>
      <c r="C839" s="306">
        <v>12.57</v>
      </c>
      <c r="D839" s="306">
        <v>788.17</v>
      </c>
      <c r="E839" s="306">
        <v>782.59</v>
      </c>
      <c r="F839" s="306">
        <v>796.24</v>
      </c>
      <c r="G839" s="306">
        <v>778.65</v>
      </c>
      <c r="H839" s="306" t="s">
        <v>1269</v>
      </c>
      <c r="I839" s="308">
        <v>1.37E-2</v>
      </c>
    </row>
    <row r="840" spans="2:9">
      <c r="B840" s="307">
        <v>45293</v>
      </c>
      <c r="C840" s="306">
        <v>13.79</v>
      </c>
      <c r="D840" s="306">
        <v>781.99</v>
      </c>
      <c r="E840" s="306">
        <v>798.04</v>
      </c>
      <c r="F840" s="306">
        <v>801.53</v>
      </c>
      <c r="G840" s="306">
        <v>776.6</v>
      </c>
      <c r="H840" s="306" t="s">
        <v>1270</v>
      </c>
      <c r="I840" s="308">
        <v>-7.7999999999999996E-3</v>
      </c>
    </row>
    <row r="841" spans="2:9">
      <c r="B841" s="307">
        <v>45294</v>
      </c>
      <c r="C841" s="306">
        <v>8.56</v>
      </c>
      <c r="D841" s="306">
        <v>779.05</v>
      </c>
      <c r="E841" s="306">
        <v>783.63</v>
      </c>
      <c r="F841" s="306">
        <v>787.57</v>
      </c>
      <c r="G841" s="306">
        <v>773.86</v>
      </c>
      <c r="H841" s="306" t="s">
        <v>1209</v>
      </c>
      <c r="I841" s="308">
        <v>-3.8E-3</v>
      </c>
    </row>
    <row r="842" spans="2:9">
      <c r="B842" s="307">
        <v>45295</v>
      </c>
      <c r="C842" s="306">
        <v>14.3</v>
      </c>
      <c r="D842" s="306">
        <v>793.3</v>
      </c>
      <c r="E842" s="306">
        <v>795.54</v>
      </c>
      <c r="F842" s="306">
        <v>799.33</v>
      </c>
      <c r="G842" s="306">
        <v>788.87</v>
      </c>
      <c r="H842" s="306" t="s">
        <v>1271</v>
      </c>
      <c r="I842" s="308">
        <v>1.83E-2</v>
      </c>
    </row>
    <row r="843" spans="2:9">
      <c r="B843" s="307">
        <v>45296</v>
      </c>
      <c r="C843" s="306">
        <v>11.09</v>
      </c>
      <c r="D843" s="306">
        <v>788.52</v>
      </c>
      <c r="E843" s="306">
        <v>796.54</v>
      </c>
      <c r="F843" s="306">
        <v>803.42</v>
      </c>
      <c r="G843" s="306">
        <v>784.68</v>
      </c>
      <c r="H843" s="306" t="s">
        <v>1272</v>
      </c>
      <c r="I843" s="308">
        <v>-6.0000000000000001E-3</v>
      </c>
    </row>
    <row r="844" spans="2:9">
      <c r="B844" s="307">
        <v>45299</v>
      </c>
      <c r="C844" s="306">
        <v>7.67</v>
      </c>
      <c r="D844" s="306">
        <v>786.67</v>
      </c>
      <c r="E844" s="306">
        <v>795.94</v>
      </c>
      <c r="F844" s="306">
        <v>797.89</v>
      </c>
      <c r="G844" s="306">
        <v>785.08</v>
      </c>
      <c r="H844" s="306" t="s">
        <v>1098</v>
      </c>
      <c r="I844" s="308">
        <v>-2.3E-3</v>
      </c>
    </row>
    <row r="845" spans="2:9">
      <c r="B845" s="307">
        <v>45300</v>
      </c>
      <c r="C845" s="306">
        <v>12.87</v>
      </c>
      <c r="D845" s="306">
        <v>797.34</v>
      </c>
      <c r="E845" s="306">
        <v>797.49</v>
      </c>
      <c r="F845" s="306">
        <v>806.71</v>
      </c>
      <c r="G845" s="306">
        <v>790.71</v>
      </c>
      <c r="H845" s="306" t="s">
        <v>1273</v>
      </c>
      <c r="I845" s="308">
        <v>1.3599999999999999E-2</v>
      </c>
    </row>
    <row r="846" spans="2:9">
      <c r="B846" s="307">
        <v>45301</v>
      </c>
      <c r="C846" s="306">
        <v>9.98</v>
      </c>
      <c r="D846" s="306">
        <v>805.96</v>
      </c>
      <c r="E846" s="306">
        <v>797.54</v>
      </c>
      <c r="F846" s="306">
        <v>808.51</v>
      </c>
      <c r="G846" s="306">
        <v>790.21</v>
      </c>
      <c r="H846" s="306" t="s">
        <v>1152</v>
      </c>
      <c r="I846" s="308">
        <v>1.0800000000000001E-2</v>
      </c>
    </row>
    <row r="847" spans="2:9">
      <c r="B847" s="307">
        <v>45302</v>
      </c>
      <c r="C847" s="306">
        <v>11.08</v>
      </c>
      <c r="D847" s="306">
        <v>813.14</v>
      </c>
      <c r="E847" s="306">
        <v>811</v>
      </c>
      <c r="F847" s="306">
        <v>814.98</v>
      </c>
      <c r="G847" s="306">
        <v>805.96</v>
      </c>
      <c r="H847" s="306" t="s">
        <v>1274</v>
      </c>
      <c r="I847" s="308">
        <v>8.8999999999999999E-3</v>
      </c>
    </row>
    <row r="848" spans="2:9">
      <c r="B848" s="307">
        <v>45303</v>
      </c>
      <c r="C848" s="306">
        <v>7.66</v>
      </c>
      <c r="D848" s="306">
        <v>813.94</v>
      </c>
      <c r="E848" s="306">
        <v>815.63</v>
      </c>
      <c r="F848" s="306">
        <v>816.03</v>
      </c>
      <c r="G848" s="306">
        <v>806.66</v>
      </c>
      <c r="H848" s="306" t="s">
        <v>1275</v>
      </c>
      <c r="I848" s="308">
        <v>1E-3</v>
      </c>
    </row>
    <row r="849" spans="2:9">
      <c r="B849" s="307">
        <v>45306</v>
      </c>
      <c r="C849" s="306">
        <v>4.84</v>
      </c>
      <c r="D849" s="306">
        <v>809.95</v>
      </c>
      <c r="E849" s="306">
        <v>817.48</v>
      </c>
      <c r="F849" s="306">
        <v>817.88</v>
      </c>
      <c r="G849" s="306">
        <v>807.81</v>
      </c>
      <c r="H849" s="306" t="s">
        <v>1276</v>
      </c>
      <c r="I849" s="308">
        <v>-4.8999999999999998E-3</v>
      </c>
    </row>
    <row r="850" spans="2:9">
      <c r="B850" s="307">
        <v>45307</v>
      </c>
      <c r="C850" s="306">
        <v>10.16</v>
      </c>
      <c r="D850" s="306">
        <v>816.33</v>
      </c>
      <c r="E850" s="306">
        <v>809.95</v>
      </c>
      <c r="F850" s="306">
        <v>824.46</v>
      </c>
      <c r="G850" s="306">
        <v>809.95</v>
      </c>
      <c r="H850" s="306" t="s">
        <v>1243</v>
      </c>
      <c r="I850" s="308">
        <v>7.9000000000000008E-3</v>
      </c>
    </row>
    <row r="851" spans="2:9">
      <c r="B851" s="307">
        <v>45308</v>
      </c>
      <c r="C851" s="306">
        <v>7.9</v>
      </c>
      <c r="D851" s="306">
        <v>803.07</v>
      </c>
      <c r="E851" s="306">
        <v>808.51</v>
      </c>
      <c r="F851" s="306">
        <v>811.2</v>
      </c>
      <c r="G851" s="306">
        <v>801.53</v>
      </c>
      <c r="H851" s="306" t="s">
        <v>1102</v>
      </c>
      <c r="I851" s="308">
        <v>-1.6199999999999999E-2</v>
      </c>
    </row>
    <row r="852" spans="2:9">
      <c r="B852" s="307">
        <v>45309</v>
      </c>
      <c r="C852" s="306">
        <v>11.5</v>
      </c>
      <c r="D852" s="306">
        <v>816.53</v>
      </c>
      <c r="E852" s="306">
        <v>804.52</v>
      </c>
      <c r="F852" s="306">
        <v>820.42</v>
      </c>
      <c r="G852" s="306">
        <v>794.55</v>
      </c>
      <c r="H852" s="306" t="s">
        <v>1277</v>
      </c>
      <c r="I852" s="308">
        <v>1.6799999999999999E-2</v>
      </c>
    </row>
    <row r="853" spans="2:9">
      <c r="B853" s="307">
        <v>45310</v>
      </c>
      <c r="C853" s="306">
        <v>5.71</v>
      </c>
      <c r="D853" s="306">
        <v>821.02</v>
      </c>
      <c r="E853" s="306">
        <v>821.32</v>
      </c>
      <c r="F853" s="306">
        <v>823.46</v>
      </c>
      <c r="G853" s="306">
        <v>816.98</v>
      </c>
      <c r="H853" s="306" t="s">
        <v>1278</v>
      </c>
      <c r="I853" s="308">
        <v>5.4999999999999997E-3</v>
      </c>
    </row>
    <row r="854" spans="2:9">
      <c r="B854" s="307">
        <v>45311</v>
      </c>
      <c r="C854" s="306">
        <v>2.84</v>
      </c>
      <c r="D854" s="306">
        <v>818.9</v>
      </c>
      <c r="E854" s="306">
        <v>826</v>
      </c>
      <c r="F854" s="306">
        <v>827</v>
      </c>
      <c r="G854" s="306">
        <v>817.05</v>
      </c>
      <c r="H854" s="306" t="s">
        <v>1279</v>
      </c>
      <c r="I854" s="308">
        <v>-2.5999999999999999E-3</v>
      </c>
    </row>
    <row r="855" spans="2:9">
      <c r="B855" s="307">
        <v>45314</v>
      </c>
      <c r="C855" s="306">
        <v>9.44</v>
      </c>
      <c r="D855" s="306">
        <v>797.99</v>
      </c>
      <c r="E855" s="306">
        <v>822.36</v>
      </c>
      <c r="F855" s="306">
        <v>825.05</v>
      </c>
      <c r="G855" s="306">
        <v>793.85</v>
      </c>
      <c r="H855" s="306" t="s">
        <v>1280</v>
      </c>
      <c r="I855" s="308">
        <v>-2.5499999999999998E-2</v>
      </c>
    </row>
    <row r="856" spans="2:9">
      <c r="B856" s="307">
        <v>45315</v>
      </c>
      <c r="C856" s="306">
        <v>7.22</v>
      </c>
      <c r="D856" s="306">
        <v>808.41</v>
      </c>
      <c r="E856" s="306">
        <v>799.93</v>
      </c>
      <c r="F856" s="306">
        <v>809.5</v>
      </c>
      <c r="G856" s="306">
        <v>786.08</v>
      </c>
      <c r="H856" s="306" t="s">
        <v>1281</v>
      </c>
      <c r="I856" s="308">
        <v>1.3100000000000001E-2</v>
      </c>
    </row>
    <row r="857" spans="2:9">
      <c r="B857" s="307">
        <v>45316</v>
      </c>
      <c r="C857" s="306">
        <v>10.11</v>
      </c>
      <c r="D857" s="306">
        <v>809.35</v>
      </c>
      <c r="E857" s="306">
        <v>811.5</v>
      </c>
      <c r="F857" s="306">
        <v>811.65</v>
      </c>
      <c r="G857" s="306">
        <v>797.84</v>
      </c>
      <c r="H857" s="306" t="s">
        <v>1282</v>
      </c>
      <c r="I857" s="308">
        <v>1.1999999999999999E-3</v>
      </c>
    </row>
    <row r="858" spans="2:9">
      <c r="B858" s="307">
        <v>45320</v>
      </c>
      <c r="C858" s="306">
        <v>12.82</v>
      </c>
      <c r="D858" s="306">
        <v>838.41</v>
      </c>
      <c r="E858" s="306">
        <v>809.35</v>
      </c>
      <c r="F858" s="306">
        <v>841.2</v>
      </c>
      <c r="G858" s="306">
        <v>808.55</v>
      </c>
      <c r="H858" s="306" t="s">
        <v>1283</v>
      </c>
      <c r="I858" s="308">
        <v>3.5900000000000001E-2</v>
      </c>
    </row>
    <row r="859" spans="2:9">
      <c r="B859" s="307">
        <v>45321</v>
      </c>
      <c r="C859" s="306">
        <v>19.73</v>
      </c>
      <c r="D859" s="306">
        <v>856.21</v>
      </c>
      <c r="E859" s="306">
        <v>840.41</v>
      </c>
      <c r="F859" s="306">
        <v>883.22</v>
      </c>
      <c r="G859" s="306">
        <v>840.26</v>
      </c>
      <c r="H859" s="306" t="s">
        <v>1284</v>
      </c>
      <c r="I859" s="308">
        <v>2.12E-2</v>
      </c>
    </row>
    <row r="860" spans="2:9">
      <c r="B860" s="307">
        <v>45322</v>
      </c>
      <c r="C860" s="306">
        <v>24.56</v>
      </c>
      <c r="D860" s="306">
        <v>881.48</v>
      </c>
      <c r="E860" s="306">
        <v>862.54</v>
      </c>
      <c r="F860" s="306">
        <v>893.74</v>
      </c>
      <c r="G860" s="306">
        <v>862.54</v>
      </c>
      <c r="H860" s="306" t="s">
        <v>1285</v>
      </c>
      <c r="I860" s="308">
        <v>2.9499999999999998E-2</v>
      </c>
    </row>
    <row r="861" spans="2:9">
      <c r="B861" s="307">
        <v>45323</v>
      </c>
      <c r="C861" s="306">
        <v>14.51</v>
      </c>
      <c r="D861" s="306">
        <v>875.8</v>
      </c>
      <c r="E861" s="306">
        <v>897.23</v>
      </c>
      <c r="F861" s="306">
        <v>897.38</v>
      </c>
      <c r="G861" s="306">
        <v>873.6</v>
      </c>
      <c r="H861" s="306" t="s">
        <v>1286</v>
      </c>
      <c r="I861" s="308">
        <v>-6.4000000000000003E-3</v>
      </c>
    </row>
    <row r="862" spans="2:9">
      <c r="B862" s="307">
        <v>45324</v>
      </c>
      <c r="C862" s="306">
        <v>13</v>
      </c>
      <c r="D862" s="306">
        <v>876.05</v>
      </c>
      <c r="E862" s="306">
        <v>883.28</v>
      </c>
      <c r="F862" s="306">
        <v>892.99</v>
      </c>
      <c r="G862" s="306">
        <v>874.15</v>
      </c>
      <c r="H862" s="306" t="s">
        <v>1287</v>
      </c>
      <c r="I862" s="308">
        <v>2.9999999999999997E-4</v>
      </c>
    </row>
    <row r="863" spans="2:9">
      <c r="B863" s="307">
        <v>45327</v>
      </c>
      <c r="C863" s="306">
        <v>38.69</v>
      </c>
      <c r="D863" s="306">
        <v>923.95</v>
      </c>
      <c r="E863" s="306">
        <v>931.13</v>
      </c>
      <c r="F863" s="306">
        <v>947.08</v>
      </c>
      <c r="G863" s="306">
        <v>912.53</v>
      </c>
      <c r="H863" s="306" t="s">
        <v>1288</v>
      </c>
      <c r="I863" s="308">
        <v>5.4699999999999999E-2</v>
      </c>
    </row>
    <row r="864" spans="2:9">
      <c r="B864" s="307">
        <v>45328</v>
      </c>
      <c r="C864" s="306">
        <v>12.71</v>
      </c>
      <c r="D864" s="306">
        <v>936.66</v>
      </c>
      <c r="E864" s="306">
        <v>933.52</v>
      </c>
      <c r="F864" s="306">
        <v>938.41</v>
      </c>
      <c r="G864" s="306">
        <v>925.54</v>
      </c>
      <c r="H864" s="306" t="s">
        <v>1165</v>
      </c>
      <c r="I864" s="308">
        <v>1.38E-2</v>
      </c>
    </row>
    <row r="865" spans="2:9">
      <c r="B865" s="307">
        <v>45329</v>
      </c>
      <c r="C865" s="306">
        <v>7.91</v>
      </c>
      <c r="D865" s="306">
        <v>930.93</v>
      </c>
      <c r="E865" s="306">
        <v>941.1</v>
      </c>
      <c r="F865" s="306">
        <v>941.1</v>
      </c>
      <c r="G865" s="306">
        <v>925.2</v>
      </c>
      <c r="H865" s="306" t="s">
        <v>1289</v>
      </c>
      <c r="I865" s="308">
        <v>-6.1000000000000004E-3</v>
      </c>
    </row>
    <row r="866" spans="2:9">
      <c r="B866" s="307">
        <v>45330</v>
      </c>
      <c r="C866" s="306">
        <v>11.58</v>
      </c>
      <c r="D866" s="306">
        <v>921.46</v>
      </c>
      <c r="E866" s="306">
        <v>934.12</v>
      </c>
      <c r="F866" s="306">
        <v>936.81</v>
      </c>
      <c r="G866" s="306">
        <v>915.97</v>
      </c>
      <c r="H866" s="306" t="s">
        <v>1290</v>
      </c>
      <c r="I866" s="308">
        <v>-1.0200000000000001E-2</v>
      </c>
    </row>
    <row r="867" spans="2:9">
      <c r="B867" s="307">
        <v>45331</v>
      </c>
      <c r="C867" s="306">
        <v>7.9</v>
      </c>
      <c r="D867" s="306">
        <v>912.18</v>
      </c>
      <c r="E867" s="306">
        <v>923.15</v>
      </c>
      <c r="F867" s="306">
        <v>924.55</v>
      </c>
      <c r="G867" s="306">
        <v>903.26</v>
      </c>
      <c r="H867" s="306" t="s">
        <v>1102</v>
      </c>
      <c r="I867" s="308">
        <v>-1.01E-2</v>
      </c>
    </row>
    <row r="868" spans="2:9">
      <c r="B868" s="307">
        <v>45334</v>
      </c>
      <c r="C868" s="306">
        <v>7.29</v>
      </c>
      <c r="D868" s="306">
        <v>908.8</v>
      </c>
      <c r="E868" s="306">
        <v>913.28</v>
      </c>
      <c r="F868" s="306">
        <v>922.16</v>
      </c>
      <c r="G868" s="306">
        <v>905.21</v>
      </c>
      <c r="H868" s="306" t="s">
        <v>1251</v>
      </c>
      <c r="I868" s="308">
        <v>-3.7000000000000002E-3</v>
      </c>
    </row>
    <row r="869" spans="2:9">
      <c r="B869" s="307">
        <v>45335</v>
      </c>
      <c r="C869" s="306">
        <v>8.57</v>
      </c>
      <c r="D869" s="306">
        <v>904.11</v>
      </c>
      <c r="E869" s="306">
        <v>908.8</v>
      </c>
      <c r="F869" s="306">
        <v>916.27</v>
      </c>
      <c r="G869" s="306">
        <v>891.25</v>
      </c>
      <c r="H869" s="306" t="s">
        <v>1096</v>
      </c>
      <c r="I869" s="308">
        <v>-5.1999999999999998E-3</v>
      </c>
    </row>
    <row r="870" spans="2:9">
      <c r="B870" s="307">
        <v>45336</v>
      </c>
      <c r="C870" s="306">
        <v>6.57</v>
      </c>
      <c r="D870" s="306">
        <v>915.47</v>
      </c>
      <c r="E870" s="306">
        <v>897.23</v>
      </c>
      <c r="F870" s="306">
        <v>917.12</v>
      </c>
      <c r="G870" s="306">
        <v>891.6</v>
      </c>
      <c r="H870" s="306" t="s">
        <v>1045</v>
      </c>
      <c r="I870" s="308">
        <v>1.26E-2</v>
      </c>
    </row>
    <row r="871" spans="2:9">
      <c r="B871" s="307">
        <v>45337</v>
      </c>
      <c r="C871" s="306">
        <v>6.43</v>
      </c>
      <c r="D871" s="306">
        <v>917.72</v>
      </c>
      <c r="E871" s="306">
        <v>920.86</v>
      </c>
      <c r="F871" s="306">
        <v>924.15</v>
      </c>
      <c r="G871" s="306">
        <v>913.53</v>
      </c>
      <c r="H871" s="306" t="s">
        <v>1244</v>
      </c>
      <c r="I871" s="308">
        <v>2.5000000000000001E-3</v>
      </c>
    </row>
    <row r="872" spans="2:9">
      <c r="B872" s="307">
        <v>45338</v>
      </c>
      <c r="C872" s="306">
        <v>12.83</v>
      </c>
      <c r="D872" s="306">
        <v>935.71</v>
      </c>
      <c r="E872" s="306">
        <v>922.16</v>
      </c>
      <c r="F872" s="306">
        <v>945.88</v>
      </c>
      <c r="G872" s="306">
        <v>921.26</v>
      </c>
      <c r="H872" s="306" t="s">
        <v>1291</v>
      </c>
      <c r="I872" s="308">
        <v>1.9599999999999999E-2</v>
      </c>
    </row>
    <row r="873" spans="2:9">
      <c r="B873" s="307">
        <v>45341</v>
      </c>
      <c r="C873" s="306">
        <v>4.63</v>
      </c>
      <c r="D873" s="306">
        <v>929.73</v>
      </c>
      <c r="E873" s="306">
        <v>940.05</v>
      </c>
      <c r="F873" s="306">
        <v>940.05</v>
      </c>
      <c r="G873" s="306">
        <v>928.19</v>
      </c>
      <c r="H873" s="306" t="s">
        <v>1292</v>
      </c>
      <c r="I873" s="308">
        <v>-6.4000000000000003E-3</v>
      </c>
    </row>
    <row r="874" spans="2:9">
      <c r="B874" s="307">
        <v>45342</v>
      </c>
      <c r="C874" s="306">
        <v>4.7300000000000004</v>
      </c>
      <c r="D874" s="306">
        <v>923.5</v>
      </c>
      <c r="E874" s="306">
        <v>931.58</v>
      </c>
      <c r="F874" s="306">
        <v>931.78</v>
      </c>
      <c r="G874" s="306">
        <v>917.57</v>
      </c>
      <c r="H874" s="306" t="s">
        <v>1293</v>
      </c>
      <c r="I874" s="308">
        <v>-6.7000000000000002E-3</v>
      </c>
    </row>
    <row r="875" spans="2:9">
      <c r="B875" s="307">
        <v>45343</v>
      </c>
      <c r="C875" s="306">
        <v>6.01</v>
      </c>
      <c r="D875" s="306">
        <v>918.22</v>
      </c>
      <c r="E875" s="306">
        <v>923.5</v>
      </c>
      <c r="F875" s="306">
        <v>934.32</v>
      </c>
      <c r="G875" s="306">
        <v>913.68</v>
      </c>
      <c r="H875" s="306" t="s">
        <v>1294</v>
      </c>
      <c r="I875" s="308">
        <v>-5.7000000000000002E-3</v>
      </c>
    </row>
    <row r="876" spans="2:9">
      <c r="B876" s="307">
        <v>45344</v>
      </c>
      <c r="C876" s="306">
        <v>6.44</v>
      </c>
      <c r="D876" s="306">
        <v>929.43</v>
      </c>
      <c r="E876" s="306">
        <v>921.81</v>
      </c>
      <c r="F876" s="306">
        <v>930.98</v>
      </c>
      <c r="G876" s="306">
        <v>911.79</v>
      </c>
      <c r="H876" s="306" t="s">
        <v>1295</v>
      </c>
      <c r="I876" s="308">
        <v>1.2200000000000001E-2</v>
      </c>
    </row>
    <row r="877" spans="2:9">
      <c r="B877" s="307">
        <v>45345</v>
      </c>
      <c r="C877" s="306">
        <v>7.05</v>
      </c>
      <c r="D877" s="306">
        <v>934.52</v>
      </c>
      <c r="E877" s="306">
        <v>930.23</v>
      </c>
      <c r="F877" s="306">
        <v>936.91</v>
      </c>
      <c r="G877" s="306">
        <v>926.54</v>
      </c>
      <c r="H877" s="306" t="s">
        <v>1296</v>
      </c>
      <c r="I877" s="308">
        <v>5.4999999999999997E-3</v>
      </c>
    </row>
    <row r="878" spans="2:9">
      <c r="B878" s="307">
        <v>45348</v>
      </c>
      <c r="C878" s="306">
        <v>5.6</v>
      </c>
      <c r="D878" s="306">
        <v>934.07</v>
      </c>
      <c r="E878" s="306">
        <v>934.22</v>
      </c>
      <c r="F878" s="306">
        <v>942.09</v>
      </c>
      <c r="G878" s="306">
        <v>927.84</v>
      </c>
      <c r="H878" s="306" t="s">
        <v>1297</v>
      </c>
      <c r="I878" s="308">
        <v>-5.0000000000000001E-4</v>
      </c>
    </row>
    <row r="879" spans="2:9">
      <c r="B879" s="307">
        <v>45349</v>
      </c>
      <c r="C879" s="306">
        <v>12.81</v>
      </c>
      <c r="D879" s="306">
        <v>959.74</v>
      </c>
      <c r="E879" s="306">
        <v>933.87</v>
      </c>
      <c r="F879" s="306">
        <v>962.03</v>
      </c>
      <c r="G879" s="306">
        <v>932.62</v>
      </c>
      <c r="H879" s="306" t="s">
        <v>1298</v>
      </c>
      <c r="I879" s="308">
        <v>2.75E-2</v>
      </c>
    </row>
    <row r="880" spans="2:9">
      <c r="B880" s="307">
        <v>45350</v>
      </c>
      <c r="C880" s="306">
        <v>15.22</v>
      </c>
      <c r="D880" s="306">
        <v>955.1</v>
      </c>
      <c r="E880" s="306">
        <v>963.18</v>
      </c>
      <c r="F880" s="306">
        <v>973</v>
      </c>
      <c r="G880" s="306">
        <v>947.38</v>
      </c>
      <c r="H880" s="306" t="s">
        <v>1299</v>
      </c>
      <c r="I880" s="308">
        <v>-4.7999999999999996E-3</v>
      </c>
    </row>
    <row r="881" spans="2:9">
      <c r="B881" s="307">
        <v>45351</v>
      </c>
      <c r="C881" s="306">
        <v>10.35</v>
      </c>
      <c r="D881" s="306">
        <v>947.28</v>
      </c>
      <c r="E881" s="306">
        <v>956.05</v>
      </c>
      <c r="F881" s="306">
        <v>956.3</v>
      </c>
      <c r="G881" s="306">
        <v>940</v>
      </c>
      <c r="H881" s="306" t="s">
        <v>1300</v>
      </c>
      <c r="I881" s="308">
        <v>-8.2000000000000007E-3</v>
      </c>
    </row>
    <row r="882" spans="2:9">
      <c r="B882" s="307">
        <v>45352</v>
      </c>
      <c r="C882" s="306">
        <v>10.65</v>
      </c>
      <c r="D882" s="306">
        <v>974.39</v>
      </c>
      <c r="E882" s="306">
        <v>956</v>
      </c>
      <c r="F882" s="306">
        <v>977.38</v>
      </c>
      <c r="G882" s="306">
        <v>953.76</v>
      </c>
      <c r="H882" s="306" t="s">
        <v>1301</v>
      </c>
      <c r="I882" s="308">
        <v>2.86E-2</v>
      </c>
    </row>
    <row r="883" spans="2:9">
      <c r="B883" s="307">
        <v>45353</v>
      </c>
      <c r="C883" s="306">
        <v>1.78</v>
      </c>
      <c r="D883" s="306">
        <v>988.35</v>
      </c>
      <c r="E883" s="306">
        <v>985.15</v>
      </c>
      <c r="F883" s="306">
        <v>992.6</v>
      </c>
      <c r="G883" s="306">
        <v>981.6</v>
      </c>
      <c r="H883" s="306" t="s">
        <v>1302</v>
      </c>
      <c r="I883" s="308">
        <v>1.43E-2</v>
      </c>
    </row>
    <row r="884" spans="2:9">
      <c r="B884" s="307">
        <v>45355</v>
      </c>
      <c r="C884" s="306">
        <v>6.08</v>
      </c>
      <c r="D884" s="306">
        <v>984.16</v>
      </c>
      <c r="E884" s="306">
        <v>990.2</v>
      </c>
      <c r="F884" s="306">
        <v>991.94</v>
      </c>
      <c r="G884" s="306">
        <v>977.09</v>
      </c>
      <c r="H884" s="306" t="s">
        <v>1303</v>
      </c>
      <c r="I884" s="308">
        <v>-4.1999999999999997E-3</v>
      </c>
    </row>
    <row r="885" spans="2:9">
      <c r="B885" s="307">
        <v>45356</v>
      </c>
      <c r="C885" s="306">
        <v>59.81</v>
      </c>
      <c r="D885" s="309">
        <v>1018.76</v>
      </c>
      <c r="E885" s="309">
        <v>1023.84</v>
      </c>
      <c r="F885" s="309">
        <v>1062.32</v>
      </c>
      <c r="G885" s="309">
        <v>1002.26</v>
      </c>
      <c r="H885" s="306" t="s">
        <v>1304</v>
      </c>
      <c r="I885" s="308">
        <v>3.5200000000000002E-2</v>
      </c>
    </row>
    <row r="886" spans="2:9">
      <c r="B886" s="307">
        <v>45357</v>
      </c>
      <c r="C886" s="306">
        <v>14.21</v>
      </c>
      <c r="D886" s="309">
        <v>1014.52</v>
      </c>
      <c r="E886" s="309">
        <v>1021.85</v>
      </c>
      <c r="F886" s="309">
        <v>1027.48</v>
      </c>
      <c r="G886" s="309">
        <v>1005.9</v>
      </c>
      <c r="H886" s="306" t="s">
        <v>1305</v>
      </c>
      <c r="I886" s="308">
        <v>-4.1999999999999997E-3</v>
      </c>
    </row>
    <row r="887" spans="2:9">
      <c r="B887" s="307">
        <v>45358</v>
      </c>
      <c r="C887" s="306">
        <v>16.88</v>
      </c>
      <c r="D887" s="309">
        <v>1036.0999999999999</v>
      </c>
      <c r="E887" s="309">
        <v>1021.85</v>
      </c>
      <c r="F887" s="309">
        <v>1043.78</v>
      </c>
      <c r="G887" s="309">
        <v>1010.93</v>
      </c>
      <c r="H887" s="306" t="s">
        <v>1306</v>
      </c>
      <c r="I887" s="308">
        <v>2.1299999999999999E-2</v>
      </c>
    </row>
    <row r="888" spans="2:9">
      <c r="B888" s="307">
        <v>45362</v>
      </c>
      <c r="C888" s="306">
        <v>7.5</v>
      </c>
      <c r="D888" s="309">
        <v>1024.8399999999999</v>
      </c>
      <c r="E888" s="309">
        <v>1031.57</v>
      </c>
      <c r="F888" s="309">
        <v>1032.76</v>
      </c>
      <c r="G888" s="309">
        <v>1017.86</v>
      </c>
      <c r="H888" s="306" t="s">
        <v>1189</v>
      </c>
      <c r="I888" s="308">
        <v>-1.09E-2</v>
      </c>
    </row>
    <row r="889" spans="2:9">
      <c r="B889" s="307">
        <v>45363</v>
      </c>
      <c r="C889" s="306">
        <v>8.76</v>
      </c>
      <c r="D889" s="309">
        <v>1013.37</v>
      </c>
      <c r="E889" s="309">
        <v>1024.6400000000001</v>
      </c>
      <c r="F889" s="309">
        <v>1033.81</v>
      </c>
      <c r="G889" s="309">
        <v>1008.19</v>
      </c>
      <c r="H889" s="306" t="s">
        <v>1307</v>
      </c>
      <c r="I889" s="308">
        <v>-1.12E-2</v>
      </c>
    </row>
    <row r="890" spans="2:9">
      <c r="B890" s="307">
        <v>45364</v>
      </c>
      <c r="C890" s="306">
        <v>16.559999999999999</v>
      </c>
      <c r="D890" s="306">
        <v>970.21</v>
      </c>
      <c r="E890" s="309">
        <v>1015.87</v>
      </c>
      <c r="F890" s="309">
        <v>1017.86</v>
      </c>
      <c r="G890" s="306">
        <v>960.59</v>
      </c>
      <c r="H890" s="306" t="s">
        <v>851</v>
      </c>
      <c r="I890" s="308">
        <v>-4.2599999999999999E-2</v>
      </c>
    </row>
    <row r="891" spans="2:9">
      <c r="B891" s="307">
        <v>45365</v>
      </c>
      <c r="C891" s="306">
        <v>22.93</v>
      </c>
      <c r="D891" s="306">
        <v>964.77</v>
      </c>
      <c r="E891" s="306">
        <v>961.98</v>
      </c>
      <c r="F891" s="306">
        <v>978.98</v>
      </c>
      <c r="G891" s="306">
        <v>952.46</v>
      </c>
      <c r="H891" s="306" t="s">
        <v>1308</v>
      </c>
      <c r="I891" s="308">
        <v>-5.5999999999999999E-3</v>
      </c>
    </row>
    <row r="892" spans="2:9">
      <c r="B892" s="307">
        <v>45366</v>
      </c>
      <c r="C892" s="306">
        <v>23.39</v>
      </c>
      <c r="D892" s="306">
        <v>942.94</v>
      </c>
      <c r="E892" s="306">
        <v>965.42</v>
      </c>
      <c r="F892" s="306">
        <v>976.74</v>
      </c>
      <c r="G892" s="306">
        <v>937.11</v>
      </c>
      <c r="H892" s="306" t="s">
        <v>1309</v>
      </c>
      <c r="I892" s="308">
        <v>-2.2599999999999999E-2</v>
      </c>
    </row>
    <row r="893" spans="2:9">
      <c r="B893" s="307">
        <v>45369</v>
      </c>
      <c r="C893" s="306">
        <v>12.12</v>
      </c>
      <c r="D893" s="306">
        <v>969.46</v>
      </c>
      <c r="E893" s="306">
        <v>942.94</v>
      </c>
      <c r="F893" s="306">
        <v>971.8</v>
      </c>
      <c r="G893" s="306">
        <v>933.77</v>
      </c>
      <c r="H893" s="306" t="s">
        <v>841</v>
      </c>
      <c r="I893" s="308">
        <v>2.81E-2</v>
      </c>
    </row>
    <row r="894" spans="2:9">
      <c r="B894" s="307">
        <v>45370</v>
      </c>
      <c r="C894" s="306">
        <v>9.48</v>
      </c>
      <c r="D894" s="306">
        <v>954.8</v>
      </c>
      <c r="E894" s="306">
        <v>965.57</v>
      </c>
      <c r="F894" s="306">
        <v>967.61</v>
      </c>
      <c r="G894" s="306">
        <v>948.67</v>
      </c>
      <c r="H894" s="306" t="s">
        <v>1310</v>
      </c>
      <c r="I894" s="308">
        <v>-1.5100000000000001E-2</v>
      </c>
    </row>
    <row r="895" spans="2:9">
      <c r="B895" s="307">
        <v>45371</v>
      </c>
      <c r="C895" s="306">
        <v>13.9</v>
      </c>
      <c r="D895" s="306">
        <v>937.56</v>
      </c>
      <c r="E895" s="306">
        <v>957.94</v>
      </c>
      <c r="F895" s="306">
        <v>962.18</v>
      </c>
      <c r="G895" s="306">
        <v>918.37</v>
      </c>
      <c r="H895" s="306" t="s">
        <v>1311</v>
      </c>
      <c r="I895" s="308">
        <v>-1.8100000000000002E-2</v>
      </c>
    </row>
    <row r="896" spans="2:9">
      <c r="B896" s="307">
        <v>45372</v>
      </c>
      <c r="C896" s="306">
        <v>11.07</v>
      </c>
      <c r="D896" s="306">
        <v>961.93</v>
      </c>
      <c r="E896" s="306">
        <v>948.08</v>
      </c>
      <c r="F896" s="306">
        <v>966.27</v>
      </c>
      <c r="G896" s="306">
        <v>943.09</v>
      </c>
      <c r="H896" s="306" t="s">
        <v>1312</v>
      </c>
      <c r="I896" s="308">
        <v>2.5999999999999999E-2</v>
      </c>
    </row>
    <row r="897" spans="2:9">
      <c r="B897" s="307">
        <v>45373</v>
      </c>
      <c r="C897" s="306">
        <v>13.64</v>
      </c>
      <c r="D897" s="306">
        <v>976.79</v>
      </c>
      <c r="E897" s="306">
        <v>961.93</v>
      </c>
      <c r="F897" s="306">
        <v>983.17</v>
      </c>
      <c r="G897" s="306">
        <v>947.43</v>
      </c>
      <c r="H897" s="306" t="s">
        <v>1313</v>
      </c>
      <c r="I897" s="308">
        <v>1.54E-2</v>
      </c>
    </row>
    <row r="898" spans="2:9">
      <c r="B898" s="307">
        <v>45377</v>
      </c>
      <c r="C898" s="306">
        <v>9.4600000000000009</v>
      </c>
      <c r="D898" s="306">
        <v>983.17</v>
      </c>
      <c r="E898" s="306">
        <v>973.99</v>
      </c>
      <c r="F898" s="306">
        <v>991.94</v>
      </c>
      <c r="G898" s="306">
        <v>973</v>
      </c>
      <c r="H898" s="306" t="s">
        <v>1314</v>
      </c>
      <c r="I898" s="308">
        <v>6.4999999999999997E-3</v>
      </c>
    </row>
    <row r="899" spans="2:9">
      <c r="B899" s="307">
        <v>45378</v>
      </c>
      <c r="C899" s="306">
        <v>6.64</v>
      </c>
      <c r="D899" s="306">
        <v>975.64</v>
      </c>
      <c r="E899" s="306">
        <v>988.55</v>
      </c>
      <c r="F899" s="306">
        <v>991.94</v>
      </c>
      <c r="G899" s="306">
        <v>973.7</v>
      </c>
      <c r="H899" s="306" t="s">
        <v>1315</v>
      </c>
      <c r="I899" s="308">
        <v>-7.7000000000000002E-3</v>
      </c>
    </row>
    <row r="900" spans="2:9">
      <c r="B900" s="307">
        <v>45379</v>
      </c>
      <c r="C900" s="306">
        <v>9.86</v>
      </c>
      <c r="D900" s="306">
        <v>989.75</v>
      </c>
      <c r="E900" s="306">
        <v>979.48</v>
      </c>
      <c r="F900" s="306">
        <v>996.82</v>
      </c>
      <c r="G900" s="306">
        <v>975.99</v>
      </c>
      <c r="H900" s="306" t="s">
        <v>1097</v>
      </c>
      <c r="I900" s="308">
        <v>1.4500000000000001E-2</v>
      </c>
    </row>
    <row r="901" spans="2:9">
      <c r="B901" s="307">
        <v>45383</v>
      </c>
      <c r="C901" s="306">
        <v>8.6300000000000008</v>
      </c>
      <c r="D901" s="306">
        <v>989.2</v>
      </c>
      <c r="E901" s="306">
        <v>996.92</v>
      </c>
      <c r="F901" s="309">
        <v>1006.74</v>
      </c>
      <c r="G901" s="306">
        <v>984.41</v>
      </c>
      <c r="H901" s="306" t="s">
        <v>1048</v>
      </c>
      <c r="I901" s="308">
        <v>-5.9999999999999995E-4</v>
      </c>
    </row>
    <row r="902" spans="2:9">
      <c r="B902" s="307">
        <v>45384</v>
      </c>
      <c r="C902" s="306">
        <v>8</v>
      </c>
      <c r="D902" s="309">
        <v>1001.56</v>
      </c>
      <c r="E902" s="306">
        <v>995.93</v>
      </c>
      <c r="F902" s="309">
        <v>1004.9</v>
      </c>
      <c r="G902" s="306">
        <v>990.34</v>
      </c>
      <c r="H902" s="306" t="s">
        <v>1316</v>
      </c>
      <c r="I902" s="308">
        <v>1.2500000000000001E-2</v>
      </c>
    </row>
    <row r="903" spans="2:9">
      <c r="B903" s="307">
        <v>45385</v>
      </c>
      <c r="C903" s="306">
        <v>8.0399999999999991</v>
      </c>
      <c r="D903" s="309">
        <v>1006.05</v>
      </c>
      <c r="E903" s="309">
        <v>1000.91</v>
      </c>
      <c r="F903" s="309">
        <v>1011.33</v>
      </c>
      <c r="G903" s="306">
        <v>989.5</v>
      </c>
      <c r="H903" s="306" t="s">
        <v>1317</v>
      </c>
      <c r="I903" s="308">
        <v>4.4999999999999997E-3</v>
      </c>
    </row>
    <row r="904" spans="2:9">
      <c r="B904" s="307">
        <v>45386</v>
      </c>
      <c r="C904" s="306">
        <v>9.14</v>
      </c>
      <c r="D904" s="309">
        <v>1008.49</v>
      </c>
      <c r="E904" s="309">
        <v>1012.88</v>
      </c>
      <c r="F904" s="309">
        <v>1013.87</v>
      </c>
      <c r="G904" s="306">
        <v>995.08</v>
      </c>
      <c r="H904" s="306" t="s">
        <v>1318</v>
      </c>
      <c r="I904" s="308">
        <v>2.3999999999999998E-3</v>
      </c>
    </row>
    <row r="905" spans="2:9">
      <c r="B905" s="307">
        <v>45387</v>
      </c>
      <c r="C905" s="306">
        <v>4.5199999999999996</v>
      </c>
      <c r="D905" s="309">
        <v>1004</v>
      </c>
      <c r="E905" s="309">
        <v>1008.49</v>
      </c>
      <c r="F905" s="309">
        <v>1009.39</v>
      </c>
      <c r="G905" s="309">
        <v>1001.31</v>
      </c>
      <c r="H905" s="306" t="s">
        <v>1319</v>
      </c>
      <c r="I905" s="308">
        <v>-4.4000000000000003E-3</v>
      </c>
    </row>
    <row r="906" spans="2:9">
      <c r="B906" s="307">
        <v>45390</v>
      </c>
      <c r="C906" s="306">
        <v>5.19</v>
      </c>
      <c r="D906" s="309">
        <v>1010.08</v>
      </c>
      <c r="E906" s="309">
        <v>1006.94</v>
      </c>
      <c r="F906" s="309">
        <v>1013.27</v>
      </c>
      <c r="G906" s="309">
        <v>1000.91</v>
      </c>
      <c r="H906" s="306" t="s">
        <v>1320</v>
      </c>
      <c r="I906" s="308">
        <v>6.1000000000000004E-3</v>
      </c>
    </row>
    <row r="907" spans="2:9">
      <c r="B907" s="307">
        <v>45391</v>
      </c>
      <c r="C907" s="306">
        <v>8.5399999999999991</v>
      </c>
      <c r="D907" s="309">
        <v>1005.4</v>
      </c>
      <c r="E907" s="309">
        <v>1017.86</v>
      </c>
      <c r="F907" s="309">
        <v>1026.33</v>
      </c>
      <c r="G907" s="309">
        <v>1001.91</v>
      </c>
      <c r="H907" s="306" t="s">
        <v>1321</v>
      </c>
      <c r="I907" s="308">
        <v>-4.5999999999999999E-3</v>
      </c>
    </row>
    <row r="908" spans="2:9">
      <c r="B908" s="307">
        <v>45392</v>
      </c>
      <c r="C908" s="306">
        <v>4.55</v>
      </c>
      <c r="D908" s="309">
        <v>1010.38</v>
      </c>
      <c r="E908" s="309">
        <v>1009.14</v>
      </c>
      <c r="F908" s="309">
        <v>1017.86</v>
      </c>
      <c r="G908" s="309">
        <v>1006.89</v>
      </c>
      <c r="H908" s="306" t="s">
        <v>1322</v>
      </c>
      <c r="I908" s="308">
        <v>5.0000000000000001E-3</v>
      </c>
    </row>
    <row r="909" spans="2:9">
      <c r="B909" s="307">
        <v>45394</v>
      </c>
      <c r="C909" s="306">
        <v>11.58</v>
      </c>
      <c r="D909" s="309">
        <v>1015.37</v>
      </c>
      <c r="E909" s="309">
        <v>1010.88</v>
      </c>
      <c r="F909" s="309">
        <v>1025.83</v>
      </c>
      <c r="G909" s="309">
        <v>1010.38</v>
      </c>
      <c r="H909" s="306" t="s">
        <v>1290</v>
      </c>
      <c r="I909" s="308">
        <v>4.8999999999999998E-3</v>
      </c>
    </row>
    <row r="910" spans="2:9">
      <c r="B910" s="307">
        <v>45397</v>
      </c>
      <c r="C910" s="306">
        <v>12.63</v>
      </c>
      <c r="D910" s="306">
        <v>995.73</v>
      </c>
      <c r="E910" s="306">
        <v>995.03</v>
      </c>
      <c r="F910" s="309">
        <v>1003.85</v>
      </c>
      <c r="G910" s="306">
        <v>975.49</v>
      </c>
      <c r="H910" s="306" t="s">
        <v>1323</v>
      </c>
      <c r="I910" s="308">
        <v>-1.9300000000000001E-2</v>
      </c>
    </row>
    <row r="911" spans="2:9">
      <c r="B911" s="307">
        <v>45398</v>
      </c>
      <c r="C911" s="306">
        <v>9.57</v>
      </c>
      <c r="D911" s="306">
        <v>989.75</v>
      </c>
      <c r="E911" s="306">
        <v>986.96</v>
      </c>
      <c r="F911" s="309">
        <v>1001.81</v>
      </c>
      <c r="G911" s="306">
        <v>979.08</v>
      </c>
      <c r="H911" s="306" t="s">
        <v>1324</v>
      </c>
      <c r="I911" s="308">
        <v>-6.0000000000000001E-3</v>
      </c>
    </row>
    <row r="912" spans="2:9">
      <c r="B912" s="307">
        <v>45400</v>
      </c>
      <c r="C912" s="306">
        <v>13.54</v>
      </c>
      <c r="D912" s="306">
        <v>968.36</v>
      </c>
      <c r="E912" s="306">
        <v>993.28</v>
      </c>
      <c r="F912" s="309">
        <v>1000.01</v>
      </c>
      <c r="G912" s="306">
        <v>963.28</v>
      </c>
      <c r="H912" s="306" t="s">
        <v>937</v>
      </c>
      <c r="I912" s="308">
        <v>-2.1600000000000001E-2</v>
      </c>
    </row>
    <row r="913" spans="2:9">
      <c r="B913" s="307">
        <v>45401</v>
      </c>
      <c r="C913" s="306">
        <v>15.38</v>
      </c>
      <c r="D913" s="306">
        <v>960.24</v>
      </c>
      <c r="E913" s="306">
        <v>961.03</v>
      </c>
      <c r="F913" s="306">
        <v>964.97</v>
      </c>
      <c r="G913" s="306">
        <v>941.1</v>
      </c>
      <c r="H913" s="306" t="s">
        <v>1325</v>
      </c>
      <c r="I913" s="308">
        <v>-8.3999999999999995E-3</v>
      </c>
    </row>
    <row r="914" spans="2:9">
      <c r="B914" s="307">
        <v>45404</v>
      </c>
      <c r="C914" s="306">
        <v>7.19</v>
      </c>
      <c r="D914" s="306">
        <v>970.55</v>
      </c>
      <c r="E914" s="306">
        <v>975.74</v>
      </c>
      <c r="F914" s="306">
        <v>975.74</v>
      </c>
      <c r="G914" s="306">
        <v>963.03</v>
      </c>
      <c r="H914" s="306" t="s">
        <v>1326</v>
      </c>
      <c r="I914" s="308">
        <v>1.0699999999999999E-2</v>
      </c>
    </row>
    <row r="915" spans="2:9">
      <c r="B915" s="307">
        <v>45405</v>
      </c>
      <c r="C915" s="306">
        <v>7.99</v>
      </c>
      <c r="D915" s="306">
        <v>983.72</v>
      </c>
      <c r="E915" s="306">
        <v>973</v>
      </c>
      <c r="F915" s="306">
        <v>991.44</v>
      </c>
      <c r="G915" s="306">
        <v>971.05</v>
      </c>
      <c r="H915" s="306" t="s">
        <v>1327</v>
      </c>
      <c r="I915" s="308">
        <v>1.3599999999999999E-2</v>
      </c>
    </row>
    <row r="916" spans="2:9">
      <c r="B916" s="307">
        <v>45406</v>
      </c>
      <c r="C916" s="306">
        <v>4.67</v>
      </c>
      <c r="D916" s="306">
        <v>988.6</v>
      </c>
      <c r="E916" s="306">
        <v>989.35</v>
      </c>
      <c r="F916" s="306">
        <v>992.84</v>
      </c>
      <c r="G916" s="306">
        <v>984.96</v>
      </c>
      <c r="H916" s="306" t="s">
        <v>1328</v>
      </c>
      <c r="I916" s="308">
        <v>5.0000000000000001E-3</v>
      </c>
    </row>
    <row r="917" spans="2:9">
      <c r="B917" s="307">
        <v>45407</v>
      </c>
      <c r="C917" s="306">
        <v>8.3699999999999992</v>
      </c>
      <c r="D917" s="306">
        <v>998.17</v>
      </c>
      <c r="E917" s="306">
        <v>989.45</v>
      </c>
      <c r="F917" s="309">
        <v>1000.21</v>
      </c>
      <c r="G917" s="306">
        <v>986.46</v>
      </c>
      <c r="H917" s="306" t="s">
        <v>1329</v>
      </c>
      <c r="I917" s="308">
        <v>9.7000000000000003E-3</v>
      </c>
    </row>
    <row r="918" spans="2:9">
      <c r="B918" s="307">
        <v>45408</v>
      </c>
      <c r="C918" s="306">
        <v>7.94</v>
      </c>
      <c r="D918" s="306">
        <v>996.43</v>
      </c>
      <c r="E918" s="309">
        <v>1004.7</v>
      </c>
      <c r="F918" s="309">
        <v>1005.85</v>
      </c>
      <c r="G918" s="306">
        <v>993.53</v>
      </c>
      <c r="H918" s="306" t="s">
        <v>1330</v>
      </c>
      <c r="I918" s="308">
        <v>-1.6999999999999999E-3</v>
      </c>
    </row>
    <row r="919" spans="2:9">
      <c r="B919" s="307">
        <v>45411</v>
      </c>
      <c r="C919" s="306">
        <v>4.76</v>
      </c>
      <c r="D919" s="306">
        <v>997.52</v>
      </c>
      <c r="E919" s="306">
        <v>999.97</v>
      </c>
      <c r="F919" s="309">
        <v>1002.66</v>
      </c>
      <c r="G919" s="306">
        <v>995.93</v>
      </c>
      <c r="H919" s="306" t="s">
        <v>1331</v>
      </c>
      <c r="I919" s="308">
        <v>1.1000000000000001E-3</v>
      </c>
    </row>
    <row r="920" spans="2:9">
      <c r="B920" s="307">
        <v>45412</v>
      </c>
      <c r="C920" s="306">
        <v>9.0500000000000007</v>
      </c>
      <c r="D920" s="309">
        <v>1004.8</v>
      </c>
      <c r="E920" s="309">
        <v>1001.91</v>
      </c>
      <c r="F920" s="309">
        <v>1016.31</v>
      </c>
      <c r="G920" s="306">
        <v>994.43</v>
      </c>
      <c r="H920" s="306" t="s">
        <v>1332</v>
      </c>
      <c r="I920" s="308">
        <v>7.3000000000000001E-3</v>
      </c>
    </row>
    <row r="921" spans="2:9">
      <c r="B921" s="307">
        <v>45414</v>
      </c>
      <c r="C921" s="306">
        <v>12.7</v>
      </c>
      <c r="D921" s="309">
        <v>1024.6400000000001</v>
      </c>
      <c r="E921" s="309">
        <v>1016.86</v>
      </c>
      <c r="F921" s="309">
        <v>1026.83</v>
      </c>
      <c r="G921" s="309">
        <v>1008.44</v>
      </c>
      <c r="H921" s="306" t="s">
        <v>1333</v>
      </c>
      <c r="I921" s="308">
        <v>1.9699999999999999E-2</v>
      </c>
    </row>
    <row r="922" spans="2:9">
      <c r="B922" s="307">
        <v>45415</v>
      </c>
      <c r="C922" s="306">
        <v>11.87</v>
      </c>
      <c r="D922" s="309">
        <v>1010.28</v>
      </c>
      <c r="E922" s="309">
        <v>1034.81</v>
      </c>
      <c r="F922" s="309">
        <v>1037</v>
      </c>
      <c r="G922" s="306">
        <v>992.94</v>
      </c>
      <c r="H922" s="306" t="s">
        <v>1334</v>
      </c>
      <c r="I922" s="308">
        <v>-1.4E-2</v>
      </c>
    </row>
    <row r="923" spans="2:9">
      <c r="B923" s="307">
        <v>45418</v>
      </c>
      <c r="C923" s="306">
        <v>5.72</v>
      </c>
      <c r="D923" s="309">
        <v>1013.07</v>
      </c>
      <c r="E923" s="309">
        <v>1011.88</v>
      </c>
      <c r="F923" s="309">
        <v>1016.66</v>
      </c>
      <c r="G923" s="309">
        <v>1001.91</v>
      </c>
      <c r="H923" s="306" t="s">
        <v>1213</v>
      </c>
      <c r="I923" s="308">
        <v>2.8E-3</v>
      </c>
    </row>
    <row r="924" spans="2:9">
      <c r="B924" s="307">
        <v>45419</v>
      </c>
      <c r="C924" s="306">
        <v>8.8800000000000008</v>
      </c>
      <c r="D924" s="306">
        <v>985.51</v>
      </c>
      <c r="E924" s="309">
        <v>1013.07</v>
      </c>
      <c r="F924" s="309">
        <v>1014.82</v>
      </c>
      <c r="G924" s="306">
        <v>979.03</v>
      </c>
      <c r="H924" s="306" t="s">
        <v>1335</v>
      </c>
      <c r="I924" s="308">
        <v>-2.7199999999999998E-2</v>
      </c>
    </row>
    <row r="925" spans="2:9">
      <c r="B925" s="307">
        <v>45420</v>
      </c>
      <c r="C925" s="306">
        <v>7.52</v>
      </c>
      <c r="D925" s="309">
        <v>1008.99</v>
      </c>
      <c r="E925" s="306">
        <v>983.91</v>
      </c>
      <c r="F925" s="309">
        <v>1011.88</v>
      </c>
      <c r="G925" s="306">
        <v>973.99</v>
      </c>
      <c r="H925" s="306" t="s">
        <v>1336</v>
      </c>
      <c r="I925" s="308">
        <v>2.3800000000000002E-2</v>
      </c>
    </row>
    <row r="926" spans="2:9">
      <c r="B926" s="307">
        <v>45421</v>
      </c>
      <c r="C926" s="306">
        <v>19.190000000000001</v>
      </c>
      <c r="D926" s="309">
        <v>1027.1300000000001</v>
      </c>
      <c r="E926" s="309">
        <v>1007.89</v>
      </c>
      <c r="F926" s="309">
        <v>1039.99</v>
      </c>
      <c r="G926" s="309">
        <v>1004.2</v>
      </c>
      <c r="H926" s="306" t="s">
        <v>1337</v>
      </c>
      <c r="I926" s="308">
        <v>1.7999999999999999E-2</v>
      </c>
    </row>
    <row r="927" spans="2:9">
      <c r="B927" s="307">
        <v>45422</v>
      </c>
      <c r="C927" s="306">
        <v>13.38</v>
      </c>
      <c r="D927" s="309">
        <v>1043.43</v>
      </c>
      <c r="E927" s="309">
        <v>1033.81</v>
      </c>
      <c r="F927" s="309">
        <v>1047.1199999999999</v>
      </c>
      <c r="G927" s="309">
        <v>1027.23</v>
      </c>
      <c r="H927" s="306" t="s">
        <v>1338</v>
      </c>
      <c r="I927" s="308">
        <v>1.5900000000000001E-2</v>
      </c>
    </row>
    <row r="928" spans="2:9">
      <c r="B928" s="307">
        <v>45425</v>
      </c>
      <c r="C928" s="306">
        <v>58.97</v>
      </c>
      <c r="D928" s="306">
        <v>956.8</v>
      </c>
      <c r="E928" s="309">
        <v>1001.91</v>
      </c>
      <c r="F928" s="309">
        <v>1005.6</v>
      </c>
      <c r="G928" s="306">
        <v>944.29</v>
      </c>
      <c r="H928" s="306" t="s">
        <v>1339</v>
      </c>
      <c r="I928" s="308">
        <v>-8.3000000000000004E-2</v>
      </c>
    </row>
    <row r="929" spans="2:9">
      <c r="B929" s="307">
        <v>45426</v>
      </c>
      <c r="C929" s="306">
        <v>16.329999999999998</v>
      </c>
      <c r="D929" s="306">
        <v>961.68</v>
      </c>
      <c r="E929" s="306">
        <v>962.13</v>
      </c>
      <c r="F929" s="306">
        <v>965.02</v>
      </c>
      <c r="G929" s="306">
        <v>950.32</v>
      </c>
      <c r="H929" s="306" t="s">
        <v>1340</v>
      </c>
      <c r="I929" s="308">
        <v>5.1000000000000004E-3</v>
      </c>
    </row>
    <row r="930" spans="2:9">
      <c r="B930" s="307">
        <v>45427</v>
      </c>
      <c r="C930" s="306">
        <v>19.670000000000002</v>
      </c>
      <c r="D930" s="306">
        <v>944.39</v>
      </c>
      <c r="E930" s="306">
        <v>967.96</v>
      </c>
      <c r="F930" s="306">
        <v>969.96</v>
      </c>
      <c r="G930" s="306">
        <v>942.19</v>
      </c>
      <c r="H930" s="306" t="s">
        <v>1341</v>
      </c>
      <c r="I930" s="308">
        <v>-1.7999999999999999E-2</v>
      </c>
    </row>
    <row r="931" spans="2:9">
      <c r="B931" s="307">
        <v>45428</v>
      </c>
      <c r="C931" s="306">
        <v>31.24</v>
      </c>
      <c r="D931" s="306">
        <v>933.52</v>
      </c>
      <c r="E931" s="306">
        <v>950.27</v>
      </c>
      <c r="F931" s="306">
        <v>951.46</v>
      </c>
      <c r="G931" s="306">
        <v>916.17</v>
      </c>
      <c r="H931" s="306" t="s">
        <v>1342</v>
      </c>
      <c r="I931" s="308">
        <v>-1.15E-2</v>
      </c>
    </row>
    <row r="932" spans="2:9">
      <c r="B932" s="307">
        <v>45429</v>
      </c>
      <c r="C932" s="306">
        <v>13.21</v>
      </c>
      <c r="D932" s="306">
        <v>942.79</v>
      </c>
      <c r="E932" s="306">
        <v>941.1</v>
      </c>
      <c r="F932" s="306">
        <v>950.47</v>
      </c>
      <c r="G932" s="306">
        <v>938.1</v>
      </c>
      <c r="H932" s="306" t="s">
        <v>1343</v>
      </c>
      <c r="I932" s="308">
        <v>9.9000000000000008E-3</v>
      </c>
    </row>
    <row r="933" spans="2:9">
      <c r="B933" s="307">
        <v>45430</v>
      </c>
      <c r="C933" s="306">
        <v>1.93</v>
      </c>
      <c r="D933" s="306">
        <v>953.95</v>
      </c>
      <c r="E933" s="306">
        <v>950</v>
      </c>
      <c r="F933" s="306">
        <v>958</v>
      </c>
      <c r="G933" s="306">
        <v>947</v>
      </c>
      <c r="H933" s="306" t="s">
        <v>1344</v>
      </c>
      <c r="I933" s="308">
        <v>1.18E-2</v>
      </c>
    </row>
    <row r="934" spans="2:9">
      <c r="B934" s="307">
        <v>45433</v>
      </c>
      <c r="C934" s="306">
        <v>10.06</v>
      </c>
      <c r="D934" s="306">
        <v>948.37</v>
      </c>
      <c r="E934" s="306">
        <v>951.07</v>
      </c>
      <c r="F934" s="306">
        <v>953.71</v>
      </c>
      <c r="G934" s="306">
        <v>945.78</v>
      </c>
      <c r="H934" s="306" t="s">
        <v>1345</v>
      </c>
      <c r="I934" s="308">
        <v>-5.7999999999999996E-3</v>
      </c>
    </row>
    <row r="935" spans="2:9">
      <c r="B935" s="307">
        <v>45434</v>
      </c>
      <c r="C935" s="306">
        <v>9.5</v>
      </c>
      <c r="D935" s="306">
        <v>944.59</v>
      </c>
      <c r="E935" s="306">
        <v>949.07</v>
      </c>
      <c r="F935" s="306">
        <v>951.96</v>
      </c>
      <c r="G935" s="306">
        <v>939.65</v>
      </c>
      <c r="H935" s="306" t="s">
        <v>1043</v>
      </c>
      <c r="I935" s="308">
        <v>-4.0000000000000001E-3</v>
      </c>
    </row>
    <row r="936" spans="2:9">
      <c r="B936" s="307">
        <v>45435</v>
      </c>
      <c r="C936" s="306">
        <v>11.21</v>
      </c>
      <c r="D936" s="306">
        <v>959.39</v>
      </c>
      <c r="E936" s="306">
        <v>947.08</v>
      </c>
      <c r="F936" s="306">
        <v>960.49</v>
      </c>
      <c r="G936" s="306">
        <v>942.14</v>
      </c>
      <c r="H936" s="306" t="s">
        <v>1346</v>
      </c>
      <c r="I936" s="308">
        <v>1.5699999999999999E-2</v>
      </c>
    </row>
    <row r="937" spans="2:9">
      <c r="B937" s="307">
        <v>45436</v>
      </c>
      <c r="C937" s="306">
        <v>9.59</v>
      </c>
      <c r="D937" s="306">
        <v>957.59</v>
      </c>
      <c r="E937" s="306">
        <v>959.54</v>
      </c>
      <c r="F937" s="306">
        <v>967.96</v>
      </c>
      <c r="G937" s="306">
        <v>955.05</v>
      </c>
      <c r="H937" s="306" t="s">
        <v>1347</v>
      </c>
      <c r="I937" s="308">
        <v>-1.9E-3</v>
      </c>
    </row>
    <row r="938" spans="2:9">
      <c r="B938" s="307">
        <v>45439</v>
      </c>
      <c r="C938" s="306">
        <v>6.92</v>
      </c>
      <c r="D938" s="306">
        <v>955.55</v>
      </c>
      <c r="E938" s="306">
        <v>961.93</v>
      </c>
      <c r="F938" s="306">
        <v>963.48</v>
      </c>
      <c r="G938" s="306">
        <v>949.07</v>
      </c>
      <c r="H938" s="306" t="s">
        <v>1175</v>
      </c>
      <c r="I938" s="308">
        <v>-2.0999999999999999E-3</v>
      </c>
    </row>
    <row r="939" spans="2:9">
      <c r="B939" s="307">
        <v>45440</v>
      </c>
      <c r="C939" s="306">
        <v>6.62</v>
      </c>
      <c r="D939" s="306">
        <v>944.64</v>
      </c>
      <c r="E939" s="306">
        <v>956.05</v>
      </c>
      <c r="F939" s="306">
        <v>958.94</v>
      </c>
      <c r="G939" s="306">
        <v>943.09</v>
      </c>
      <c r="H939" s="306" t="s">
        <v>1348</v>
      </c>
      <c r="I939" s="308">
        <v>-1.14E-2</v>
      </c>
    </row>
    <row r="940" spans="2:9">
      <c r="B940" s="307">
        <v>45441</v>
      </c>
      <c r="C940" s="306">
        <v>8.18</v>
      </c>
      <c r="D940" s="306">
        <v>940.7</v>
      </c>
      <c r="E940" s="306">
        <v>944.04</v>
      </c>
      <c r="F940" s="306">
        <v>947.58</v>
      </c>
      <c r="G940" s="306">
        <v>935.91</v>
      </c>
      <c r="H940" s="306" t="s">
        <v>1349</v>
      </c>
      <c r="I940" s="308">
        <v>-4.1999999999999997E-3</v>
      </c>
    </row>
    <row r="941" spans="2:9">
      <c r="B941" s="307">
        <v>45442</v>
      </c>
      <c r="C941" s="306">
        <v>10.17</v>
      </c>
      <c r="D941" s="306">
        <v>921.11</v>
      </c>
      <c r="E941" s="306">
        <v>940.6</v>
      </c>
      <c r="F941" s="306">
        <v>948.52</v>
      </c>
      <c r="G941" s="306">
        <v>918.17</v>
      </c>
      <c r="H941" s="306" t="s">
        <v>1350</v>
      </c>
      <c r="I941" s="308">
        <v>-2.0799999999999999E-2</v>
      </c>
    </row>
    <row r="942" spans="2:9">
      <c r="B942" s="307">
        <v>45443</v>
      </c>
      <c r="C942" s="306">
        <v>14.29</v>
      </c>
      <c r="D942" s="306">
        <v>920.16</v>
      </c>
      <c r="E942" s="306">
        <v>928.78</v>
      </c>
      <c r="F942" s="306">
        <v>934.37</v>
      </c>
      <c r="G942" s="306">
        <v>917.27</v>
      </c>
      <c r="H942" s="306" t="s">
        <v>1002</v>
      </c>
      <c r="I942" s="308">
        <v>-1E-3</v>
      </c>
    </row>
    <row r="943" spans="2:9">
      <c r="B943" s="307">
        <v>45446</v>
      </c>
      <c r="C943" s="306">
        <v>12.31</v>
      </c>
      <c r="D943" s="306">
        <v>947.53</v>
      </c>
      <c r="E943" s="306">
        <v>960.04</v>
      </c>
      <c r="F943" s="306">
        <v>960.04</v>
      </c>
      <c r="G943" s="306">
        <v>931.13</v>
      </c>
      <c r="H943" s="306" t="s">
        <v>1351</v>
      </c>
      <c r="I943" s="308">
        <v>2.9700000000000001E-2</v>
      </c>
    </row>
    <row r="944" spans="2:9">
      <c r="B944" s="307">
        <v>45447</v>
      </c>
      <c r="C944" s="306">
        <v>26.55</v>
      </c>
      <c r="D944" s="306">
        <v>901.12</v>
      </c>
      <c r="E944" s="306">
        <v>945.08</v>
      </c>
      <c r="F944" s="306">
        <v>945.08</v>
      </c>
      <c r="G944" s="306">
        <v>852.77</v>
      </c>
      <c r="H944" s="306" t="s">
        <v>1352</v>
      </c>
      <c r="I944" s="308">
        <v>-4.9000000000000002E-2</v>
      </c>
    </row>
    <row r="945" spans="2:9">
      <c r="B945" s="307">
        <v>45448</v>
      </c>
      <c r="C945" s="306">
        <v>13.75</v>
      </c>
      <c r="D945" s="306">
        <v>927.09</v>
      </c>
      <c r="E945" s="306">
        <v>922.1</v>
      </c>
      <c r="F945" s="306">
        <v>930.88</v>
      </c>
      <c r="G945" s="306">
        <v>887.26</v>
      </c>
      <c r="H945" s="306" t="s">
        <v>1353</v>
      </c>
      <c r="I945" s="308">
        <v>2.8799999999999999E-2</v>
      </c>
    </row>
    <row r="946" spans="2:9">
      <c r="B946" s="307">
        <v>45449</v>
      </c>
      <c r="C946" s="306">
        <v>11.79</v>
      </c>
      <c r="D946" s="306">
        <v>935.36</v>
      </c>
      <c r="E946" s="306">
        <v>937.11</v>
      </c>
      <c r="F946" s="306">
        <v>943.09</v>
      </c>
      <c r="G946" s="306">
        <v>928.34</v>
      </c>
      <c r="H946" s="306" t="s">
        <v>1354</v>
      </c>
      <c r="I946" s="308">
        <v>8.8999999999999999E-3</v>
      </c>
    </row>
    <row r="947" spans="2:9">
      <c r="B947" s="307">
        <v>45450</v>
      </c>
      <c r="C947" s="306">
        <v>15.58</v>
      </c>
      <c r="D947" s="306">
        <v>967.52</v>
      </c>
      <c r="E947" s="306">
        <v>937.11</v>
      </c>
      <c r="F947" s="306">
        <v>970.01</v>
      </c>
      <c r="G947" s="306">
        <v>932.37</v>
      </c>
      <c r="H947" s="306" t="s">
        <v>722</v>
      </c>
      <c r="I947" s="308">
        <v>3.44E-2</v>
      </c>
    </row>
    <row r="948" spans="2:9">
      <c r="B948" s="307">
        <v>45453</v>
      </c>
      <c r="C948" s="306">
        <v>9.26</v>
      </c>
      <c r="D948" s="306">
        <v>972.15</v>
      </c>
      <c r="E948" s="306">
        <v>973.99</v>
      </c>
      <c r="F948" s="306">
        <v>981.87</v>
      </c>
      <c r="G948" s="306">
        <v>966.12</v>
      </c>
      <c r="H948" s="306" t="s">
        <v>1355</v>
      </c>
      <c r="I948" s="308">
        <v>4.7999999999999996E-3</v>
      </c>
    </row>
    <row r="949" spans="2:9">
      <c r="B949" s="307">
        <v>45454</v>
      </c>
      <c r="C949" s="306">
        <v>14.83</v>
      </c>
      <c r="D949" s="306">
        <v>987.1</v>
      </c>
      <c r="E949" s="306">
        <v>973.8</v>
      </c>
      <c r="F949" s="306">
        <v>992.55</v>
      </c>
      <c r="G949" s="306">
        <v>966.65</v>
      </c>
      <c r="H949" s="306" t="s">
        <v>1356</v>
      </c>
      <c r="I949" s="308">
        <v>1.54E-2</v>
      </c>
    </row>
    <row r="950" spans="2:9">
      <c r="B950" s="307">
        <v>45455</v>
      </c>
      <c r="C950" s="306">
        <v>17.53</v>
      </c>
      <c r="D950" s="306">
        <v>988.7</v>
      </c>
      <c r="E950" s="306">
        <v>994.5</v>
      </c>
      <c r="F950" s="309">
        <v>1010.25</v>
      </c>
      <c r="G950" s="306">
        <v>987</v>
      </c>
      <c r="H950" s="306" t="s">
        <v>1357</v>
      </c>
      <c r="I950" s="308">
        <v>1.6000000000000001E-3</v>
      </c>
    </row>
    <row r="951" spans="2:9">
      <c r="B951" s="307">
        <v>45456</v>
      </c>
      <c r="C951" s="306">
        <v>12.16</v>
      </c>
      <c r="D951" s="306">
        <v>985.85</v>
      </c>
      <c r="E951" s="309">
        <v>1002</v>
      </c>
      <c r="F951" s="309">
        <v>1002</v>
      </c>
      <c r="G951" s="306">
        <v>980.75</v>
      </c>
      <c r="H951" s="306" t="s">
        <v>1358</v>
      </c>
      <c r="I951" s="308">
        <v>-2.8999999999999998E-3</v>
      </c>
    </row>
    <row r="952" spans="2:9">
      <c r="B952" s="307">
        <v>45457</v>
      </c>
      <c r="C952" s="306">
        <v>11.59</v>
      </c>
      <c r="D952" s="306">
        <v>993.4</v>
      </c>
      <c r="E952" s="306">
        <v>990</v>
      </c>
      <c r="F952" s="306">
        <v>997.25</v>
      </c>
      <c r="G952" s="306">
        <v>981.4</v>
      </c>
      <c r="H952" s="306" t="s">
        <v>1359</v>
      </c>
      <c r="I952" s="308">
        <v>7.7000000000000002E-3</v>
      </c>
    </row>
    <row r="953" spans="2:9">
      <c r="B953" s="307">
        <v>45461</v>
      </c>
      <c r="C953" s="306">
        <v>9.85</v>
      </c>
      <c r="D953" s="306">
        <v>985.9</v>
      </c>
      <c r="E953" s="309">
        <v>1000</v>
      </c>
      <c r="F953" s="309">
        <v>1003.55</v>
      </c>
      <c r="G953" s="306">
        <v>984</v>
      </c>
      <c r="H953" s="306" t="s">
        <v>1042</v>
      </c>
      <c r="I953" s="308">
        <v>-7.4999999999999997E-3</v>
      </c>
    </row>
    <row r="954" spans="2:9">
      <c r="B954" s="307">
        <v>45462</v>
      </c>
      <c r="C954" s="306">
        <v>7.61</v>
      </c>
      <c r="D954" s="306">
        <v>977.35</v>
      </c>
      <c r="E954" s="306">
        <v>990</v>
      </c>
      <c r="F954" s="306">
        <v>994.9</v>
      </c>
      <c r="G954" s="306">
        <v>975.15</v>
      </c>
      <c r="H954" s="306" t="s">
        <v>1223</v>
      </c>
      <c r="I954" s="308">
        <v>-8.6999999999999994E-3</v>
      </c>
    </row>
    <row r="955" spans="2:9">
      <c r="B955" s="307">
        <v>45463</v>
      </c>
      <c r="C955" s="306">
        <v>7.3</v>
      </c>
      <c r="D955" s="306">
        <v>978.25</v>
      </c>
      <c r="E955" s="306">
        <v>980</v>
      </c>
      <c r="F955" s="306">
        <v>988.4</v>
      </c>
      <c r="G955" s="306">
        <v>976.35</v>
      </c>
      <c r="H955" s="306" t="s">
        <v>1360</v>
      </c>
      <c r="I955" s="308">
        <v>8.9999999999999998E-4</v>
      </c>
    </row>
    <row r="956" spans="2:9">
      <c r="B956" s="307">
        <v>45464</v>
      </c>
      <c r="C956" s="306">
        <v>14.3</v>
      </c>
      <c r="D956" s="306">
        <v>961.8</v>
      </c>
      <c r="E956" s="306">
        <v>979</v>
      </c>
      <c r="F956" s="306">
        <v>980.9</v>
      </c>
      <c r="G956" s="306">
        <v>958.1</v>
      </c>
      <c r="H956" s="306" t="s">
        <v>1271</v>
      </c>
      <c r="I956" s="308">
        <v>-1.6799999999999999E-2</v>
      </c>
    </row>
    <row r="957" spans="2:9">
      <c r="B957" s="307">
        <v>45467</v>
      </c>
      <c r="C957" s="306">
        <v>6.66</v>
      </c>
      <c r="D957" s="306">
        <v>958.05</v>
      </c>
      <c r="E957" s="306">
        <v>960.9</v>
      </c>
      <c r="F957" s="306">
        <v>963.5</v>
      </c>
      <c r="G957" s="306">
        <v>950.05</v>
      </c>
      <c r="H957" s="306" t="s">
        <v>1361</v>
      </c>
      <c r="I957" s="308">
        <v>-3.8999999999999998E-3</v>
      </c>
    </row>
    <row r="958" spans="2:9">
      <c r="B958" s="307">
        <v>45468</v>
      </c>
      <c r="C958" s="306">
        <v>7.3</v>
      </c>
      <c r="D958" s="306">
        <v>955</v>
      </c>
      <c r="E958" s="306">
        <v>960</v>
      </c>
      <c r="F958" s="306">
        <v>962.85</v>
      </c>
      <c r="G958" s="306">
        <v>949.3</v>
      </c>
      <c r="H958" s="306" t="s">
        <v>1360</v>
      </c>
      <c r="I958" s="308">
        <v>-3.2000000000000002E-3</v>
      </c>
    </row>
    <row r="959" spans="2:9">
      <c r="B959" s="307">
        <v>45469</v>
      </c>
      <c r="C959" s="306">
        <v>6.91</v>
      </c>
      <c r="D959" s="306">
        <v>951.85</v>
      </c>
      <c r="E959" s="306">
        <v>956</v>
      </c>
      <c r="F959" s="306">
        <v>962.5</v>
      </c>
      <c r="G959" s="306">
        <v>950.1</v>
      </c>
      <c r="H959" s="306" t="s">
        <v>1362</v>
      </c>
      <c r="I959" s="308">
        <v>-3.3E-3</v>
      </c>
    </row>
    <row r="960" spans="2:9">
      <c r="B960" s="307">
        <v>45470</v>
      </c>
      <c r="C960" s="306">
        <v>19.39</v>
      </c>
      <c r="D960" s="306">
        <v>972.1</v>
      </c>
      <c r="E960" s="306">
        <v>952.5</v>
      </c>
      <c r="F960" s="306">
        <v>974.85</v>
      </c>
      <c r="G960" s="306">
        <v>948.05</v>
      </c>
      <c r="H960" s="306" t="s">
        <v>1363</v>
      </c>
      <c r="I960" s="308">
        <v>2.1299999999999999E-2</v>
      </c>
    </row>
    <row r="961" spans="2:9">
      <c r="B961" s="307">
        <v>45471</v>
      </c>
      <c r="C961" s="306">
        <v>23.03</v>
      </c>
      <c r="D961" s="306">
        <v>989.75</v>
      </c>
      <c r="E961" s="306">
        <v>975</v>
      </c>
      <c r="F961" s="306">
        <v>998.5</v>
      </c>
      <c r="G961" s="306">
        <v>972.55</v>
      </c>
      <c r="H961" s="306" t="s">
        <v>1364</v>
      </c>
      <c r="I961" s="308">
        <v>1.8200000000000001E-2</v>
      </c>
    </row>
    <row r="962" spans="2:9">
      <c r="B962" s="307">
        <v>45474</v>
      </c>
      <c r="C962" s="306">
        <v>14.01</v>
      </c>
      <c r="D962" s="309">
        <v>1002.05</v>
      </c>
      <c r="E962" s="306">
        <v>989.75</v>
      </c>
      <c r="F962" s="309">
        <v>1005.5</v>
      </c>
      <c r="G962" s="306">
        <v>985.2</v>
      </c>
      <c r="H962" s="306" t="s">
        <v>1365</v>
      </c>
      <c r="I962" s="308">
        <v>1.24E-2</v>
      </c>
    </row>
    <row r="963" spans="2:9">
      <c r="B963" s="307">
        <v>45475</v>
      </c>
      <c r="C963" s="306">
        <v>12.28</v>
      </c>
      <c r="D963" s="306">
        <v>981.3</v>
      </c>
      <c r="E963" s="309">
        <v>1004.05</v>
      </c>
      <c r="F963" s="309">
        <v>1005</v>
      </c>
      <c r="G963" s="306">
        <v>979.1</v>
      </c>
      <c r="H963" s="306" t="s">
        <v>1035</v>
      </c>
      <c r="I963" s="308">
        <v>-2.07E-2</v>
      </c>
    </row>
    <row r="964" spans="2:9">
      <c r="B964" s="307">
        <v>45476</v>
      </c>
      <c r="C964" s="306">
        <v>7.35</v>
      </c>
      <c r="D964" s="306">
        <v>975.65</v>
      </c>
      <c r="E964" s="306">
        <v>984.95</v>
      </c>
      <c r="F964" s="306">
        <v>987.35</v>
      </c>
      <c r="G964" s="306">
        <v>973.5</v>
      </c>
      <c r="H964" s="306" t="s">
        <v>1093</v>
      </c>
      <c r="I964" s="308">
        <v>-5.7999999999999996E-3</v>
      </c>
    </row>
    <row r="965" spans="2:9">
      <c r="B965" s="307">
        <v>45477</v>
      </c>
      <c r="C965" s="306">
        <v>12.14</v>
      </c>
      <c r="D965" s="306">
        <v>998.2</v>
      </c>
      <c r="E965" s="306">
        <v>984</v>
      </c>
      <c r="F965" s="309">
        <v>1004</v>
      </c>
      <c r="G965" s="306">
        <v>979.6</v>
      </c>
      <c r="H965" s="306" t="s">
        <v>1366</v>
      </c>
      <c r="I965" s="308">
        <v>2.3099999999999999E-2</v>
      </c>
    </row>
    <row r="966" spans="2:9">
      <c r="B966" s="307">
        <v>45478</v>
      </c>
      <c r="C966" s="306">
        <v>9.0500000000000007</v>
      </c>
      <c r="D966" s="306">
        <v>993.65</v>
      </c>
      <c r="E966" s="309">
        <v>1005</v>
      </c>
      <c r="F966" s="309">
        <v>1006.6</v>
      </c>
      <c r="G966" s="306">
        <v>989.95</v>
      </c>
      <c r="H966" s="306" t="s">
        <v>1332</v>
      </c>
      <c r="I966" s="308">
        <v>-4.5999999999999999E-3</v>
      </c>
    </row>
    <row r="967" spans="2:9">
      <c r="B967" s="307">
        <v>45481</v>
      </c>
      <c r="C967" s="306">
        <v>13.31</v>
      </c>
      <c r="D967" s="309">
        <v>1002.6</v>
      </c>
      <c r="E967" s="309">
        <v>1005</v>
      </c>
      <c r="F967" s="309">
        <v>1016.6</v>
      </c>
      <c r="G967" s="306">
        <v>996.2</v>
      </c>
      <c r="H967" s="306" t="s">
        <v>1079</v>
      </c>
      <c r="I967" s="308">
        <v>8.9999999999999993E-3</v>
      </c>
    </row>
    <row r="968" spans="2:9">
      <c r="B968" s="307">
        <v>45482</v>
      </c>
      <c r="C968" s="306">
        <v>10.95</v>
      </c>
      <c r="D968" s="309">
        <v>1014.95</v>
      </c>
      <c r="E968" s="309">
        <v>1000.95</v>
      </c>
      <c r="F968" s="309">
        <v>1017</v>
      </c>
      <c r="G968" s="306">
        <v>998.1</v>
      </c>
      <c r="H968" s="306" t="s">
        <v>1367</v>
      </c>
      <c r="I968" s="308">
        <v>1.23E-2</v>
      </c>
    </row>
    <row r="969" spans="2:9">
      <c r="B969" s="307">
        <v>45483</v>
      </c>
      <c r="C969" s="306">
        <v>13.41</v>
      </c>
      <c r="D969" s="309">
        <v>1005.5</v>
      </c>
      <c r="E969" s="309">
        <v>1015</v>
      </c>
      <c r="F969" s="309">
        <v>1019.85</v>
      </c>
      <c r="G969" s="306">
        <v>986.05</v>
      </c>
      <c r="H969" s="306" t="s">
        <v>1368</v>
      </c>
      <c r="I969" s="308">
        <v>-9.2999999999999992E-3</v>
      </c>
    </row>
    <row r="970" spans="2:9">
      <c r="B970" s="307">
        <v>45484</v>
      </c>
      <c r="C970" s="306">
        <v>11.98</v>
      </c>
      <c r="D970" s="309">
        <v>1020.8</v>
      </c>
      <c r="E970" s="309">
        <v>1008</v>
      </c>
      <c r="F970" s="309">
        <v>1025.5</v>
      </c>
      <c r="G970" s="309">
        <v>1007.05</v>
      </c>
      <c r="H970" s="306" t="s">
        <v>1369</v>
      </c>
      <c r="I970" s="308">
        <v>1.52E-2</v>
      </c>
    </row>
    <row r="971" spans="2:9">
      <c r="B971" s="307">
        <v>45485</v>
      </c>
      <c r="C971" s="306">
        <v>7.34</v>
      </c>
      <c r="D971" s="309">
        <v>1016.75</v>
      </c>
      <c r="E971" s="309">
        <v>1023.85</v>
      </c>
      <c r="F971" s="309">
        <v>1025.9000000000001</v>
      </c>
      <c r="G971" s="309">
        <v>1015</v>
      </c>
      <c r="H971" s="306" t="s">
        <v>1370</v>
      </c>
      <c r="I971" s="308">
        <v>-4.0000000000000001E-3</v>
      </c>
    </row>
    <row r="972" spans="2:9">
      <c r="B972" s="307">
        <v>45488</v>
      </c>
      <c r="C972" s="306">
        <v>5.85</v>
      </c>
      <c r="D972" s="309">
        <v>1024.45</v>
      </c>
      <c r="E972" s="309">
        <v>1021.35</v>
      </c>
      <c r="F972" s="309">
        <v>1029.8</v>
      </c>
      <c r="G972" s="309">
        <v>1017.3</v>
      </c>
      <c r="H972" s="306" t="s">
        <v>1371</v>
      </c>
      <c r="I972" s="308">
        <v>7.6E-3</v>
      </c>
    </row>
    <row r="973" spans="2:9">
      <c r="B973" s="307">
        <v>45489</v>
      </c>
      <c r="C973" s="306">
        <v>4.82</v>
      </c>
      <c r="D973" s="309">
        <v>1021.15</v>
      </c>
      <c r="E973" s="309">
        <v>1025.5</v>
      </c>
      <c r="F973" s="309">
        <v>1029.5999999999999</v>
      </c>
      <c r="G973" s="309">
        <v>1019.2</v>
      </c>
      <c r="H973" s="306" t="s">
        <v>1372</v>
      </c>
      <c r="I973" s="308">
        <v>-3.2000000000000002E-3</v>
      </c>
    </row>
    <row r="974" spans="2:9">
      <c r="B974" s="307">
        <v>45491</v>
      </c>
      <c r="C974" s="306">
        <v>8.01</v>
      </c>
      <c r="D974" s="309">
        <v>1024.55</v>
      </c>
      <c r="E974" s="309">
        <v>1022.95</v>
      </c>
      <c r="F974" s="309">
        <v>1027</v>
      </c>
      <c r="G974" s="309">
        <v>1008</v>
      </c>
      <c r="H974" s="306" t="s">
        <v>1055</v>
      </c>
      <c r="I974" s="308">
        <v>3.3E-3</v>
      </c>
    </row>
    <row r="975" spans="2:9">
      <c r="B975" s="307">
        <v>45492</v>
      </c>
      <c r="C975" s="306">
        <v>7.4</v>
      </c>
      <c r="D975" s="306">
        <v>990</v>
      </c>
      <c r="E975" s="309">
        <v>1024</v>
      </c>
      <c r="F975" s="309">
        <v>1024</v>
      </c>
      <c r="G975" s="306">
        <v>986.65</v>
      </c>
      <c r="H975" s="306" t="s">
        <v>1373</v>
      </c>
      <c r="I975" s="308">
        <v>-3.3700000000000001E-2</v>
      </c>
    </row>
    <row r="976" spans="2:9">
      <c r="B976" s="307">
        <v>45495</v>
      </c>
      <c r="C976" s="306">
        <v>7.4</v>
      </c>
      <c r="D976" s="309">
        <v>1003.15</v>
      </c>
      <c r="E976" s="306">
        <v>990</v>
      </c>
      <c r="F976" s="309">
        <v>1008</v>
      </c>
      <c r="G976" s="306">
        <v>976.55</v>
      </c>
      <c r="H976" s="306" t="s">
        <v>1373</v>
      </c>
      <c r="I976" s="308">
        <v>1.3299999999999999E-2</v>
      </c>
    </row>
    <row r="977" spans="2:9">
      <c r="B977" s="307">
        <v>45496</v>
      </c>
      <c r="C977" s="306">
        <v>10.38</v>
      </c>
      <c r="D977" s="309">
        <v>1001.8</v>
      </c>
      <c r="E977" s="309">
        <v>1007.9</v>
      </c>
      <c r="F977" s="309">
        <v>1008.65</v>
      </c>
      <c r="G977" s="306">
        <v>967.2</v>
      </c>
      <c r="H977" s="306" t="s">
        <v>1374</v>
      </c>
      <c r="I977" s="308">
        <v>-1.2999999999999999E-3</v>
      </c>
    </row>
    <row r="978" spans="2:9">
      <c r="B978" s="307">
        <v>45497</v>
      </c>
      <c r="C978" s="306">
        <v>11.47</v>
      </c>
      <c r="D978" s="309">
        <v>1027.7</v>
      </c>
      <c r="E978" s="306">
        <v>997.8</v>
      </c>
      <c r="F978" s="309">
        <v>1034.25</v>
      </c>
      <c r="G978" s="306">
        <v>995.15</v>
      </c>
      <c r="H978" s="306" t="s">
        <v>1375</v>
      </c>
      <c r="I978" s="308">
        <v>2.5899999999999999E-2</v>
      </c>
    </row>
    <row r="979" spans="2:9">
      <c r="B979" s="307">
        <v>45498</v>
      </c>
      <c r="C979" s="306">
        <v>32.770000000000003</v>
      </c>
      <c r="D979" s="309">
        <v>1090.95</v>
      </c>
      <c r="E979" s="309">
        <v>1029</v>
      </c>
      <c r="F979" s="309">
        <v>1094</v>
      </c>
      <c r="G979" s="309">
        <v>1024.3499999999999</v>
      </c>
      <c r="H979" s="306" t="s">
        <v>1376</v>
      </c>
      <c r="I979" s="308">
        <v>6.1499999999999999E-2</v>
      </c>
    </row>
    <row r="980" spans="2:9">
      <c r="B980" s="307">
        <v>45499</v>
      </c>
      <c r="C980" s="306">
        <v>21.23</v>
      </c>
      <c r="D980" s="309">
        <v>1118.3</v>
      </c>
      <c r="E980" s="309">
        <v>1111.95</v>
      </c>
      <c r="F980" s="309">
        <v>1120.5</v>
      </c>
      <c r="G980" s="309">
        <v>1083.5999999999999</v>
      </c>
      <c r="H980" s="306" t="s">
        <v>1377</v>
      </c>
      <c r="I980" s="308">
        <v>2.5100000000000001E-2</v>
      </c>
    </row>
    <row r="981" spans="2:9">
      <c r="B981" s="307">
        <v>45502</v>
      </c>
      <c r="C981" s="306">
        <v>11.85</v>
      </c>
      <c r="D981" s="309">
        <v>1124</v>
      </c>
      <c r="E981" s="309">
        <v>1124</v>
      </c>
      <c r="F981" s="309">
        <v>1139.9000000000001</v>
      </c>
      <c r="G981" s="309">
        <v>1118.5999999999999</v>
      </c>
      <c r="H981" s="306" t="s">
        <v>1114</v>
      </c>
      <c r="I981" s="308">
        <v>5.1000000000000004E-3</v>
      </c>
    </row>
    <row r="982" spans="2:9">
      <c r="B982" s="307">
        <v>45503</v>
      </c>
      <c r="C982" s="306">
        <v>28.59</v>
      </c>
      <c r="D982" s="309">
        <v>1161.8499999999999</v>
      </c>
      <c r="E982" s="309">
        <v>1125.8</v>
      </c>
      <c r="F982" s="309">
        <v>1179</v>
      </c>
      <c r="G982" s="309">
        <v>1118.5999999999999</v>
      </c>
      <c r="H982" s="306" t="s">
        <v>1378</v>
      </c>
      <c r="I982" s="308">
        <v>3.3700000000000001E-2</v>
      </c>
    </row>
    <row r="983" spans="2:9">
      <c r="B983" s="307">
        <v>45504</v>
      </c>
      <c r="C983" s="306">
        <v>10.86</v>
      </c>
      <c r="D983" s="309">
        <v>1156.6500000000001</v>
      </c>
      <c r="E983" s="309">
        <v>1164</v>
      </c>
      <c r="F983" s="309">
        <v>1167.9000000000001</v>
      </c>
      <c r="G983" s="309">
        <v>1145.3</v>
      </c>
      <c r="H983" s="306" t="s">
        <v>1379</v>
      </c>
      <c r="I983" s="308">
        <v>-4.4999999999999997E-3</v>
      </c>
    </row>
    <row r="984" spans="2:9">
      <c r="B984" s="307">
        <v>45505</v>
      </c>
      <c r="C984" s="306">
        <v>14.38</v>
      </c>
      <c r="D984" s="309">
        <v>1144.4000000000001</v>
      </c>
      <c r="E984" s="309">
        <v>1167</v>
      </c>
      <c r="F984" s="309">
        <v>1176</v>
      </c>
      <c r="G984" s="309">
        <v>1136.5</v>
      </c>
      <c r="H984" s="306" t="s">
        <v>1380</v>
      </c>
      <c r="I984" s="308">
        <v>-1.06E-2</v>
      </c>
    </row>
    <row r="985" spans="2:9">
      <c r="B985" s="307">
        <v>45506</v>
      </c>
      <c r="C985" s="306">
        <v>21.97</v>
      </c>
      <c r="D985" s="309">
        <v>1096.6500000000001</v>
      </c>
      <c r="E985" s="309">
        <v>1120</v>
      </c>
      <c r="F985" s="309">
        <v>1120</v>
      </c>
      <c r="G985" s="309">
        <v>1090.05</v>
      </c>
      <c r="H985" s="306" t="s">
        <v>1381</v>
      </c>
      <c r="I985" s="308">
        <v>-4.1700000000000001E-2</v>
      </c>
    </row>
    <row r="986" spans="2:9">
      <c r="B986" s="307">
        <v>45509</v>
      </c>
      <c r="C986" s="306">
        <v>26.65</v>
      </c>
      <c r="D986" s="309">
        <v>1016.45</v>
      </c>
      <c r="E986" s="309">
        <v>1059.95</v>
      </c>
      <c r="F986" s="309">
        <v>1065</v>
      </c>
      <c r="G986" s="309">
        <v>1014.05</v>
      </c>
      <c r="H986" s="306" t="s">
        <v>1382</v>
      </c>
      <c r="I986" s="308">
        <v>-7.3099999999999998E-2</v>
      </c>
    </row>
    <row r="987" spans="2:9">
      <c r="B987" s="307">
        <v>45510</v>
      </c>
      <c r="C987" s="306">
        <v>16.73</v>
      </c>
      <c r="D987" s="309">
        <v>1013.75</v>
      </c>
      <c r="E987" s="309">
        <v>1030</v>
      </c>
      <c r="F987" s="309">
        <v>1060.6500000000001</v>
      </c>
      <c r="G987" s="309">
        <v>1008.4</v>
      </c>
      <c r="H987" s="306" t="s">
        <v>1383</v>
      </c>
      <c r="I987" s="308">
        <v>-2.7000000000000001E-3</v>
      </c>
    </row>
    <row r="988" spans="2:9">
      <c r="B988" s="307">
        <v>45511</v>
      </c>
      <c r="C988" s="306">
        <v>9.98</v>
      </c>
      <c r="D988" s="309">
        <v>1025.3</v>
      </c>
      <c r="E988" s="309">
        <v>1036.05</v>
      </c>
      <c r="F988" s="309">
        <v>1040.2</v>
      </c>
      <c r="G988" s="309">
        <v>1015.05</v>
      </c>
      <c r="H988" s="306" t="s">
        <v>1152</v>
      </c>
      <c r="I988" s="308">
        <v>1.14E-2</v>
      </c>
    </row>
    <row r="989" spans="2:9">
      <c r="B989" s="307">
        <v>45512</v>
      </c>
      <c r="C989" s="306">
        <v>19.53</v>
      </c>
      <c r="D989" s="309">
        <v>1041.75</v>
      </c>
      <c r="E989" s="309">
        <v>1034.95</v>
      </c>
      <c r="F989" s="309">
        <v>1056.4000000000001</v>
      </c>
      <c r="G989" s="309">
        <v>1027</v>
      </c>
      <c r="H989" s="306" t="s">
        <v>1384</v>
      </c>
      <c r="I989" s="308">
        <v>1.6E-2</v>
      </c>
    </row>
    <row r="990" spans="2:9">
      <c r="B990" s="307">
        <v>45513</v>
      </c>
      <c r="C990" s="306">
        <v>15.44</v>
      </c>
      <c r="D990" s="309">
        <v>1068.0999999999999</v>
      </c>
      <c r="E990" s="309">
        <v>1055</v>
      </c>
      <c r="F990" s="309">
        <v>1082.95</v>
      </c>
      <c r="G990" s="309">
        <v>1052.05</v>
      </c>
      <c r="H990" s="306" t="s">
        <v>1385</v>
      </c>
      <c r="I990" s="308">
        <v>2.53E-2</v>
      </c>
    </row>
    <row r="991" spans="2:9">
      <c r="B991" s="307">
        <v>45516</v>
      </c>
      <c r="C991" s="306">
        <v>11.31</v>
      </c>
      <c r="D991" s="309">
        <v>1076.1500000000001</v>
      </c>
      <c r="E991" s="309">
        <v>1065</v>
      </c>
      <c r="F991" s="309">
        <v>1079.9000000000001</v>
      </c>
      <c r="G991" s="309">
        <v>1055</v>
      </c>
      <c r="H991" s="306" t="s">
        <v>1107</v>
      </c>
      <c r="I991" s="308">
        <v>7.4999999999999997E-3</v>
      </c>
    </row>
    <row r="992" spans="2:9">
      <c r="B992" s="307">
        <v>45517</v>
      </c>
      <c r="C992" s="306">
        <v>7.51</v>
      </c>
      <c r="D992" s="309">
        <v>1053.45</v>
      </c>
      <c r="E992" s="309">
        <v>1074.8499999999999</v>
      </c>
      <c r="F992" s="309">
        <v>1075.5</v>
      </c>
      <c r="G992" s="309">
        <v>1048.2</v>
      </c>
      <c r="H992" s="306" t="s">
        <v>1386</v>
      </c>
      <c r="I992" s="308">
        <v>-2.1100000000000001E-2</v>
      </c>
    </row>
    <row r="993" spans="2:9">
      <c r="B993" s="307">
        <v>45518</v>
      </c>
      <c r="C993" s="306">
        <v>8.2100000000000009</v>
      </c>
      <c r="D993" s="309">
        <v>1062.3499999999999</v>
      </c>
      <c r="E993" s="309">
        <v>1057</v>
      </c>
      <c r="F993" s="309">
        <v>1067.05</v>
      </c>
      <c r="G993" s="309">
        <v>1047</v>
      </c>
      <c r="H993" s="306" t="s">
        <v>1040</v>
      </c>
      <c r="I993" s="308">
        <v>8.3999999999999995E-3</v>
      </c>
    </row>
    <row r="994" spans="2:9">
      <c r="B994" s="307">
        <v>45520</v>
      </c>
      <c r="C994" s="306">
        <v>11.44</v>
      </c>
      <c r="D994" s="309">
        <v>1098.3499999999999</v>
      </c>
      <c r="E994" s="309">
        <v>1072</v>
      </c>
      <c r="F994" s="309">
        <v>1099.95</v>
      </c>
      <c r="G994" s="309">
        <v>1070</v>
      </c>
      <c r="H994" s="306" t="s">
        <v>1387</v>
      </c>
      <c r="I994" s="308">
        <v>3.39E-2</v>
      </c>
    </row>
    <row r="995" spans="2:9">
      <c r="B995" s="307">
        <v>45523</v>
      </c>
      <c r="C995" s="306">
        <v>6.91</v>
      </c>
      <c r="D995" s="309">
        <v>1087.7</v>
      </c>
      <c r="E995" s="309">
        <v>1105.9000000000001</v>
      </c>
      <c r="F995" s="309">
        <v>1107</v>
      </c>
      <c r="G995" s="309">
        <v>1085</v>
      </c>
      <c r="H995" s="306" t="s">
        <v>1362</v>
      </c>
      <c r="I995" s="308">
        <v>-9.7000000000000003E-3</v>
      </c>
    </row>
    <row r="996" spans="2:9">
      <c r="B996" s="307">
        <v>45524</v>
      </c>
      <c r="C996" s="306">
        <v>5.63</v>
      </c>
      <c r="D996" s="309">
        <v>1086.9000000000001</v>
      </c>
      <c r="E996" s="309">
        <v>1097</v>
      </c>
      <c r="F996" s="309">
        <v>1098.05</v>
      </c>
      <c r="G996" s="309">
        <v>1082.05</v>
      </c>
      <c r="H996" s="306" t="s">
        <v>1388</v>
      </c>
      <c r="I996" s="308">
        <v>-6.9999999999999999E-4</v>
      </c>
    </row>
    <row r="997" spans="2:9">
      <c r="B997" s="307">
        <v>45525</v>
      </c>
      <c r="C997" s="306">
        <v>4.87</v>
      </c>
      <c r="D997" s="309">
        <v>1085.2</v>
      </c>
      <c r="E997" s="309">
        <v>1089</v>
      </c>
      <c r="F997" s="309">
        <v>1095.3</v>
      </c>
      <c r="G997" s="309">
        <v>1083.3</v>
      </c>
      <c r="H997" s="306" t="s">
        <v>1389</v>
      </c>
      <c r="I997" s="308">
        <v>-1.6000000000000001E-3</v>
      </c>
    </row>
    <row r="998" spans="2:9">
      <c r="B998" s="307">
        <v>45526</v>
      </c>
      <c r="C998" s="306">
        <v>9.3800000000000008</v>
      </c>
      <c r="D998" s="309">
        <v>1068.45</v>
      </c>
      <c r="E998" s="309">
        <v>1090</v>
      </c>
      <c r="F998" s="309">
        <v>1094.75</v>
      </c>
      <c r="G998" s="309">
        <v>1064.95</v>
      </c>
      <c r="H998" s="306" t="s">
        <v>998</v>
      </c>
      <c r="I998" s="308">
        <v>-1.54E-2</v>
      </c>
    </row>
    <row r="999" spans="2:9">
      <c r="B999" s="307">
        <v>45527</v>
      </c>
      <c r="C999" s="306">
        <v>10.18</v>
      </c>
      <c r="D999" s="309">
        <v>1085.1500000000001</v>
      </c>
      <c r="E999" s="309">
        <v>1073</v>
      </c>
      <c r="F999" s="309">
        <v>1092.5999999999999</v>
      </c>
      <c r="G999" s="309">
        <v>1071</v>
      </c>
      <c r="H999" s="306" t="s">
        <v>968</v>
      </c>
      <c r="I999" s="308">
        <v>1.5599999999999999E-2</v>
      </c>
    </row>
    <row r="1000" spans="2:9">
      <c r="B1000" s="307">
        <v>45530</v>
      </c>
      <c r="C1000" s="306">
        <v>9.42</v>
      </c>
      <c r="D1000" s="309">
        <v>1092.4000000000001</v>
      </c>
      <c r="E1000" s="309">
        <v>1089</v>
      </c>
      <c r="F1000" s="309">
        <v>1103.3499999999999</v>
      </c>
      <c r="G1000" s="309">
        <v>1082.8499999999999</v>
      </c>
      <c r="H1000" s="306" t="s">
        <v>1390</v>
      </c>
      <c r="I1000" s="308">
        <v>6.7000000000000002E-3</v>
      </c>
    </row>
    <row r="1001" spans="2:9">
      <c r="B1001" s="307">
        <v>45531</v>
      </c>
      <c r="C1001" s="306">
        <v>8.81</v>
      </c>
      <c r="D1001" s="309">
        <v>1077.25</v>
      </c>
      <c r="E1001" s="309">
        <v>1093.05</v>
      </c>
      <c r="F1001" s="309">
        <v>1096.6500000000001</v>
      </c>
      <c r="G1001" s="309">
        <v>1075</v>
      </c>
      <c r="H1001" s="306" t="s">
        <v>1391</v>
      </c>
      <c r="I1001" s="308">
        <v>-1.3899999999999999E-2</v>
      </c>
    </row>
    <row r="1002" spans="2:9">
      <c r="B1002" s="307">
        <v>45532</v>
      </c>
      <c r="C1002" s="306">
        <v>8.15</v>
      </c>
      <c r="D1002" s="309">
        <v>1074.55</v>
      </c>
      <c r="E1002" s="309">
        <v>1082.95</v>
      </c>
      <c r="F1002" s="309">
        <v>1088.7</v>
      </c>
      <c r="G1002" s="309">
        <v>1070.0999999999999</v>
      </c>
      <c r="H1002" s="306" t="s">
        <v>1392</v>
      </c>
      <c r="I1002" s="308">
        <v>-2.5000000000000001E-3</v>
      </c>
    </row>
    <row r="1003" spans="2:9">
      <c r="B1003" s="307">
        <v>45533</v>
      </c>
      <c r="C1003" s="306">
        <v>40.659999999999997</v>
      </c>
      <c r="D1003" s="309">
        <v>1121.6500000000001</v>
      </c>
      <c r="E1003" s="309">
        <v>1079.05</v>
      </c>
      <c r="F1003" s="309">
        <v>1142</v>
      </c>
      <c r="G1003" s="309">
        <v>1066</v>
      </c>
      <c r="H1003" s="306" t="s">
        <v>1393</v>
      </c>
      <c r="I1003" s="308">
        <v>4.3799999999999999E-2</v>
      </c>
    </row>
    <row r="1004" spans="2:9">
      <c r="B1004" s="307">
        <v>45534</v>
      </c>
      <c r="C1004" s="306">
        <v>17.649999999999999</v>
      </c>
      <c r="D1004" s="309">
        <v>1111.3499999999999</v>
      </c>
      <c r="E1004" s="309">
        <v>1113.95</v>
      </c>
      <c r="F1004" s="309">
        <v>1115</v>
      </c>
      <c r="G1004" s="309">
        <v>1097.45</v>
      </c>
      <c r="H1004" s="306" t="s">
        <v>1394</v>
      </c>
      <c r="I1004" s="308">
        <v>-9.1999999999999998E-3</v>
      </c>
    </row>
    <row r="1005" spans="2:9">
      <c r="B1005" s="307">
        <v>45537</v>
      </c>
      <c r="C1005" s="306">
        <v>8.1199999999999992</v>
      </c>
      <c r="D1005" s="309">
        <v>1092.6500000000001</v>
      </c>
      <c r="E1005" s="309">
        <v>1105</v>
      </c>
      <c r="F1005" s="309">
        <v>1105</v>
      </c>
      <c r="G1005" s="309">
        <v>1087.3499999999999</v>
      </c>
      <c r="H1005" s="306" t="s">
        <v>1395</v>
      </c>
      <c r="I1005" s="308">
        <v>-1.6799999999999999E-2</v>
      </c>
    </row>
    <row r="1006" spans="2:9">
      <c r="B1006" s="307">
        <v>45538</v>
      </c>
      <c r="C1006" s="306">
        <v>5.09</v>
      </c>
      <c r="D1006" s="309">
        <v>1085.0999999999999</v>
      </c>
      <c r="E1006" s="309">
        <v>1097.5999999999999</v>
      </c>
      <c r="F1006" s="309">
        <v>1100</v>
      </c>
      <c r="G1006" s="309">
        <v>1082.2</v>
      </c>
      <c r="H1006" s="306" t="s">
        <v>1396</v>
      </c>
      <c r="I1006" s="308">
        <v>-6.8999999999999999E-3</v>
      </c>
    </row>
    <row r="1007" spans="2:9">
      <c r="B1007" s="307">
        <v>45539</v>
      </c>
      <c r="C1007" s="306">
        <v>4.67</v>
      </c>
      <c r="D1007" s="309">
        <v>1080.45</v>
      </c>
      <c r="E1007" s="309">
        <v>1079</v>
      </c>
      <c r="F1007" s="309">
        <v>1085</v>
      </c>
      <c r="G1007" s="309">
        <v>1072.0999999999999</v>
      </c>
      <c r="H1007" s="306" t="s">
        <v>1328</v>
      </c>
      <c r="I1007" s="308">
        <v>-4.3E-3</v>
      </c>
    </row>
    <row r="1008" spans="2:9">
      <c r="B1008" s="307">
        <v>45540</v>
      </c>
      <c r="C1008" s="306">
        <v>7.9</v>
      </c>
      <c r="D1008" s="309">
        <v>1069.1500000000001</v>
      </c>
      <c r="E1008" s="309">
        <v>1081</v>
      </c>
      <c r="F1008" s="309">
        <v>1085.8499999999999</v>
      </c>
      <c r="G1008" s="309">
        <v>1066.95</v>
      </c>
      <c r="H1008" s="306" t="s">
        <v>1102</v>
      </c>
      <c r="I1008" s="308">
        <v>-1.0500000000000001E-2</v>
      </c>
    </row>
    <row r="1009" spans="2:9">
      <c r="B1009" s="307">
        <v>45541</v>
      </c>
      <c r="C1009" s="306">
        <v>8.7200000000000006</v>
      </c>
      <c r="D1009" s="309">
        <v>1049.3499999999999</v>
      </c>
      <c r="E1009" s="309">
        <v>1068.8</v>
      </c>
      <c r="F1009" s="309">
        <v>1072.95</v>
      </c>
      <c r="G1009" s="309">
        <v>1040.5</v>
      </c>
      <c r="H1009" s="306" t="s">
        <v>1072</v>
      </c>
      <c r="I1009" s="308">
        <v>-1.8499999999999999E-2</v>
      </c>
    </row>
    <row r="1010" spans="2:9">
      <c r="B1010" s="307">
        <v>45544</v>
      </c>
      <c r="C1010" s="306">
        <v>7.21</v>
      </c>
      <c r="D1010" s="309">
        <v>1038.7</v>
      </c>
      <c r="E1010" s="309">
        <v>1049.3499999999999</v>
      </c>
      <c r="F1010" s="309">
        <v>1049.95</v>
      </c>
      <c r="G1010" s="309">
        <v>1026.25</v>
      </c>
      <c r="H1010" s="306" t="s">
        <v>1100</v>
      </c>
      <c r="I1010" s="308">
        <v>-1.01E-2</v>
      </c>
    </row>
    <row r="1011" spans="2:9">
      <c r="B1011" s="307">
        <v>45545</v>
      </c>
      <c r="C1011" s="306">
        <v>6.92</v>
      </c>
      <c r="D1011" s="309">
        <v>1035.8</v>
      </c>
      <c r="E1011" s="309">
        <v>1049</v>
      </c>
      <c r="F1011" s="309">
        <v>1049</v>
      </c>
      <c r="G1011" s="309">
        <v>1032.2</v>
      </c>
      <c r="H1011" s="306" t="s">
        <v>1175</v>
      </c>
      <c r="I1011" s="308">
        <v>-2.8E-3</v>
      </c>
    </row>
    <row r="1012" spans="2:9">
      <c r="B1012" s="307">
        <v>45546</v>
      </c>
      <c r="C1012" s="306">
        <v>36.14</v>
      </c>
      <c r="D1012" s="306">
        <v>976.3</v>
      </c>
      <c r="E1012" s="309">
        <v>1000</v>
      </c>
      <c r="F1012" s="309">
        <v>1011.55</v>
      </c>
      <c r="G1012" s="306">
        <v>971.25</v>
      </c>
      <c r="H1012" s="306" t="s">
        <v>743</v>
      </c>
      <c r="I1012" s="308">
        <v>-5.74E-2</v>
      </c>
    </row>
    <row r="1013" spans="2:9">
      <c r="B1013" s="307">
        <v>45547</v>
      </c>
      <c r="C1013" s="306">
        <v>25.68</v>
      </c>
      <c r="D1013" s="306">
        <v>986.15</v>
      </c>
      <c r="E1013" s="306">
        <v>976.3</v>
      </c>
      <c r="F1013" s="306">
        <v>988</v>
      </c>
      <c r="G1013" s="306">
        <v>958</v>
      </c>
      <c r="H1013" s="306" t="s">
        <v>1397</v>
      </c>
      <c r="I1013" s="308">
        <v>1.01E-2</v>
      </c>
    </row>
    <row r="1014" spans="2:9">
      <c r="B1014" s="307">
        <v>45548</v>
      </c>
      <c r="C1014" s="306">
        <v>13.2</v>
      </c>
      <c r="D1014" s="306">
        <v>992.1</v>
      </c>
      <c r="E1014" s="306">
        <v>994.9</v>
      </c>
      <c r="F1014" s="309">
        <v>1006</v>
      </c>
      <c r="G1014" s="306">
        <v>988</v>
      </c>
      <c r="H1014" s="306" t="s">
        <v>1398</v>
      </c>
      <c r="I1014" s="308">
        <v>6.0000000000000001E-3</v>
      </c>
    </row>
    <row r="1015" spans="2:9">
      <c r="B1015" s="307">
        <v>45551</v>
      </c>
      <c r="C1015" s="306">
        <v>5.84</v>
      </c>
      <c r="D1015" s="306">
        <v>988.4</v>
      </c>
      <c r="E1015" s="306">
        <v>997</v>
      </c>
      <c r="F1015" s="306">
        <v>999.9</v>
      </c>
      <c r="G1015" s="306">
        <v>984.5</v>
      </c>
      <c r="H1015" s="306" t="s">
        <v>1399</v>
      </c>
      <c r="I1015" s="308">
        <v>-3.7000000000000002E-3</v>
      </c>
    </row>
    <row r="1016" spans="2:9">
      <c r="B1016" s="307">
        <v>45552</v>
      </c>
      <c r="C1016" s="306">
        <v>44.52</v>
      </c>
      <c r="D1016" s="306">
        <v>974.95</v>
      </c>
      <c r="E1016" s="306">
        <v>995</v>
      </c>
      <c r="F1016" s="306">
        <v>995</v>
      </c>
      <c r="G1016" s="306">
        <v>960</v>
      </c>
      <c r="H1016" s="306" t="s">
        <v>1400</v>
      </c>
      <c r="I1016" s="308">
        <v>-1.3599999999999999E-2</v>
      </c>
    </row>
    <row r="1017" spans="2:9">
      <c r="B1017" s="307">
        <v>45553</v>
      </c>
      <c r="C1017" s="306">
        <v>12.04</v>
      </c>
      <c r="D1017" s="306">
        <v>962.05</v>
      </c>
      <c r="E1017" s="306">
        <v>978.2</v>
      </c>
      <c r="F1017" s="306">
        <v>983.7</v>
      </c>
      <c r="G1017" s="306">
        <v>957.15</v>
      </c>
      <c r="H1017" s="306" t="s">
        <v>1401</v>
      </c>
      <c r="I1017" s="308">
        <v>-1.32E-2</v>
      </c>
    </row>
    <row r="1018" spans="2:9">
      <c r="B1018" s="307">
        <v>45554</v>
      </c>
      <c r="C1018" s="306">
        <v>13.47</v>
      </c>
      <c r="D1018" s="306">
        <v>967</v>
      </c>
      <c r="E1018" s="306">
        <v>970.4</v>
      </c>
      <c r="F1018" s="306">
        <v>978.95</v>
      </c>
      <c r="G1018" s="306">
        <v>956.35</v>
      </c>
      <c r="H1018" s="306" t="s">
        <v>1402</v>
      </c>
      <c r="I1018" s="308">
        <v>5.1000000000000004E-3</v>
      </c>
    </row>
    <row r="1019" spans="2:9">
      <c r="B1019" s="307">
        <v>45555</v>
      </c>
      <c r="C1019" s="306">
        <v>16.760000000000002</v>
      </c>
      <c r="D1019" s="306">
        <v>970.85</v>
      </c>
      <c r="E1019" s="306">
        <v>967</v>
      </c>
      <c r="F1019" s="306">
        <v>977.5</v>
      </c>
      <c r="G1019" s="306">
        <v>949.2</v>
      </c>
      <c r="H1019" s="306" t="s">
        <v>900</v>
      </c>
      <c r="I1019" s="308">
        <v>4.0000000000000001E-3</v>
      </c>
    </row>
    <row r="1020" spans="2:9">
      <c r="B1020" s="307">
        <v>45558</v>
      </c>
      <c r="C1020" s="306">
        <v>10.25</v>
      </c>
      <c r="D1020" s="306">
        <v>971.8</v>
      </c>
      <c r="E1020" s="306">
        <v>973.5</v>
      </c>
      <c r="F1020" s="306">
        <v>979.2</v>
      </c>
      <c r="G1020" s="306">
        <v>966.05</v>
      </c>
      <c r="H1020" s="306" t="s">
        <v>1403</v>
      </c>
      <c r="I1020" s="308">
        <v>1E-3</v>
      </c>
    </row>
    <row r="1021" spans="2:9">
      <c r="B1021" s="307">
        <v>45559</v>
      </c>
      <c r="C1021" s="306">
        <v>12.76</v>
      </c>
      <c r="D1021" s="306">
        <v>977.3</v>
      </c>
      <c r="E1021" s="306">
        <v>974</v>
      </c>
      <c r="F1021" s="306">
        <v>985</v>
      </c>
      <c r="G1021" s="306">
        <v>972.6</v>
      </c>
      <c r="H1021" s="306" t="s">
        <v>1016</v>
      </c>
      <c r="I1021" s="308">
        <v>5.7000000000000002E-3</v>
      </c>
    </row>
    <row r="1022" spans="2:9">
      <c r="B1022" s="307">
        <v>45560</v>
      </c>
      <c r="C1022" s="306">
        <v>12.96</v>
      </c>
      <c r="D1022" s="306">
        <v>963.6</v>
      </c>
      <c r="E1022" s="306">
        <v>982.4</v>
      </c>
      <c r="F1022" s="306">
        <v>982.5</v>
      </c>
      <c r="G1022" s="306">
        <v>959.25</v>
      </c>
      <c r="H1022" s="306" t="s">
        <v>1404</v>
      </c>
      <c r="I1022" s="308">
        <v>-1.4E-2</v>
      </c>
    </row>
    <row r="1023" spans="2:9">
      <c r="B1023" s="307">
        <v>45561</v>
      </c>
      <c r="C1023" s="306">
        <v>21.64</v>
      </c>
      <c r="D1023" s="306">
        <v>993.15</v>
      </c>
      <c r="E1023" s="306">
        <v>970.8</v>
      </c>
      <c r="F1023" s="306">
        <v>994.95</v>
      </c>
      <c r="G1023" s="306">
        <v>965.6</v>
      </c>
      <c r="H1023" s="306" t="s">
        <v>1405</v>
      </c>
      <c r="I1023" s="308">
        <v>3.0700000000000002E-2</v>
      </c>
    </row>
    <row r="1024" spans="2:9">
      <c r="B1024" s="307">
        <v>45562</v>
      </c>
      <c r="C1024" s="306">
        <v>10.36</v>
      </c>
      <c r="D1024" s="306">
        <v>993</v>
      </c>
      <c r="E1024" s="306">
        <v>996</v>
      </c>
      <c r="F1024" s="309">
        <v>1000.4</v>
      </c>
      <c r="G1024" s="306">
        <v>989.15</v>
      </c>
      <c r="H1024" s="306" t="s">
        <v>1005</v>
      </c>
      <c r="I1024" s="308">
        <v>-2.0000000000000001E-4</v>
      </c>
    </row>
    <row r="1025" spans="2:9">
      <c r="B1025" s="307">
        <v>45565</v>
      </c>
      <c r="C1025" s="306">
        <v>12.23</v>
      </c>
      <c r="D1025" s="306">
        <v>974.65</v>
      </c>
      <c r="E1025" s="306">
        <v>993</v>
      </c>
      <c r="F1025" s="306">
        <v>996.95</v>
      </c>
      <c r="G1025" s="306">
        <v>971.8</v>
      </c>
      <c r="H1025" s="306" t="s">
        <v>1406</v>
      </c>
      <c r="I1025" s="308">
        <v>-1.8499999999999999E-2</v>
      </c>
    </row>
    <row r="1026" spans="2:9">
      <c r="B1026" s="307">
        <v>45566</v>
      </c>
      <c r="C1026" s="306">
        <v>10.09</v>
      </c>
      <c r="D1026" s="306">
        <v>965.2</v>
      </c>
      <c r="E1026" s="306">
        <v>976.9</v>
      </c>
      <c r="F1026" s="306">
        <v>984.5</v>
      </c>
      <c r="G1026" s="306">
        <v>958.9</v>
      </c>
      <c r="H1026" s="306" t="s">
        <v>1407</v>
      </c>
      <c r="I1026" s="308">
        <v>-9.7000000000000003E-3</v>
      </c>
    </row>
    <row r="1027" spans="2:9">
      <c r="B1027" s="307">
        <v>45568</v>
      </c>
      <c r="C1027" s="306">
        <v>24.42</v>
      </c>
      <c r="D1027" s="306">
        <v>925.7</v>
      </c>
      <c r="E1027" s="306">
        <v>939</v>
      </c>
      <c r="F1027" s="306">
        <v>950.15</v>
      </c>
      <c r="G1027" s="306">
        <v>925</v>
      </c>
      <c r="H1027" s="306" t="s">
        <v>1408</v>
      </c>
      <c r="I1027" s="308">
        <v>-4.0899999999999999E-2</v>
      </c>
    </row>
    <row r="1028" spans="2:9">
      <c r="B1028" s="307">
        <v>45569</v>
      </c>
      <c r="C1028" s="306">
        <v>19.190000000000001</v>
      </c>
      <c r="D1028" s="306">
        <v>930.75</v>
      </c>
      <c r="E1028" s="306">
        <v>930</v>
      </c>
      <c r="F1028" s="306">
        <v>949.2</v>
      </c>
      <c r="G1028" s="306">
        <v>920</v>
      </c>
      <c r="H1028" s="306" t="s">
        <v>1337</v>
      </c>
      <c r="I1028" s="308">
        <v>5.4999999999999997E-3</v>
      </c>
    </row>
    <row r="1029" spans="2:9">
      <c r="B1029" s="307">
        <v>45572</v>
      </c>
      <c r="C1029" s="306">
        <v>11.77</v>
      </c>
      <c r="D1029" s="306">
        <v>927.85</v>
      </c>
      <c r="E1029" s="306">
        <v>942</v>
      </c>
      <c r="F1029" s="306">
        <v>944.45</v>
      </c>
      <c r="G1029" s="306">
        <v>915</v>
      </c>
      <c r="H1029" s="306" t="s">
        <v>1409</v>
      </c>
      <c r="I1029" s="308">
        <v>-3.0999999999999999E-3</v>
      </c>
    </row>
    <row r="1030" spans="2:9">
      <c r="B1030" s="307">
        <v>45573</v>
      </c>
      <c r="C1030" s="306">
        <v>21.18</v>
      </c>
      <c r="D1030" s="306">
        <v>919.8</v>
      </c>
      <c r="E1030" s="306">
        <v>916</v>
      </c>
      <c r="F1030" s="306">
        <v>924.8</v>
      </c>
      <c r="G1030" s="306">
        <v>893.85</v>
      </c>
      <c r="H1030" s="306" t="s">
        <v>1410</v>
      </c>
      <c r="I1030" s="308">
        <v>-8.6999999999999994E-3</v>
      </c>
    </row>
    <row r="1031" spans="2:9">
      <c r="B1031" s="307">
        <v>45574</v>
      </c>
      <c r="C1031" s="306">
        <v>11.56</v>
      </c>
      <c r="D1031" s="306">
        <v>939.15</v>
      </c>
      <c r="E1031" s="306">
        <v>926.8</v>
      </c>
      <c r="F1031" s="306">
        <v>948.45</v>
      </c>
      <c r="G1031" s="306">
        <v>925.5</v>
      </c>
      <c r="H1031" s="306" t="s">
        <v>977</v>
      </c>
      <c r="I1031" s="308">
        <v>2.1000000000000001E-2</v>
      </c>
    </row>
    <row r="1032" spans="2:9">
      <c r="B1032" s="307">
        <v>45575</v>
      </c>
      <c r="C1032" s="306">
        <v>13.25</v>
      </c>
      <c r="D1032" s="306">
        <v>928.5</v>
      </c>
      <c r="E1032" s="306">
        <v>933.75</v>
      </c>
      <c r="F1032" s="306">
        <v>943.6</v>
      </c>
      <c r="G1032" s="306">
        <v>912.35</v>
      </c>
      <c r="H1032" s="306" t="s">
        <v>1411</v>
      </c>
      <c r="I1032" s="308">
        <v>-1.1299999999999999E-2</v>
      </c>
    </row>
    <row r="1033" spans="2:9">
      <c r="B1033" s="307">
        <v>45576</v>
      </c>
      <c r="C1033" s="306">
        <v>4.46</v>
      </c>
      <c r="D1033" s="306">
        <v>930.7</v>
      </c>
      <c r="E1033" s="306">
        <v>932</v>
      </c>
      <c r="F1033" s="306">
        <v>937</v>
      </c>
      <c r="G1033" s="306">
        <v>928.5</v>
      </c>
      <c r="H1033" s="306" t="s">
        <v>1412</v>
      </c>
      <c r="I1033" s="308">
        <v>2.3999999999999998E-3</v>
      </c>
    </row>
    <row r="1034" spans="2:9">
      <c r="B1034" s="307">
        <v>45579</v>
      </c>
      <c r="C1034" s="306">
        <v>5.74</v>
      </c>
      <c r="D1034" s="306">
        <v>928.25</v>
      </c>
      <c r="E1034" s="306">
        <v>930</v>
      </c>
      <c r="F1034" s="306">
        <v>940</v>
      </c>
      <c r="G1034" s="306">
        <v>925.35</v>
      </c>
      <c r="H1034" s="306" t="s">
        <v>1413</v>
      </c>
      <c r="I1034" s="308">
        <v>-2.5999999999999999E-3</v>
      </c>
    </row>
    <row r="1035" spans="2:9">
      <c r="B1035" s="307">
        <v>45580</v>
      </c>
      <c r="C1035" s="306">
        <v>9.06</v>
      </c>
      <c r="D1035" s="306">
        <v>917.3</v>
      </c>
      <c r="E1035" s="306">
        <v>932.95</v>
      </c>
      <c r="F1035" s="306">
        <v>935.35</v>
      </c>
      <c r="G1035" s="306">
        <v>913</v>
      </c>
      <c r="H1035" s="306" t="s">
        <v>1414</v>
      </c>
      <c r="I1035" s="308">
        <v>-1.18E-2</v>
      </c>
    </row>
    <row r="1036" spans="2:9">
      <c r="B1036" s="307">
        <v>45581</v>
      </c>
      <c r="C1036" s="306">
        <v>10.3</v>
      </c>
      <c r="D1036" s="306">
        <v>907.45</v>
      </c>
      <c r="E1036" s="306">
        <v>917.05</v>
      </c>
      <c r="F1036" s="306">
        <v>923</v>
      </c>
      <c r="G1036" s="306">
        <v>900</v>
      </c>
      <c r="H1036" s="306" t="s">
        <v>1207</v>
      </c>
      <c r="I1036" s="308">
        <v>-1.0699999999999999E-2</v>
      </c>
    </row>
    <row r="1037" spans="2:9">
      <c r="B1037" s="307">
        <v>45582</v>
      </c>
      <c r="C1037" s="306">
        <v>13.86</v>
      </c>
      <c r="D1037" s="306">
        <v>891.6</v>
      </c>
      <c r="E1037" s="306">
        <v>914.95</v>
      </c>
      <c r="F1037" s="306">
        <v>914.95</v>
      </c>
      <c r="G1037" s="306">
        <v>890.05</v>
      </c>
      <c r="H1037" s="306" t="s">
        <v>1415</v>
      </c>
      <c r="I1037" s="308">
        <v>-1.7500000000000002E-2</v>
      </c>
    </row>
    <row r="1038" spans="2:9">
      <c r="B1038" s="307">
        <v>45583</v>
      </c>
      <c r="C1038" s="306">
        <v>11.53</v>
      </c>
      <c r="D1038" s="306">
        <v>910.15</v>
      </c>
      <c r="E1038" s="306">
        <v>894.3</v>
      </c>
      <c r="F1038" s="306">
        <v>917.7</v>
      </c>
      <c r="G1038" s="306">
        <v>886.8</v>
      </c>
      <c r="H1038" s="306" t="s">
        <v>961</v>
      </c>
      <c r="I1038" s="308">
        <v>2.0799999999999999E-2</v>
      </c>
    </row>
    <row r="1039" spans="2:9">
      <c r="B1039" s="307">
        <v>45586</v>
      </c>
      <c r="C1039" s="306">
        <v>7.39</v>
      </c>
      <c r="D1039" s="306">
        <v>903.3</v>
      </c>
      <c r="E1039" s="306">
        <v>912.05</v>
      </c>
      <c r="F1039" s="306">
        <v>917.65</v>
      </c>
      <c r="G1039" s="306">
        <v>898.1</v>
      </c>
      <c r="H1039" s="306" t="s">
        <v>1116</v>
      </c>
      <c r="I1039" s="308">
        <v>-7.4999999999999997E-3</v>
      </c>
    </row>
    <row r="1040" spans="2:9">
      <c r="B1040" s="307">
        <v>45587</v>
      </c>
      <c r="C1040" s="306">
        <v>13.62</v>
      </c>
      <c r="D1040" s="306">
        <v>879.5</v>
      </c>
      <c r="E1040" s="306">
        <v>905</v>
      </c>
      <c r="F1040" s="306">
        <v>906.1</v>
      </c>
      <c r="G1040" s="306">
        <v>875.25</v>
      </c>
      <c r="H1040" s="306" t="s">
        <v>1416</v>
      </c>
      <c r="I1040" s="308">
        <v>-2.63E-2</v>
      </c>
    </row>
    <row r="1041" spans="2:9">
      <c r="B1041" s="307">
        <v>45588</v>
      </c>
      <c r="C1041" s="306">
        <v>10.55</v>
      </c>
      <c r="D1041" s="306">
        <v>877.65</v>
      </c>
      <c r="E1041" s="306">
        <v>879</v>
      </c>
      <c r="F1041" s="306">
        <v>885.6</v>
      </c>
      <c r="G1041" s="306">
        <v>863.3</v>
      </c>
      <c r="H1041" s="306" t="s">
        <v>1417</v>
      </c>
      <c r="I1041" s="308">
        <v>-2.0999999999999999E-3</v>
      </c>
    </row>
    <row r="1042" spans="2:9">
      <c r="B1042" s="307">
        <v>45589</v>
      </c>
      <c r="C1042" s="306">
        <v>7.23</v>
      </c>
      <c r="D1042" s="306">
        <v>880</v>
      </c>
      <c r="E1042" s="306">
        <v>875.25</v>
      </c>
      <c r="F1042" s="306">
        <v>890</v>
      </c>
      <c r="G1042" s="306">
        <v>875.25</v>
      </c>
      <c r="H1042" s="306" t="s">
        <v>1267</v>
      </c>
      <c r="I1042" s="308">
        <v>2.7000000000000001E-3</v>
      </c>
    </row>
    <row r="1043" spans="2:9">
      <c r="B1043" s="307">
        <v>45590</v>
      </c>
      <c r="C1043" s="306">
        <v>10.87</v>
      </c>
      <c r="D1043" s="306">
        <v>864.3</v>
      </c>
      <c r="E1043" s="306">
        <v>883.9</v>
      </c>
      <c r="F1043" s="306">
        <v>885.75</v>
      </c>
      <c r="G1043" s="306">
        <v>857.3</v>
      </c>
      <c r="H1043" s="306" t="s">
        <v>1418</v>
      </c>
      <c r="I1043" s="308">
        <v>-1.78E-2</v>
      </c>
    </row>
    <row r="1044" spans="2:9">
      <c r="B1044" s="307">
        <v>45593</v>
      </c>
      <c r="C1044" s="306">
        <v>7.11</v>
      </c>
      <c r="D1044" s="306">
        <v>878.45</v>
      </c>
      <c r="E1044" s="306">
        <v>867.85</v>
      </c>
      <c r="F1044" s="306">
        <v>886.75</v>
      </c>
      <c r="G1044" s="306">
        <v>860.2</v>
      </c>
      <c r="H1044" s="306" t="s">
        <v>1419</v>
      </c>
      <c r="I1044" s="308">
        <v>1.6400000000000001E-2</v>
      </c>
    </row>
    <row r="1045" spans="2:9">
      <c r="B1045" s="307">
        <v>45594</v>
      </c>
      <c r="C1045" s="306">
        <v>26.82</v>
      </c>
      <c r="D1045" s="306">
        <v>842.75</v>
      </c>
      <c r="E1045" s="306">
        <v>880.25</v>
      </c>
      <c r="F1045" s="306">
        <v>882.5</v>
      </c>
      <c r="G1045" s="306">
        <v>825.7</v>
      </c>
      <c r="H1045" s="306" t="s">
        <v>1420</v>
      </c>
      <c r="I1045" s="308">
        <v>-4.0599999999999997E-2</v>
      </c>
    </row>
    <row r="1046" spans="2:9">
      <c r="B1046" s="307">
        <v>45595</v>
      </c>
      <c r="C1046" s="306">
        <v>12.93</v>
      </c>
      <c r="D1046" s="306">
        <v>840.2</v>
      </c>
      <c r="E1046" s="306">
        <v>846</v>
      </c>
      <c r="F1046" s="306">
        <v>853.6</v>
      </c>
      <c r="G1046" s="306">
        <v>838.05</v>
      </c>
      <c r="H1046" s="306" t="s">
        <v>1421</v>
      </c>
      <c r="I1046" s="308">
        <v>-3.0000000000000001E-3</v>
      </c>
    </row>
    <row r="1047" spans="2:9">
      <c r="B1047" s="307">
        <v>45596</v>
      </c>
      <c r="C1047" s="306">
        <v>11.9</v>
      </c>
      <c r="D1047" s="306">
        <v>834.05</v>
      </c>
      <c r="E1047" s="306">
        <v>843.85</v>
      </c>
      <c r="F1047" s="306">
        <v>843.85</v>
      </c>
      <c r="G1047" s="306">
        <v>831.85</v>
      </c>
      <c r="H1047" s="306" t="s">
        <v>944</v>
      </c>
      <c r="I1047" s="308">
        <v>-7.3000000000000001E-3</v>
      </c>
    </row>
    <row r="1048" spans="2:9">
      <c r="B1048" s="307">
        <v>45597</v>
      </c>
      <c r="C1048" s="306">
        <v>2.9</v>
      </c>
      <c r="D1048" s="306">
        <v>843.45</v>
      </c>
      <c r="E1048" s="306">
        <v>847.95</v>
      </c>
      <c r="F1048" s="306">
        <v>847.95</v>
      </c>
      <c r="G1048" s="306">
        <v>840</v>
      </c>
      <c r="H1048" s="306" t="s">
        <v>1422</v>
      </c>
      <c r="I1048" s="308">
        <v>1.1299999999999999E-2</v>
      </c>
    </row>
    <row r="1049" spans="2:9">
      <c r="B1049" s="307">
        <v>45600</v>
      </c>
      <c r="C1049" s="306">
        <v>15.51</v>
      </c>
      <c r="D1049" s="306">
        <v>824.1</v>
      </c>
      <c r="E1049" s="306">
        <v>840</v>
      </c>
      <c r="F1049" s="306">
        <v>844.45</v>
      </c>
      <c r="G1049" s="306">
        <v>814.5</v>
      </c>
      <c r="H1049" s="306" t="s">
        <v>1423</v>
      </c>
      <c r="I1049" s="308">
        <v>-2.29E-2</v>
      </c>
    </row>
    <row r="1050" spans="2:9">
      <c r="B1050" s="307">
        <v>45601</v>
      </c>
      <c r="C1050" s="306">
        <v>10.220000000000001</v>
      </c>
      <c r="D1050" s="306">
        <v>835.65</v>
      </c>
      <c r="E1050" s="306">
        <v>821.5</v>
      </c>
      <c r="F1050" s="306">
        <v>843.6</v>
      </c>
      <c r="G1050" s="306">
        <v>820.4</v>
      </c>
      <c r="H1050" s="306" t="s">
        <v>1424</v>
      </c>
      <c r="I1050" s="308">
        <v>1.4E-2</v>
      </c>
    </row>
    <row r="1051" spans="2:9">
      <c r="B1051" s="307">
        <v>45602</v>
      </c>
      <c r="C1051" s="306">
        <v>10.58</v>
      </c>
      <c r="D1051" s="306">
        <v>839.7</v>
      </c>
      <c r="E1051" s="306">
        <v>843.9</v>
      </c>
      <c r="F1051" s="306">
        <v>843.9</v>
      </c>
      <c r="G1051" s="306">
        <v>826</v>
      </c>
      <c r="H1051" s="306" t="s">
        <v>1425</v>
      </c>
      <c r="I1051" s="308">
        <v>4.7999999999999996E-3</v>
      </c>
    </row>
    <row r="1052" spans="2:9">
      <c r="B1052" s="307">
        <v>45603</v>
      </c>
      <c r="C1052" s="306">
        <v>13.24</v>
      </c>
      <c r="D1052" s="306">
        <v>819.75</v>
      </c>
      <c r="E1052" s="306">
        <v>841</v>
      </c>
      <c r="F1052" s="306">
        <v>842.75</v>
      </c>
      <c r="G1052" s="306">
        <v>817.3</v>
      </c>
      <c r="H1052" s="306" t="s">
        <v>958</v>
      </c>
      <c r="I1052" s="308">
        <v>-2.3800000000000002E-2</v>
      </c>
    </row>
    <row r="1053" spans="2:9">
      <c r="B1053" s="307">
        <v>45604</v>
      </c>
      <c r="C1053" s="306">
        <v>16.07</v>
      </c>
      <c r="D1053" s="306">
        <v>805.45</v>
      </c>
      <c r="E1053" s="306">
        <v>821.95</v>
      </c>
      <c r="F1053" s="306">
        <v>822</v>
      </c>
      <c r="G1053" s="306">
        <v>801.1</v>
      </c>
      <c r="H1053" s="306" t="s">
        <v>1426</v>
      </c>
      <c r="I1053" s="308">
        <v>-1.7399999999999999E-2</v>
      </c>
    </row>
    <row r="1054" spans="2:9">
      <c r="B1054" s="307">
        <v>45607</v>
      </c>
      <c r="C1054" s="306">
        <v>27.59</v>
      </c>
      <c r="D1054" s="306">
        <v>804.7</v>
      </c>
      <c r="E1054" s="306">
        <v>801</v>
      </c>
      <c r="F1054" s="306">
        <v>831.45</v>
      </c>
      <c r="G1054" s="306">
        <v>792</v>
      </c>
      <c r="H1054" s="306" t="s">
        <v>1427</v>
      </c>
      <c r="I1054" s="308">
        <v>-8.9999999999999998E-4</v>
      </c>
    </row>
    <row r="1055" spans="2:9">
      <c r="B1055" s="307">
        <v>45608</v>
      </c>
      <c r="C1055" s="306">
        <v>16.53</v>
      </c>
      <c r="D1055" s="306">
        <v>784.85</v>
      </c>
      <c r="E1055" s="306">
        <v>806</v>
      </c>
      <c r="F1055" s="306">
        <v>813.1</v>
      </c>
      <c r="G1055" s="306">
        <v>783.05</v>
      </c>
      <c r="H1055" s="306" t="s">
        <v>1428</v>
      </c>
      <c r="I1055" s="308">
        <v>-2.47E-2</v>
      </c>
    </row>
    <row r="1056" spans="2:9">
      <c r="B1056" s="307">
        <v>45609</v>
      </c>
      <c r="C1056" s="306">
        <v>14.67</v>
      </c>
      <c r="D1056" s="306">
        <v>786.25</v>
      </c>
      <c r="E1056" s="306">
        <v>787</v>
      </c>
      <c r="F1056" s="306">
        <v>792.65</v>
      </c>
      <c r="G1056" s="306">
        <v>775.55</v>
      </c>
      <c r="H1056" s="306" t="s">
        <v>1429</v>
      </c>
      <c r="I1056" s="308">
        <v>1.8E-3</v>
      </c>
    </row>
    <row r="1057" spans="2:9">
      <c r="B1057" s="307">
        <v>45610</v>
      </c>
      <c r="C1057" s="306">
        <v>11.74</v>
      </c>
      <c r="D1057" s="306">
        <v>774.3</v>
      </c>
      <c r="E1057" s="306">
        <v>786.6</v>
      </c>
      <c r="F1057" s="306">
        <v>792</v>
      </c>
      <c r="G1057" s="306">
        <v>772</v>
      </c>
      <c r="H1057" s="306" t="s">
        <v>1430</v>
      </c>
      <c r="I1057" s="308">
        <v>-1.52E-2</v>
      </c>
    </row>
    <row r="1058" spans="2:9">
      <c r="B1058" s="307">
        <v>45614</v>
      </c>
      <c r="C1058" s="306">
        <v>17.05</v>
      </c>
      <c r="D1058" s="306">
        <v>771.9</v>
      </c>
      <c r="E1058" s="306">
        <v>778</v>
      </c>
      <c r="F1058" s="306">
        <v>781.75</v>
      </c>
      <c r="G1058" s="306">
        <v>759.2</v>
      </c>
      <c r="H1058" s="306" t="s">
        <v>953</v>
      </c>
      <c r="I1058" s="308">
        <v>-3.0999999999999999E-3</v>
      </c>
    </row>
    <row r="1059" spans="2:9">
      <c r="B1059" s="307">
        <v>45615</v>
      </c>
      <c r="C1059" s="306">
        <v>14.01</v>
      </c>
      <c r="D1059" s="306">
        <v>783.2</v>
      </c>
      <c r="E1059" s="306">
        <v>771.9</v>
      </c>
      <c r="F1059" s="306">
        <v>799.9</v>
      </c>
      <c r="G1059" s="306">
        <v>771.9</v>
      </c>
      <c r="H1059" s="306" t="s">
        <v>1365</v>
      </c>
      <c r="I1059" s="308">
        <v>1.46E-2</v>
      </c>
    </row>
    <row r="1060" spans="2:9">
      <c r="B1060" s="307">
        <v>45617</v>
      </c>
      <c r="C1060" s="306">
        <v>14.19</v>
      </c>
      <c r="D1060" s="306">
        <v>773.85</v>
      </c>
      <c r="E1060" s="306">
        <v>784.95</v>
      </c>
      <c r="F1060" s="306">
        <v>785.95</v>
      </c>
      <c r="G1060" s="306">
        <v>766.25</v>
      </c>
      <c r="H1060" s="306" t="s">
        <v>1431</v>
      </c>
      <c r="I1060" s="308">
        <v>-1.1900000000000001E-2</v>
      </c>
    </row>
    <row r="1061" spans="2:9">
      <c r="B1061" s="307">
        <v>45618</v>
      </c>
      <c r="C1061" s="306">
        <v>14.54</v>
      </c>
      <c r="D1061" s="306">
        <v>791</v>
      </c>
      <c r="E1061" s="306">
        <v>775</v>
      </c>
      <c r="F1061" s="306">
        <v>794</v>
      </c>
      <c r="G1061" s="306">
        <v>775</v>
      </c>
      <c r="H1061" s="306" t="s">
        <v>872</v>
      </c>
      <c r="I1061" s="308">
        <v>2.2200000000000001E-2</v>
      </c>
    </row>
    <row r="1062" spans="2:9">
      <c r="B1062" s="307">
        <v>45621</v>
      </c>
      <c r="C1062" s="306">
        <v>15.19</v>
      </c>
      <c r="D1062" s="306">
        <v>796.6</v>
      </c>
      <c r="E1062" s="306">
        <v>808.05</v>
      </c>
      <c r="F1062" s="306">
        <v>810.2</v>
      </c>
      <c r="G1062" s="306">
        <v>793.65</v>
      </c>
      <c r="H1062" s="306" t="s">
        <v>950</v>
      </c>
      <c r="I1062" s="308">
        <v>7.1000000000000004E-3</v>
      </c>
    </row>
    <row r="1063" spans="2:9">
      <c r="B1063" s="307">
        <v>45622</v>
      </c>
      <c r="C1063" s="306">
        <v>10.31</v>
      </c>
      <c r="D1063" s="306">
        <v>783</v>
      </c>
      <c r="E1063" s="306">
        <v>797.15</v>
      </c>
      <c r="F1063" s="306">
        <v>801.8</v>
      </c>
      <c r="G1063" s="306">
        <v>780.15</v>
      </c>
      <c r="H1063" s="306" t="s">
        <v>1432</v>
      </c>
      <c r="I1063" s="308">
        <v>-1.7100000000000001E-2</v>
      </c>
    </row>
    <row r="1064" spans="2:9">
      <c r="B1064" s="307">
        <v>45623</v>
      </c>
      <c r="C1064" s="306">
        <v>10.01</v>
      </c>
      <c r="D1064" s="306">
        <v>783.95</v>
      </c>
      <c r="E1064" s="306">
        <v>785.05</v>
      </c>
      <c r="F1064" s="306">
        <v>791.9</v>
      </c>
      <c r="G1064" s="306">
        <v>779.1</v>
      </c>
      <c r="H1064" s="306" t="s">
        <v>1433</v>
      </c>
      <c r="I1064" s="308">
        <v>1.1999999999999999E-3</v>
      </c>
    </row>
    <row r="1065" spans="2:9">
      <c r="B1065" s="307">
        <v>45624</v>
      </c>
      <c r="C1065" s="306">
        <v>10.94</v>
      </c>
      <c r="D1065" s="306">
        <v>779.45</v>
      </c>
      <c r="E1065" s="306">
        <v>783</v>
      </c>
      <c r="F1065" s="306">
        <v>792.55</v>
      </c>
      <c r="G1065" s="306">
        <v>778</v>
      </c>
      <c r="H1065" s="306" t="s">
        <v>1434</v>
      </c>
      <c r="I1065" s="308">
        <v>-5.7000000000000002E-3</v>
      </c>
    </row>
    <row r="1066" spans="2:9">
      <c r="B1066" s="307">
        <v>45625</v>
      </c>
      <c r="C1066" s="306">
        <v>10.36</v>
      </c>
      <c r="D1066" s="306">
        <v>786.45</v>
      </c>
      <c r="E1066" s="306">
        <v>779.5</v>
      </c>
      <c r="F1066" s="306">
        <v>789.4</v>
      </c>
      <c r="G1066" s="306">
        <v>777.05</v>
      </c>
      <c r="H1066" s="306" t="s">
        <v>1005</v>
      </c>
      <c r="I1066" s="308">
        <v>8.9999999999999993E-3</v>
      </c>
    </row>
    <row r="1067" spans="2:9">
      <c r="B1067" s="307">
        <v>45628</v>
      </c>
      <c r="C1067" s="306">
        <v>8.43</v>
      </c>
      <c r="D1067" s="306">
        <v>790.05</v>
      </c>
      <c r="E1067" s="306">
        <v>787.3</v>
      </c>
      <c r="F1067" s="306">
        <v>796.75</v>
      </c>
      <c r="G1067" s="306">
        <v>785</v>
      </c>
      <c r="H1067" s="306" t="s">
        <v>1435</v>
      </c>
      <c r="I1067" s="308">
        <v>4.5999999999999999E-3</v>
      </c>
    </row>
    <row r="1068" spans="2:9">
      <c r="B1068" s="307">
        <v>45629</v>
      </c>
      <c r="C1068" s="306">
        <v>9.8699999999999992</v>
      </c>
      <c r="D1068" s="306">
        <v>801.25</v>
      </c>
      <c r="E1068" s="306">
        <v>795</v>
      </c>
      <c r="F1068" s="306">
        <v>806</v>
      </c>
      <c r="G1068" s="306">
        <v>790</v>
      </c>
      <c r="H1068" s="306" t="s">
        <v>1436</v>
      </c>
      <c r="I1068" s="308">
        <v>1.4200000000000001E-2</v>
      </c>
    </row>
    <row r="1069" spans="2:9">
      <c r="B1069" s="307">
        <v>45630</v>
      </c>
      <c r="C1069" s="306">
        <v>12.39</v>
      </c>
      <c r="D1069" s="306">
        <v>788.1</v>
      </c>
      <c r="E1069" s="306">
        <v>805</v>
      </c>
      <c r="F1069" s="306">
        <v>806</v>
      </c>
      <c r="G1069" s="306">
        <v>784.05</v>
      </c>
      <c r="H1069" s="306" t="s">
        <v>1437</v>
      </c>
      <c r="I1069" s="308">
        <v>-1.6400000000000001E-2</v>
      </c>
    </row>
    <row r="1070" spans="2:9">
      <c r="B1070" s="307">
        <v>45631</v>
      </c>
      <c r="C1070" s="306">
        <v>12.17</v>
      </c>
      <c r="D1070" s="306">
        <v>792.55</v>
      </c>
      <c r="E1070" s="306">
        <v>793</v>
      </c>
      <c r="F1070" s="306">
        <v>797.5</v>
      </c>
      <c r="G1070" s="306">
        <v>781</v>
      </c>
      <c r="H1070" s="306" t="s">
        <v>1438</v>
      </c>
      <c r="I1070" s="308">
        <v>5.5999999999999999E-3</v>
      </c>
    </row>
    <row r="1071" spans="2:9">
      <c r="B1071" s="307">
        <v>45632</v>
      </c>
      <c r="C1071" s="306">
        <v>19.72</v>
      </c>
      <c r="D1071" s="306">
        <v>816.8</v>
      </c>
      <c r="E1071" s="306">
        <v>793</v>
      </c>
      <c r="F1071" s="306">
        <v>818.85</v>
      </c>
      <c r="G1071" s="306">
        <v>785.3</v>
      </c>
      <c r="H1071" s="306" t="s">
        <v>1439</v>
      </c>
      <c r="I1071" s="308">
        <v>3.0599999999999999E-2</v>
      </c>
    </row>
    <row r="1072" spans="2:9">
      <c r="B1072" s="307">
        <v>45635</v>
      </c>
      <c r="C1072" s="306">
        <v>15.57</v>
      </c>
      <c r="D1072" s="306">
        <v>798.75</v>
      </c>
      <c r="E1072" s="306">
        <v>816.8</v>
      </c>
      <c r="F1072" s="306">
        <v>820.35</v>
      </c>
      <c r="G1072" s="306">
        <v>797</v>
      </c>
      <c r="H1072" s="306" t="s">
        <v>1440</v>
      </c>
      <c r="I1072" s="308">
        <v>-2.2100000000000002E-2</v>
      </c>
    </row>
    <row r="1073" spans="2:9">
      <c r="B1073" s="307">
        <v>45636</v>
      </c>
      <c r="C1073" s="306">
        <v>13.11</v>
      </c>
      <c r="D1073" s="306">
        <v>799.9</v>
      </c>
      <c r="E1073" s="306">
        <v>804.8</v>
      </c>
      <c r="F1073" s="306">
        <v>810.45</v>
      </c>
      <c r="G1073" s="306">
        <v>797.45</v>
      </c>
      <c r="H1073" s="306" t="s">
        <v>1082</v>
      </c>
      <c r="I1073" s="308">
        <v>1.4E-3</v>
      </c>
    </row>
    <row r="1074" spans="2:9">
      <c r="B1074" s="307">
        <v>45637</v>
      </c>
      <c r="C1074" s="306">
        <v>7.76</v>
      </c>
      <c r="D1074" s="306">
        <v>799.1</v>
      </c>
      <c r="E1074" s="306">
        <v>802.9</v>
      </c>
      <c r="F1074" s="306">
        <v>806.95</v>
      </c>
      <c r="G1074" s="306">
        <v>798.2</v>
      </c>
      <c r="H1074" s="306" t="s">
        <v>1441</v>
      </c>
      <c r="I1074" s="308">
        <v>-1E-3</v>
      </c>
    </row>
    <row r="1075" spans="2:9">
      <c r="B1075" s="307">
        <v>45638</v>
      </c>
      <c r="C1075" s="306">
        <v>10.6</v>
      </c>
      <c r="D1075" s="306">
        <v>786.35</v>
      </c>
      <c r="E1075" s="306">
        <v>799.2</v>
      </c>
      <c r="F1075" s="306">
        <v>802</v>
      </c>
      <c r="G1075" s="306">
        <v>785.5</v>
      </c>
      <c r="H1075" s="306" t="s">
        <v>1442</v>
      </c>
      <c r="I1075" s="308">
        <v>-1.6E-2</v>
      </c>
    </row>
    <row r="1076" spans="2:9">
      <c r="B1076" s="307">
        <v>45639</v>
      </c>
      <c r="C1076" s="306">
        <v>14.1</v>
      </c>
      <c r="D1076" s="306">
        <v>790.3</v>
      </c>
      <c r="E1076" s="306">
        <v>789</v>
      </c>
      <c r="F1076" s="306">
        <v>792.5</v>
      </c>
      <c r="G1076" s="306">
        <v>775</v>
      </c>
      <c r="H1076" s="306" t="s">
        <v>1443</v>
      </c>
      <c r="I1076" s="308">
        <v>5.0000000000000001E-3</v>
      </c>
    </row>
    <row r="1077" spans="2:9">
      <c r="B1077" s="307">
        <v>45642</v>
      </c>
      <c r="C1077" s="306">
        <v>10.02</v>
      </c>
      <c r="D1077" s="306">
        <v>784.8</v>
      </c>
      <c r="E1077" s="306">
        <v>791.4</v>
      </c>
      <c r="F1077" s="306">
        <v>793.95</v>
      </c>
      <c r="G1077" s="306">
        <v>783</v>
      </c>
      <c r="H1077" s="306" t="s">
        <v>1444</v>
      </c>
      <c r="I1077" s="308">
        <v>-7.0000000000000001E-3</v>
      </c>
    </row>
    <row r="1078" spans="2:9">
      <c r="B1078" s="307">
        <v>45643</v>
      </c>
      <c r="C1078" s="306">
        <v>10.27</v>
      </c>
      <c r="D1078" s="306">
        <v>779.75</v>
      </c>
      <c r="E1078" s="306">
        <v>785.5</v>
      </c>
      <c r="F1078" s="306">
        <v>796.35</v>
      </c>
      <c r="G1078" s="306">
        <v>778</v>
      </c>
      <c r="H1078" s="306" t="s">
        <v>1445</v>
      </c>
      <c r="I1078" s="308">
        <v>-6.4000000000000003E-3</v>
      </c>
    </row>
    <row r="1079" spans="2:9">
      <c r="B1079" s="307">
        <v>45644</v>
      </c>
      <c r="C1079" s="306">
        <v>19.09</v>
      </c>
      <c r="D1079" s="306">
        <v>755.7</v>
      </c>
      <c r="E1079" s="306">
        <v>774</v>
      </c>
      <c r="F1079" s="306">
        <v>774.25</v>
      </c>
      <c r="G1079" s="306">
        <v>754</v>
      </c>
      <c r="H1079" s="306" t="s">
        <v>1446</v>
      </c>
      <c r="I1079" s="308">
        <v>-3.0800000000000001E-2</v>
      </c>
    </row>
    <row r="1080" spans="2:9">
      <c r="B1080" s="307">
        <v>45645</v>
      </c>
      <c r="C1080" s="306">
        <v>17.12</v>
      </c>
      <c r="D1080" s="306">
        <v>744.05</v>
      </c>
      <c r="E1080" s="306">
        <v>744.45</v>
      </c>
      <c r="F1080" s="306">
        <v>755.8</v>
      </c>
      <c r="G1080" s="306">
        <v>741.4</v>
      </c>
      <c r="H1080" s="306" t="s">
        <v>1447</v>
      </c>
      <c r="I1080" s="308">
        <v>-1.54E-2</v>
      </c>
    </row>
    <row r="1081" spans="2:9">
      <c r="B1081" s="307">
        <v>45646</v>
      </c>
      <c r="C1081" s="306">
        <v>17.96</v>
      </c>
      <c r="D1081" s="306">
        <v>724.05</v>
      </c>
      <c r="E1081" s="306">
        <v>744.3</v>
      </c>
      <c r="F1081" s="306">
        <v>749.55</v>
      </c>
      <c r="G1081" s="306">
        <v>721.5</v>
      </c>
      <c r="H1081" s="306" t="s">
        <v>1448</v>
      </c>
      <c r="I1081" s="308">
        <v>-2.69E-2</v>
      </c>
    </row>
    <row r="1082" spans="2:9">
      <c r="B1082" s="307">
        <v>45649</v>
      </c>
      <c r="C1082" s="306">
        <v>9.65</v>
      </c>
      <c r="D1082" s="306">
        <v>722.2</v>
      </c>
      <c r="E1082" s="306">
        <v>733.7</v>
      </c>
      <c r="F1082" s="306">
        <v>734.4</v>
      </c>
      <c r="G1082" s="306">
        <v>717.7</v>
      </c>
      <c r="H1082" s="306" t="s">
        <v>1103</v>
      </c>
      <c r="I1082" s="308">
        <v>-2.5999999999999999E-3</v>
      </c>
    </row>
    <row r="1083" spans="2:9">
      <c r="B1083" s="307">
        <v>45650</v>
      </c>
      <c r="C1083" s="306">
        <v>12.55</v>
      </c>
      <c r="D1083" s="306">
        <v>736.1</v>
      </c>
      <c r="E1083" s="306">
        <v>723.5</v>
      </c>
      <c r="F1083" s="306">
        <v>745.3</v>
      </c>
      <c r="G1083" s="306">
        <v>722.5</v>
      </c>
      <c r="H1083" s="306" t="s">
        <v>1449</v>
      </c>
      <c r="I1083" s="308">
        <v>1.9199999999999998E-2</v>
      </c>
    </row>
    <row r="1084" spans="2:9">
      <c r="B1084" s="307">
        <v>45652</v>
      </c>
      <c r="C1084" s="306">
        <v>9.34</v>
      </c>
      <c r="D1084" s="306">
        <v>740.8</v>
      </c>
      <c r="E1084" s="306">
        <v>736.1</v>
      </c>
      <c r="F1084" s="306">
        <v>747.8</v>
      </c>
      <c r="G1084" s="306">
        <v>735.55</v>
      </c>
      <c r="H1084" s="306" t="s">
        <v>1450</v>
      </c>
      <c r="I1084" s="308">
        <v>6.4000000000000003E-3</v>
      </c>
    </row>
    <row r="1085" spans="2:9">
      <c r="B1085" s="307">
        <v>45653</v>
      </c>
      <c r="C1085" s="306">
        <v>15.84</v>
      </c>
      <c r="D1085" s="306">
        <v>750.5</v>
      </c>
      <c r="E1085" s="306">
        <v>749</v>
      </c>
      <c r="F1085" s="306">
        <v>766.85</v>
      </c>
      <c r="G1085" s="306">
        <v>745.7</v>
      </c>
      <c r="H1085" s="306" t="s">
        <v>1451</v>
      </c>
      <c r="I1085" s="308">
        <v>1.3100000000000001E-2</v>
      </c>
    </row>
    <row r="1086" spans="2:9">
      <c r="B1086" s="307">
        <v>45656</v>
      </c>
      <c r="C1086" s="306">
        <v>17.440000000000001</v>
      </c>
      <c r="D1086" s="306">
        <v>733.65</v>
      </c>
      <c r="E1086" s="306">
        <v>753.9</v>
      </c>
      <c r="F1086" s="306">
        <v>754.9</v>
      </c>
      <c r="G1086" s="306">
        <v>730.7</v>
      </c>
      <c r="H1086" s="306" t="s">
        <v>949</v>
      </c>
      <c r="I1086" s="308">
        <v>-2.2499999999999999E-2</v>
      </c>
    </row>
    <row r="1087" spans="2:9">
      <c r="B1087" s="307">
        <v>45657</v>
      </c>
      <c r="C1087" s="306">
        <v>7.09</v>
      </c>
      <c r="D1087" s="306">
        <v>740.15</v>
      </c>
      <c r="E1087" s="306">
        <v>733.65</v>
      </c>
      <c r="F1087" s="306">
        <v>743.4</v>
      </c>
      <c r="G1087" s="306">
        <v>732.75</v>
      </c>
      <c r="H1087" s="306" t="s">
        <v>1138</v>
      </c>
      <c r="I1087" s="308">
        <v>8.8999999999999999E-3</v>
      </c>
    </row>
    <row r="1088" spans="2:9">
      <c r="B1088" s="307">
        <v>45658</v>
      </c>
      <c r="C1088" s="306">
        <v>7.79</v>
      </c>
      <c r="D1088" s="306">
        <v>749.25</v>
      </c>
      <c r="E1088" s="306">
        <v>740.45</v>
      </c>
      <c r="F1088" s="306">
        <v>751.1</v>
      </c>
      <c r="G1088" s="306">
        <v>736</v>
      </c>
      <c r="H1088" s="306" t="s">
        <v>1137</v>
      </c>
      <c r="I1088" s="308">
        <v>1.23E-2</v>
      </c>
    </row>
    <row r="1089" spans="2:9">
      <c r="B1089" s="307">
        <v>45659</v>
      </c>
      <c r="C1089" s="306">
        <v>15.29</v>
      </c>
      <c r="D1089" s="306">
        <v>765.05</v>
      </c>
      <c r="E1089" s="306">
        <v>759.3</v>
      </c>
      <c r="F1089" s="306">
        <v>767.35</v>
      </c>
      <c r="G1089" s="306">
        <v>749.35</v>
      </c>
      <c r="H1089" s="306" t="s">
        <v>1452</v>
      </c>
      <c r="I1089" s="308">
        <v>2.1100000000000001E-2</v>
      </c>
    </row>
    <row r="1090" spans="2:9">
      <c r="B1090" s="307">
        <v>45660</v>
      </c>
      <c r="C1090" s="306">
        <v>24.77</v>
      </c>
      <c r="D1090" s="306">
        <v>790.4</v>
      </c>
      <c r="E1090" s="306">
        <v>768</v>
      </c>
      <c r="F1090" s="306">
        <v>800.6</v>
      </c>
      <c r="G1090" s="306">
        <v>761.45</v>
      </c>
      <c r="H1090" s="306" t="s">
        <v>1453</v>
      </c>
      <c r="I1090" s="308">
        <v>3.3099999999999997E-2</v>
      </c>
    </row>
    <row r="1091" spans="2:9">
      <c r="B1091" s="307">
        <v>45663</v>
      </c>
      <c r="C1091" s="306">
        <v>16.95</v>
      </c>
      <c r="D1091" s="306">
        <v>776.25</v>
      </c>
      <c r="E1091" s="306">
        <v>797.7</v>
      </c>
      <c r="F1091" s="306">
        <v>797.7</v>
      </c>
      <c r="G1091" s="306">
        <v>765.3</v>
      </c>
      <c r="H1091" s="306" t="s">
        <v>831</v>
      </c>
      <c r="I1091" s="308">
        <v>-1.7899999999999999E-2</v>
      </c>
    </row>
    <row r="1092" spans="2:9">
      <c r="B1092" s="307">
        <v>45664</v>
      </c>
      <c r="C1092" s="306">
        <v>15.55</v>
      </c>
      <c r="D1092" s="306">
        <v>793.25</v>
      </c>
      <c r="E1092" s="306">
        <v>776</v>
      </c>
      <c r="F1092" s="306">
        <v>796.95</v>
      </c>
      <c r="G1092" s="306">
        <v>772.5</v>
      </c>
      <c r="H1092" s="306" t="s">
        <v>1454</v>
      </c>
      <c r="I1092" s="308">
        <v>2.1899999999999999E-2</v>
      </c>
    </row>
    <row r="1093" spans="2:9">
      <c r="B1093" s="307">
        <v>45665</v>
      </c>
      <c r="C1093" s="306">
        <v>11.86</v>
      </c>
      <c r="D1093" s="306">
        <v>794.95</v>
      </c>
      <c r="E1093" s="306">
        <v>792.6</v>
      </c>
      <c r="F1093" s="306">
        <v>797</v>
      </c>
      <c r="G1093" s="306">
        <v>781.65</v>
      </c>
      <c r="H1093" s="306" t="s">
        <v>1455</v>
      </c>
      <c r="I1093" s="308">
        <v>2.0999999999999999E-3</v>
      </c>
    </row>
    <row r="1094" spans="2:9">
      <c r="B1094" s="307">
        <v>45666</v>
      </c>
      <c r="C1094" s="306">
        <v>17.95</v>
      </c>
      <c r="D1094" s="306">
        <v>780.1</v>
      </c>
      <c r="E1094" s="306">
        <v>800</v>
      </c>
      <c r="F1094" s="306">
        <v>810</v>
      </c>
      <c r="G1094" s="306">
        <v>769.45</v>
      </c>
      <c r="H1094" s="306" t="s">
        <v>860</v>
      </c>
      <c r="I1094" s="308">
        <v>-1.8700000000000001E-2</v>
      </c>
    </row>
    <row r="1095" spans="2:9">
      <c r="B1095" s="307">
        <v>45667</v>
      </c>
      <c r="C1095" s="306">
        <v>11.14</v>
      </c>
      <c r="D1095" s="306">
        <v>774.65</v>
      </c>
      <c r="E1095" s="306">
        <v>780.05</v>
      </c>
      <c r="F1095" s="306">
        <v>787.95</v>
      </c>
      <c r="G1095" s="306">
        <v>766.8</v>
      </c>
      <c r="H1095" s="306" t="s">
        <v>1456</v>
      </c>
      <c r="I1095" s="308">
        <v>-7.0000000000000001E-3</v>
      </c>
    </row>
    <row r="1096" spans="2:9">
      <c r="B1096" s="307">
        <v>45670</v>
      </c>
      <c r="C1096" s="306">
        <v>12.23</v>
      </c>
      <c r="D1096" s="306">
        <v>751</v>
      </c>
      <c r="E1096" s="306">
        <v>769</v>
      </c>
      <c r="F1096" s="306">
        <v>773.55</v>
      </c>
      <c r="G1096" s="306">
        <v>748.8</v>
      </c>
      <c r="H1096" s="306" t="s">
        <v>1406</v>
      </c>
      <c r="I1096" s="308">
        <v>-3.0499999999999999E-2</v>
      </c>
    </row>
    <row r="1097" spans="2:9">
      <c r="B1097" s="307">
        <v>45671</v>
      </c>
      <c r="C1097" s="306">
        <v>11.38</v>
      </c>
      <c r="D1097" s="306">
        <v>770.5</v>
      </c>
      <c r="E1097" s="306">
        <v>751.5</v>
      </c>
      <c r="F1097" s="306">
        <v>779</v>
      </c>
      <c r="G1097" s="306">
        <v>751.5</v>
      </c>
      <c r="H1097" s="306" t="s">
        <v>1457</v>
      </c>
      <c r="I1097" s="308">
        <v>2.5999999999999999E-2</v>
      </c>
    </row>
    <row r="1098" spans="2:9">
      <c r="B1098" s="307">
        <v>45672</v>
      </c>
      <c r="C1098" s="306">
        <v>10.5</v>
      </c>
      <c r="D1098" s="306">
        <v>763.6</v>
      </c>
      <c r="E1098" s="306">
        <v>771</v>
      </c>
      <c r="F1098" s="306">
        <v>785</v>
      </c>
      <c r="G1098" s="306">
        <v>756.05</v>
      </c>
      <c r="H1098" s="306" t="s">
        <v>1068</v>
      </c>
      <c r="I1098" s="308">
        <v>-8.9999999999999993E-3</v>
      </c>
    </row>
    <row r="1099" spans="2:9">
      <c r="B1099" s="307">
        <v>45673</v>
      </c>
      <c r="C1099" s="306">
        <v>8.68</v>
      </c>
      <c r="D1099" s="306">
        <v>774.35</v>
      </c>
      <c r="E1099" s="306">
        <v>769.9</v>
      </c>
      <c r="F1099" s="306">
        <v>781</v>
      </c>
      <c r="G1099" s="306">
        <v>767.35</v>
      </c>
      <c r="H1099" s="306" t="s">
        <v>1458</v>
      </c>
      <c r="I1099" s="308">
        <v>1.41E-2</v>
      </c>
    </row>
    <row r="1100" spans="2:9">
      <c r="B1100" s="307">
        <v>45674</v>
      </c>
      <c r="C1100" s="306">
        <v>7.01</v>
      </c>
      <c r="D1100" s="306">
        <v>779.75</v>
      </c>
      <c r="E1100" s="306">
        <v>773.9</v>
      </c>
      <c r="F1100" s="306">
        <v>785.5</v>
      </c>
      <c r="G1100" s="306">
        <v>772.25</v>
      </c>
      <c r="H1100" s="306" t="s">
        <v>1180</v>
      </c>
      <c r="I1100" s="308">
        <v>7.0000000000000001E-3</v>
      </c>
    </row>
    <row r="1101" spans="2:9">
      <c r="B1101" s="307">
        <v>45677</v>
      </c>
      <c r="C1101" s="306">
        <v>9.9600000000000009</v>
      </c>
      <c r="D1101" s="306">
        <v>774.35</v>
      </c>
      <c r="E1101" s="306">
        <v>780</v>
      </c>
      <c r="F1101" s="306">
        <v>783</v>
      </c>
      <c r="G1101" s="306">
        <v>767</v>
      </c>
      <c r="H1101" s="306" t="s">
        <v>1459</v>
      </c>
      <c r="I1101" s="308">
        <v>-6.8999999999999999E-3</v>
      </c>
    </row>
    <row r="1102" spans="2:9">
      <c r="B1102" s="307">
        <v>45678</v>
      </c>
      <c r="C1102" s="306">
        <v>11.66</v>
      </c>
      <c r="D1102" s="306">
        <v>760.75</v>
      </c>
      <c r="E1102" s="306">
        <v>775</v>
      </c>
      <c r="F1102" s="306">
        <v>786.65</v>
      </c>
      <c r="G1102" s="306">
        <v>758.4</v>
      </c>
      <c r="H1102" s="306" t="s">
        <v>1460</v>
      </c>
      <c r="I1102" s="308">
        <v>-1.7600000000000001E-2</v>
      </c>
    </row>
    <row r="1103" spans="2:9">
      <c r="B1103" s="307">
        <v>45679</v>
      </c>
      <c r="C1103" s="306">
        <v>12.42</v>
      </c>
      <c r="D1103" s="306">
        <v>742.75</v>
      </c>
      <c r="E1103" s="306">
        <v>764.15</v>
      </c>
      <c r="F1103" s="306">
        <v>765.45</v>
      </c>
      <c r="G1103" s="306">
        <v>731</v>
      </c>
      <c r="H1103" s="306" t="s">
        <v>1461</v>
      </c>
      <c r="I1103" s="308">
        <v>-2.3699999999999999E-2</v>
      </c>
    </row>
    <row r="1104" spans="2:9">
      <c r="B1104" s="307">
        <v>45680</v>
      </c>
      <c r="C1104" s="306">
        <v>7.92</v>
      </c>
      <c r="D1104" s="306">
        <v>752.5</v>
      </c>
      <c r="E1104" s="306">
        <v>742.75</v>
      </c>
      <c r="F1104" s="306">
        <v>759.7</v>
      </c>
      <c r="G1104" s="306">
        <v>739.8</v>
      </c>
      <c r="H1104" s="306" t="s">
        <v>1225</v>
      </c>
      <c r="I1104" s="308">
        <v>1.3100000000000001E-2</v>
      </c>
    </row>
    <row r="1105" spans="2:9">
      <c r="B1105" s="307">
        <v>45681</v>
      </c>
      <c r="C1105" s="306">
        <v>9.51</v>
      </c>
      <c r="D1105" s="306">
        <v>734.1</v>
      </c>
      <c r="E1105" s="306">
        <v>750.05</v>
      </c>
      <c r="F1105" s="306">
        <v>754.15</v>
      </c>
      <c r="G1105" s="306">
        <v>732.2</v>
      </c>
      <c r="H1105" s="306" t="s">
        <v>1462</v>
      </c>
      <c r="I1105" s="308">
        <v>-2.4500000000000001E-2</v>
      </c>
    </row>
    <row r="1106" spans="2:9">
      <c r="B1106" s="307">
        <v>45684</v>
      </c>
      <c r="C1106" s="306">
        <v>14.12</v>
      </c>
      <c r="D1106" s="306">
        <v>713.05</v>
      </c>
      <c r="E1106" s="306">
        <v>732.95</v>
      </c>
      <c r="F1106" s="306">
        <v>732.95</v>
      </c>
      <c r="G1106" s="306">
        <v>709.3</v>
      </c>
      <c r="H1106" s="306" t="s">
        <v>915</v>
      </c>
      <c r="I1106" s="308">
        <v>-2.87E-2</v>
      </c>
    </row>
    <row r="1107" spans="2:9">
      <c r="B1107" s="307">
        <v>45685</v>
      </c>
      <c r="C1107" s="306">
        <v>16.100000000000001</v>
      </c>
      <c r="D1107" s="306">
        <v>728.25</v>
      </c>
      <c r="E1107" s="306">
        <v>716.5</v>
      </c>
      <c r="F1107" s="306">
        <v>740.85</v>
      </c>
      <c r="G1107" s="306">
        <v>707.5</v>
      </c>
      <c r="H1107" s="306" t="s">
        <v>1463</v>
      </c>
      <c r="I1107" s="308">
        <v>2.1299999999999999E-2</v>
      </c>
    </row>
    <row r="1108" spans="2:9">
      <c r="B1108" s="307">
        <v>45686</v>
      </c>
      <c r="C1108" s="306">
        <v>12.46</v>
      </c>
      <c r="D1108" s="306">
        <v>752.5</v>
      </c>
      <c r="E1108" s="306">
        <v>731.5</v>
      </c>
      <c r="F1108" s="306">
        <v>755</v>
      </c>
      <c r="G1108" s="306">
        <v>726.55</v>
      </c>
      <c r="H1108" s="306" t="s">
        <v>1464</v>
      </c>
      <c r="I1108" s="308">
        <v>3.3300000000000003E-2</v>
      </c>
    </row>
    <row r="1109" spans="2:9">
      <c r="B1109" s="307">
        <v>45687</v>
      </c>
      <c r="C1109" s="306">
        <v>59.39</v>
      </c>
      <c r="D1109" s="306">
        <v>696.85</v>
      </c>
      <c r="E1109" s="306">
        <v>709</v>
      </c>
      <c r="F1109" s="306">
        <v>710.7</v>
      </c>
      <c r="G1109" s="306">
        <v>683.2</v>
      </c>
      <c r="H1109" s="306" t="s">
        <v>1465</v>
      </c>
      <c r="I1109" s="308">
        <v>-7.3999999999999996E-2</v>
      </c>
    </row>
    <row r="1110" spans="2:9">
      <c r="B1110" s="307">
        <v>45688</v>
      </c>
      <c r="C1110" s="306">
        <v>19.16</v>
      </c>
      <c r="D1110" s="306">
        <v>716.1</v>
      </c>
      <c r="E1110" s="306">
        <v>706</v>
      </c>
      <c r="F1110" s="306">
        <v>717</v>
      </c>
      <c r="G1110" s="306">
        <v>696.45</v>
      </c>
      <c r="H1110" s="306" t="s">
        <v>1466</v>
      </c>
      <c r="I1110" s="308">
        <v>2.76E-2</v>
      </c>
    </row>
    <row r="1111" spans="2:9">
      <c r="B1111" s="307">
        <v>45689</v>
      </c>
      <c r="C1111" s="306">
        <v>14.09</v>
      </c>
      <c r="D1111" s="306">
        <v>706.55</v>
      </c>
      <c r="E1111" s="306">
        <v>719.5</v>
      </c>
      <c r="F1111" s="306">
        <v>724.75</v>
      </c>
      <c r="G1111" s="306">
        <v>700.9</v>
      </c>
      <c r="H1111" s="306" t="s">
        <v>1467</v>
      </c>
      <c r="I1111" s="308">
        <v>-1.3299999999999999E-2</v>
      </c>
    </row>
    <row r="1112" spans="2:9">
      <c r="B1112" s="307">
        <v>45691</v>
      </c>
      <c r="C1112" s="306">
        <v>17.809999999999999</v>
      </c>
      <c r="D1112" s="306">
        <v>687.45</v>
      </c>
      <c r="E1112" s="306">
        <v>700</v>
      </c>
      <c r="F1112" s="306">
        <v>700</v>
      </c>
      <c r="G1112" s="306">
        <v>686</v>
      </c>
      <c r="H1112" s="306" t="s">
        <v>1468</v>
      </c>
      <c r="I1112" s="308">
        <v>-2.7E-2</v>
      </c>
    </row>
    <row r="1113" spans="2:9">
      <c r="B1113" s="307">
        <v>45692</v>
      </c>
      <c r="C1113" s="306">
        <v>16.79</v>
      </c>
      <c r="D1113" s="306">
        <v>710.55</v>
      </c>
      <c r="E1113" s="306">
        <v>696.3</v>
      </c>
      <c r="F1113" s="306">
        <v>713.35</v>
      </c>
      <c r="G1113" s="306">
        <v>693.75</v>
      </c>
      <c r="H1113" s="306" t="s">
        <v>1469</v>
      </c>
      <c r="I1113" s="308">
        <v>3.3599999999999998E-2</v>
      </c>
    </row>
    <row r="1114" spans="2:9">
      <c r="B1114" s="307">
        <v>45693</v>
      </c>
      <c r="C1114" s="306">
        <v>12.91</v>
      </c>
      <c r="D1114" s="306">
        <v>717.05</v>
      </c>
      <c r="E1114" s="306">
        <v>711</v>
      </c>
      <c r="F1114" s="306">
        <v>725.45</v>
      </c>
      <c r="G1114" s="306">
        <v>710.7</v>
      </c>
      <c r="H1114" s="306" t="s">
        <v>1183</v>
      </c>
      <c r="I1114" s="308">
        <v>9.1000000000000004E-3</v>
      </c>
    </row>
    <row r="1115" spans="2:9">
      <c r="B1115" s="307">
        <v>45694</v>
      </c>
      <c r="C1115" s="306">
        <v>10.02</v>
      </c>
      <c r="D1115" s="306">
        <v>709.65</v>
      </c>
      <c r="E1115" s="306">
        <v>723</v>
      </c>
      <c r="F1115" s="306">
        <v>723.4</v>
      </c>
      <c r="G1115" s="306">
        <v>708.15</v>
      </c>
      <c r="H1115" s="306" t="s">
        <v>1444</v>
      </c>
      <c r="I1115" s="308">
        <v>-1.03E-2</v>
      </c>
    </row>
    <row r="1116" spans="2:9">
      <c r="B1116" s="307">
        <v>45695</v>
      </c>
      <c r="C1116" s="306">
        <v>12.26</v>
      </c>
      <c r="D1116" s="306">
        <v>706.75</v>
      </c>
      <c r="E1116" s="306">
        <v>711</v>
      </c>
      <c r="F1116" s="306">
        <v>715.95</v>
      </c>
      <c r="G1116" s="306">
        <v>703.1</v>
      </c>
      <c r="H1116" s="306" t="s">
        <v>1153</v>
      </c>
      <c r="I1116" s="308">
        <v>-4.1000000000000003E-3</v>
      </c>
    </row>
    <row r="1117" spans="2:9">
      <c r="B1117" s="307">
        <v>45698</v>
      </c>
      <c r="C1117" s="306">
        <v>10.98</v>
      </c>
      <c r="D1117" s="306">
        <v>696</v>
      </c>
      <c r="E1117" s="306">
        <v>709.75</v>
      </c>
      <c r="F1117" s="306">
        <v>709.9</v>
      </c>
      <c r="G1117" s="306">
        <v>693.05</v>
      </c>
      <c r="H1117" s="306" t="s">
        <v>1470</v>
      </c>
      <c r="I1117" s="308">
        <v>-1.52E-2</v>
      </c>
    </row>
    <row r="1118" spans="2:9">
      <c r="B1118" s="307">
        <v>45699</v>
      </c>
      <c r="C1118" s="306">
        <v>11.94</v>
      </c>
      <c r="D1118" s="306">
        <v>677.75</v>
      </c>
      <c r="E1118" s="306">
        <v>696</v>
      </c>
      <c r="F1118" s="306">
        <v>697</v>
      </c>
      <c r="G1118" s="306">
        <v>675.1</v>
      </c>
      <c r="H1118" s="306" t="s">
        <v>1471</v>
      </c>
      <c r="I1118" s="308">
        <v>-2.6200000000000001E-2</v>
      </c>
    </row>
    <row r="1119" spans="2:9">
      <c r="B1119" s="307">
        <v>45700</v>
      </c>
      <c r="C1119" s="306">
        <v>12.31</v>
      </c>
      <c r="D1119" s="306">
        <v>684.35</v>
      </c>
      <c r="E1119" s="306">
        <v>680</v>
      </c>
      <c r="F1119" s="306">
        <v>687.55</v>
      </c>
      <c r="G1119" s="306">
        <v>667.05</v>
      </c>
      <c r="H1119" s="306" t="s">
        <v>1351</v>
      </c>
      <c r="I1119" s="308">
        <v>9.7000000000000003E-3</v>
      </c>
    </row>
    <row r="1120" spans="2:9">
      <c r="B1120" s="307">
        <v>45701</v>
      </c>
      <c r="C1120" s="306">
        <v>8.49</v>
      </c>
      <c r="D1120" s="306">
        <v>683.85</v>
      </c>
      <c r="E1120" s="306">
        <v>684.35</v>
      </c>
      <c r="F1120" s="306">
        <v>693.15</v>
      </c>
      <c r="G1120" s="306">
        <v>679.35</v>
      </c>
      <c r="H1120" s="306" t="s">
        <v>1472</v>
      </c>
      <c r="I1120" s="308">
        <v>-6.9999999999999999E-4</v>
      </c>
    </row>
    <row r="1121" spans="2:9">
      <c r="B1121" s="307">
        <v>45702</v>
      </c>
      <c r="C1121" s="306">
        <v>9.9700000000000006</v>
      </c>
      <c r="D1121" s="306">
        <v>680.65</v>
      </c>
      <c r="E1121" s="306">
        <v>685.95</v>
      </c>
      <c r="F1121" s="306">
        <v>690.95</v>
      </c>
      <c r="G1121" s="306">
        <v>669.15</v>
      </c>
      <c r="H1121" s="306" t="s">
        <v>1473</v>
      </c>
      <c r="I1121" s="308">
        <v>-4.7000000000000002E-3</v>
      </c>
    </row>
    <row r="1122" spans="2:9">
      <c r="B1122" s="307">
        <v>45705</v>
      </c>
      <c r="C1122" s="306">
        <v>10.31</v>
      </c>
      <c r="D1122" s="306">
        <v>686.6</v>
      </c>
      <c r="E1122" s="306">
        <v>678</v>
      </c>
      <c r="F1122" s="306">
        <v>690.7</v>
      </c>
      <c r="G1122" s="306">
        <v>667.05</v>
      </c>
      <c r="H1122" s="306" t="s">
        <v>1432</v>
      </c>
      <c r="I1122" s="308">
        <v>8.6999999999999994E-3</v>
      </c>
    </row>
    <row r="1123" spans="2:9">
      <c r="B1123" s="307">
        <v>45706</v>
      </c>
      <c r="C1123" s="306">
        <v>7.81</v>
      </c>
      <c r="D1123" s="306">
        <v>682.4</v>
      </c>
      <c r="E1123" s="306">
        <v>686.6</v>
      </c>
      <c r="F1123" s="306">
        <v>687.95</v>
      </c>
      <c r="G1123" s="306">
        <v>672.15</v>
      </c>
      <c r="H1123" s="306" t="s">
        <v>1474</v>
      </c>
      <c r="I1123" s="308">
        <v>-6.1000000000000004E-3</v>
      </c>
    </row>
    <row r="1124" spans="2:9">
      <c r="B1124" s="307">
        <v>45707</v>
      </c>
      <c r="C1124" s="306">
        <v>9.99</v>
      </c>
      <c r="D1124" s="306">
        <v>681</v>
      </c>
      <c r="E1124" s="306">
        <v>681.75</v>
      </c>
      <c r="F1124" s="306">
        <v>690.95</v>
      </c>
      <c r="G1124" s="306">
        <v>675.05</v>
      </c>
      <c r="H1124" s="306" t="s">
        <v>1475</v>
      </c>
      <c r="I1124" s="308">
        <v>-2.0999999999999999E-3</v>
      </c>
    </row>
    <row r="1125" spans="2:9">
      <c r="B1125" s="307">
        <v>45708</v>
      </c>
      <c r="C1125" s="306">
        <v>8.67</v>
      </c>
      <c r="D1125" s="306">
        <v>689.8</v>
      </c>
      <c r="E1125" s="306">
        <v>680</v>
      </c>
      <c r="F1125" s="306">
        <v>692.85</v>
      </c>
      <c r="G1125" s="306">
        <v>675</v>
      </c>
      <c r="H1125" s="306" t="s">
        <v>1092</v>
      </c>
      <c r="I1125" s="308">
        <v>1.29E-2</v>
      </c>
    </row>
    <row r="1126" spans="2:9">
      <c r="B1126" s="307">
        <v>45709</v>
      </c>
      <c r="C1126" s="306">
        <v>14.58</v>
      </c>
      <c r="D1126" s="306">
        <v>673.2</v>
      </c>
      <c r="E1126" s="306">
        <v>686</v>
      </c>
      <c r="F1126" s="306">
        <v>690</v>
      </c>
      <c r="G1126" s="306">
        <v>671.1</v>
      </c>
      <c r="H1126" s="306" t="s">
        <v>1476</v>
      </c>
      <c r="I1126" s="308">
        <v>-2.41E-2</v>
      </c>
    </row>
    <row r="1127" spans="2:9">
      <c r="B1127" s="307">
        <v>45712</v>
      </c>
      <c r="C1127" s="306">
        <v>8.86</v>
      </c>
      <c r="D1127" s="306">
        <v>668.25</v>
      </c>
      <c r="E1127" s="306">
        <v>670</v>
      </c>
      <c r="F1127" s="306">
        <v>676.6</v>
      </c>
      <c r="G1127" s="306">
        <v>666</v>
      </c>
      <c r="H1127" s="306" t="s">
        <v>1194</v>
      </c>
      <c r="I1127" s="308">
        <v>-7.4000000000000003E-3</v>
      </c>
    </row>
    <row r="1128" spans="2:9">
      <c r="B1128" s="307">
        <v>45713</v>
      </c>
      <c r="C1128" s="306">
        <v>10.25</v>
      </c>
      <c r="D1128" s="306">
        <v>661.6</v>
      </c>
      <c r="E1128" s="306">
        <v>667.75</v>
      </c>
      <c r="F1128" s="306">
        <v>672.5</v>
      </c>
      <c r="G1128" s="306">
        <v>660</v>
      </c>
      <c r="H1128" s="306" t="s">
        <v>1403</v>
      </c>
      <c r="I1128" s="308">
        <v>-0.01</v>
      </c>
    </row>
    <row r="1129" spans="2:9">
      <c r="B1129" s="307">
        <v>45715</v>
      </c>
      <c r="C1129" s="306">
        <v>12.28</v>
      </c>
      <c r="D1129" s="306">
        <v>648.54999999999995</v>
      </c>
      <c r="E1129" s="306">
        <v>662</v>
      </c>
      <c r="F1129" s="306">
        <v>665</v>
      </c>
      <c r="G1129" s="306">
        <v>645.65</v>
      </c>
      <c r="H1129" s="306" t="s">
        <v>1035</v>
      </c>
      <c r="I1129" s="308">
        <v>-1.9699999999999999E-2</v>
      </c>
    </row>
    <row r="1130" spans="2:9">
      <c r="B1130" s="307">
        <v>45716</v>
      </c>
      <c r="C1130" s="306">
        <v>20.48</v>
      </c>
      <c r="D1130" s="306">
        <v>620.65</v>
      </c>
      <c r="E1130" s="306">
        <v>645</v>
      </c>
      <c r="F1130" s="306">
        <v>645</v>
      </c>
      <c r="G1130" s="306">
        <v>618.45000000000005</v>
      </c>
      <c r="H1130" s="306" t="s">
        <v>1477</v>
      </c>
      <c r="I1130" s="308">
        <v>-4.2999999999999997E-2</v>
      </c>
    </row>
    <row r="1131" spans="2:9">
      <c r="B1131" s="307">
        <v>45719</v>
      </c>
      <c r="C1131" s="306">
        <v>18.36</v>
      </c>
      <c r="D1131" s="306">
        <v>621.15</v>
      </c>
      <c r="E1131" s="306">
        <v>620.65</v>
      </c>
      <c r="F1131" s="306">
        <v>626.85</v>
      </c>
      <c r="G1131" s="306">
        <v>606.29999999999995</v>
      </c>
      <c r="H1131" s="306" t="s">
        <v>859</v>
      </c>
      <c r="I1131" s="308">
        <v>8.0000000000000004E-4</v>
      </c>
    </row>
    <row r="1132" spans="2:9">
      <c r="B1132" s="307">
        <v>45720</v>
      </c>
      <c r="C1132" s="306">
        <v>11.88</v>
      </c>
      <c r="D1132" s="306">
        <v>619.20000000000005</v>
      </c>
      <c r="E1132" s="306">
        <v>613.45000000000005</v>
      </c>
      <c r="F1132" s="306">
        <v>629.15</v>
      </c>
      <c r="G1132" s="306">
        <v>613</v>
      </c>
      <c r="H1132" s="306" t="s">
        <v>1478</v>
      </c>
      <c r="I1132" s="308">
        <v>-3.0999999999999999E-3</v>
      </c>
    </row>
    <row r="1133" spans="2:9">
      <c r="B1133" s="307">
        <v>45721</v>
      </c>
      <c r="C1133" s="306">
        <v>12.37</v>
      </c>
      <c r="D1133" s="306">
        <v>640.79999999999995</v>
      </c>
      <c r="E1133" s="306">
        <v>619</v>
      </c>
      <c r="F1133" s="306">
        <v>641.6</v>
      </c>
      <c r="G1133" s="306">
        <v>618.6</v>
      </c>
      <c r="H1133" s="306" t="s">
        <v>1479</v>
      </c>
      <c r="I1133" s="308">
        <v>3.49E-2</v>
      </c>
    </row>
    <row r="1134" spans="2:9">
      <c r="B1134" s="307">
        <v>45722</v>
      </c>
      <c r="C1134" s="306">
        <v>16.989999999999998</v>
      </c>
      <c r="D1134" s="306">
        <v>639.65</v>
      </c>
      <c r="E1134" s="306">
        <v>653.25</v>
      </c>
      <c r="F1134" s="306">
        <v>655.95</v>
      </c>
      <c r="G1134" s="306">
        <v>635.6</v>
      </c>
      <c r="H1134" s="306" t="s">
        <v>751</v>
      </c>
      <c r="I1134" s="308">
        <v>-1.8E-3</v>
      </c>
    </row>
    <row r="1135" spans="2:9">
      <c r="B1135" s="307">
        <v>45723</v>
      </c>
      <c r="C1135" s="306">
        <v>10.119999999999999</v>
      </c>
      <c r="D1135" s="306">
        <v>648.29999999999995</v>
      </c>
      <c r="E1135" s="306">
        <v>640</v>
      </c>
      <c r="F1135" s="306">
        <v>651.5</v>
      </c>
      <c r="G1135" s="306">
        <v>635</v>
      </c>
      <c r="H1135" s="306" t="s">
        <v>1480</v>
      </c>
      <c r="I1135" s="308">
        <v>1.35E-2</v>
      </c>
    </row>
    <row r="1136" spans="2:9">
      <c r="B1136" s="307">
        <v>45726</v>
      </c>
      <c r="C1136" s="306">
        <v>10.31</v>
      </c>
      <c r="D1136" s="306">
        <v>648.15</v>
      </c>
      <c r="E1136" s="306">
        <v>648.29999999999995</v>
      </c>
      <c r="F1136" s="306">
        <v>654.25</v>
      </c>
      <c r="G1136" s="306">
        <v>643.35</v>
      </c>
      <c r="H1136" s="306" t="s">
        <v>1432</v>
      </c>
      <c r="I1136" s="308">
        <v>-2.0000000000000001E-4</v>
      </c>
    </row>
    <row r="1137" spans="2:9">
      <c r="B1137" s="307">
        <v>45727</v>
      </c>
      <c r="C1137" s="306">
        <v>9.5299999999999994</v>
      </c>
      <c r="D1137" s="306">
        <v>648.04999999999995</v>
      </c>
      <c r="E1137" s="306">
        <v>640</v>
      </c>
      <c r="F1137" s="306">
        <v>651.15</v>
      </c>
      <c r="G1137" s="306">
        <v>638.45000000000005</v>
      </c>
      <c r="H1137" s="306" t="s">
        <v>1481</v>
      </c>
      <c r="I1137" s="308">
        <v>-2.0000000000000001E-4</v>
      </c>
    </row>
    <row r="1138" spans="2:9">
      <c r="B1138" s="307">
        <v>45728</v>
      </c>
      <c r="C1138" s="306">
        <v>18.73</v>
      </c>
      <c r="D1138" s="306">
        <v>668.3</v>
      </c>
      <c r="E1138" s="306">
        <v>654.5</v>
      </c>
      <c r="F1138" s="306">
        <v>671.9</v>
      </c>
      <c r="G1138" s="306">
        <v>652.25</v>
      </c>
      <c r="H1138" s="306" t="s">
        <v>1482</v>
      </c>
      <c r="I1138" s="308">
        <v>3.1199999999999999E-2</v>
      </c>
    </row>
    <row r="1139" spans="2:9">
      <c r="B1139" s="307">
        <v>45729</v>
      </c>
      <c r="C1139" s="306">
        <v>14</v>
      </c>
      <c r="D1139" s="306">
        <v>655.5</v>
      </c>
      <c r="E1139" s="306">
        <v>670.65</v>
      </c>
      <c r="F1139" s="306">
        <v>671.85</v>
      </c>
      <c r="G1139" s="306">
        <v>649.6</v>
      </c>
      <c r="H1139" s="306" t="s">
        <v>1483</v>
      </c>
      <c r="I1139" s="308">
        <v>-1.9199999999999998E-2</v>
      </c>
    </row>
    <row r="1140" spans="2:9">
      <c r="B1140" s="307">
        <v>45733</v>
      </c>
      <c r="C1140" s="306">
        <v>9.17</v>
      </c>
      <c r="D1140" s="306">
        <v>661.05</v>
      </c>
      <c r="E1140" s="306">
        <v>665.05</v>
      </c>
      <c r="F1140" s="306">
        <v>666.45</v>
      </c>
      <c r="G1140" s="306">
        <v>657.45</v>
      </c>
      <c r="H1140" s="306" t="s">
        <v>1484</v>
      </c>
      <c r="I1140" s="308">
        <v>8.5000000000000006E-3</v>
      </c>
    </row>
    <row r="1141" spans="2:9">
      <c r="B1141" s="307">
        <v>45734</v>
      </c>
      <c r="C1141" s="306">
        <v>11.24</v>
      </c>
      <c r="D1141" s="306">
        <v>680.05</v>
      </c>
      <c r="E1141" s="306">
        <v>665</v>
      </c>
      <c r="F1141" s="306">
        <v>681.7</v>
      </c>
      <c r="G1141" s="306">
        <v>663.9</v>
      </c>
      <c r="H1141" s="306" t="s">
        <v>1485</v>
      </c>
      <c r="I1141" s="308">
        <v>2.87E-2</v>
      </c>
    </row>
    <row r="1142" spans="2:9">
      <c r="B1142" s="307">
        <v>45735</v>
      </c>
      <c r="C1142" s="306">
        <v>9.34</v>
      </c>
      <c r="D1142" s="306">
        <v>682.25</v>
      </c>
      <c r="E1142" s="306">
        <v>685.4</v>
      </c>
      <c r="F1142" s="306">
        <v>685.75</v>
      </c>
      <c r="G1142" s="306">
        <v>678.55</v>
      </c>
      <c r="H1142" s="306" t="s">
        <v>1450</v>
      </c>
      <c r="I1142" s="308">
        <v>3.2000000000000002E-3</v>
      </c>
    </row>
    <row r="1143" spans="2:9">
      <c r="B1143" s="307">
        <v>45736</v>
      </c>
      <c r="C1143" s="306">
        <v>9.7100000000000009</v>
      </c>
      <c r="D1143" s="306">
        <v>690.05</v>
      </c>
      <c r="E1143" s="306">
        <v>685</v>
      </c>
      <c r="F1143" s="306">
        <v>692.7</v>
      </c>
      <c r="G1143" s="306">
        <v>679</v>
      </c>
      <c r="H1143" s="306" t="s">
        <v>1486</v>
      </c>
      <c r="I1143" s="308">
        <v>1.14E-2</v>
      </c>
    </row>
    <row r="1144" spans="2:9">
      <c r="B1144" s="307">
        <v>45737</v>
      </c>
      <c r="C1144" s="306">
        <v>14.82</v>
      </c>
      <c r="D1144" s="306">
        <v>702.95</v>
      </c>
      <c r="E1144" s="306">
        <v>693</v>
      </c>
      <c r="F1144" s="306">
        <v>705</v>
      </c>
      <c r="G1144" s="306">
        <v>688.55</v>
      </c>
      <c r="H1144" s="306" t="s">
        <v>1487</v>
      </c>
      <c r="I1144" s="308">
        <v>1.8700000000000001E-2</v>
      </c>
    </row>
    <row r="1145" spans="2:9">
      <c r="B1145" s="307">
        <v>45740</v>
      </c>
      <c r="C1145" s="306">
        <v>11.67</v>
      </c>
      <c r="D1145" s="306">
        <v>713.5</v>
      </c>
      <c r="E1145" s="306">
        <v>710</v>
      </c>
      <c r="F1145" s="306">
        <v>717.5</v>
      </c>
      <c r="G1145" s="306">
        <v>702.05</v>
      </c>
      <c r="H1145" s="306" t="s">
        <v>1488</v>
      </c>
      <c r="I1145" s="308">
        <v>1.4999999999999999E-2</v>
      </c>
    </row>
    <row r="1146" spans="2:9">
      <c r="B1146" s="307">
        <v>45741</v>
      </c>
      <c r="C1146" s="306">
        <v>13.62</v>
      </c>
      <c r="D1146" s="306">
        <v>710.3</v>
      </c>
      <c r="E1146" s="306">
        <v>719</v>
      </c>
      <c r="F1146" s="306">
        <v>723.05</v>
      </c>
      <c r="G1146" s="306">
        <v>706.35</v>
      </c>
      <c r="H1146" s="306" t="s">
        <v>1416</v>
      </c>
      <c r="I1146" s="308">
        <v>-4.4999999999999997E-3</v>
      </c>
    </row>
    <row r="1147" spans="2:9">
      <c r="B1147" s="307">
        <v>45742</v>
      </c>
      <c r="C1147" s="306">
        <v>9.36</v>
      </c>
      <c r="D1147" s="306">
        <v>708.25</v>
      </c>
      <c r="E1147" s="306">
        <v>710.3</v>
      </c>
      <c r="F1147" s="306">
        <v>717.85</v>
      </c>
      <c r="G1147" s="306">
        <v>707</v>
      </c>
      <c r="H1147" s="306" t="s">
        <v>1163</v>
      </c>
      <c r="I1147" s="308">
        <v>-2.8999999999999998E-3</v>
      </c>
    </row>
    <row r="1148" spans="2:9">
      <c r="B1148" s="307">
        <v>45743</v>
      </c>
      <c r="C1148" s="306">
        <v>34.24</v>
      </c>
      <c r="D1148" s="306">
        <v>668.55</v>
      </c>
      <c r="E1148" s="306">
        <v>668</v>
      </c>
      <c r="F1148" s="306">
        <v>676.6</v>
      </c>
      <c r="G1148" s="306">
        <v>661.1</v>
      </c>
      <c r="H1148" s="306" t="s">
        <v>1489</v>
      </c>
      <c r="I1148" s="308">
        <v>-5.6099999999999997E-2</v>
      </c>
    </row>
    <row r="1149" spans="2:9">
      <c r="B1149" s="307">
        <v>45744</v>
      </c>
      <c r="C1149" s="306">
        <v>16.010000000000002</v>
      </c>
      <c r="D1149" s="306">
        <v>674.45</v>
      </c>
      <c r="E1149" s="306">
        <v>671.85</v>
      </c>
      <c r="F1149" s="306">
        <v>684.95</v>
      </c>
      <c r="G1149" s="306">
        <v>669.3</v>
      </c>
      <c r="H1149" s="306" t="s">
        <v>1490</v>
      </c>
      <c r="I1149" s="308">
        <v>8.8000000000000005E-3</v>
      </c>
    </row>
    <row r="1150" spans="2:9">
      <c r="B1150" s="307">
        <v>45748</v>
      </c>
      <c r="C1150" s="306">
        <v>9.59</v>
      </c>
      <c r="D1150" s="306">
        <v>671.85</v>
      </c>
      <c r="E1150" s="306">
        <v>670.55</v>
      </c>
      <c r="F1150" s="306">
        <v>681.85</v>
      </c>
      <c r="G1150" s="306">
        <v>665.75</v>
      </c>
      <c r="H1150" s="306" t="s">
        <v>1347</v>
      </c>
      <c r="I1150" s="308">
        <v>-3.8999999999999998E-3</v>
      </c>
    </row>
    <row r="1151" spans="2:9">
      <c r="B1151" s="307">
        <v>45749</v>
      </c>
      <c r="C1151" s="306">
        <v>8.0299999999999994</v>
      </c>
      <c r="D1151" s="306">
        <v>671.9</v>
      </c>
      <c r="E1151" s="306">
        <v>674.95</v>
      </c>
      <c r="F1151" s="306">
        <v>675.35</v>
      </c>
      <c r="G1151" s="306">
        <v>662.1</v>
      </c>
      <c r="H1151" s="306" t="s">
        <v>1106</v>
      </c>
      <c r="I1151" s="308">
        <v>1E-4</v>
      </c>
    </row>
    <row r="1152" spans="2:9">
      <c r="B1152" s="307">
        <v>45750</v>
      </c>
      <c r="C1152" s="306">
        <v>13.47</v>
      </c>
      <c r="D1152" s="306">
        <v>653.95000000000005</v>
      </c>
      <c r="E1152" s="306">
        <v>660</v>
      </c>
      <c r="F1152" s="306">
        <v>669</v>
      </c>
      <c r="G1152" s="306">
        <v>652.5</v>
      </c>
      <c r="H1152" s="306" t="s">
        <v>1402</v>
      </c>
      <c r="I1152" s="308">
        <v>-2.6700000000000002E-2</v>
      </c>
    </row>
    <row r="1153" spans="2:9">
      <c r="B1153" s="307">
        <v>45751</v>
      </c>
      <c r="C1153" s="306">
        <v>26.62</v>
      </c>
      <c r="D1153" s="306">
        <v>613.85</v>
      </c>
      <c r="E1153" s="306">
        <v>650</v>
      </c>
      <c r="F1153" s="306">
        <v>650</v>
      </c>
      <c r="G1153" s="306">
        <v>610</v>
      </c>
      <c r="H1153" s="306" t="s">
        <v>703</v>
      </c>
      <c r="I1153" s="308">
        <v>-6.13E-2</v>
      </c>
    </row>
    <row r="1154" spans="2:9">
      <c r="B1154" s="307">
        <v>45754</v>
      </c>
      <c r="C1154" s="306">
        <v>49.46</v>
      </c>
      <c r="D1154" s="306">
        <v>579.75</v>
      </c>
      <c r="E1154" s="306">
        <v>560.5</v>
      </c>
      <c r="F1154" s="306">
        <v>582</v>
      </c>
      <c r="G1154" s="306">
        <v>535.75</v>
      </c>
      <c r="H1154" s="306" t="s">
        <v>1491</v>
      </c>
      <c r="I1154" s="308">
        <v>-5.5599999999999997E-2</v>
      </c>
    </row>
    <row r="1155" spans="2:9">
      <c r="B1155" s="307">
        <v>45755</v>
      </c>
      <c r="C1155" s="306">
        <v>20.99</v>
      </c>
      <c r="D1155" s="306">
        <v>588.85</v>
      </c>
      <c r="E1155" s="306">
        <v>591.20000000000005</v>
      </c>
      <c r="F1155" s="306">
        <v>606.6</v>
      </c>
      <c r="G1155" s="306">
        <v>584.20000000000005</v>
      </c>
      <c r="H1155" s="306" t="s">
        <v>1006</v>
      </c>
      <c r="I1155" s="308">
        <v>1.5699999999999999E-2</v>
      </c>
    </row>
    <row r="1156" spans="2:9">
      <c r="B1156" s="307">
        <v>45756</v>
      </c>
      <c r="C1156" s="306">
        <v>17.48</v>
      </c>
      <c r="D1156" s="306">
        <v>582.9</v>
      </c>
      <c r="E1156" s="306">
        <v>588</v>
      </c>
      <c r="F1156" s="306">
        <v>594.9</v>
      </c>
      <c r="G1156" s="306">
        <v>581.04999999999995</v>
      </c>
      <c r="H1156" s="306" t="s">
        <v>1492</v>
      </c>
      <c r="I1156" s="308">
        <v>-1.01E-2</v>
      </c>
    </row>
    <row r="1157" spans="2:9">
      <c r="B1157" s="307">
        <v>45758</v>
      </c>
      <c r="C1157" s="306">
        <v>21.06</v>
      </c>
      <c r="D1157" s="306">
        <v>595.04999999999995</v>
      </c>
      <c r="E1157" s="306">
        <v>610</v>
      </c>
      <c r="F1157" s="306">
        <v>612.79999999999995</v>
      </c>
      <c r="G1157" s="306">
        <v>591</v>
      </c>
      <c r="H1157" s="306" t="s">
        <v>1493</v>
      </c>
      <c r="I1157" s="308">
        <v>2.0799999999999999E-2</v>
      </c>
    </row>
    <row r="1158" spans="2:9">
      <c r="B1158" s="307">
        <v>45762</v>
      </c>
      <c r="C1158" s="306">
        <v>19.72</v>
      </c>
      <c r="D1158" s="306">
        <v>622.20000000000005</v>
      </c>
      <c r="E1158" s="306">
        <v>614</v>
      </c>
      <c r="F1158" s="306">
        <v>628.29999999999995</v>
      </c>
      <c r="G1158" s="306">
        <v>612.65</v>
      </c>
      <c r="H1158" s="306" t="s">
        <v>1439</v>
      </c>
      <c r="I1158" s="308">
        <v>4.5600000000000002E-2</v>
      </c>
    </row>
    <row r="1159" spans="2:9">
      <c r="B1159" s="307">
        <v>45763</v>
      </c>
      <c r="C1159" s="306">
        <v>12.32</v>
      </c>
      <c r="D1159" s="306">
        <v>616.04999999999995</v>
      </c>
      <c r="E1159" s="306">
        <v>625</v>
      </c>
      <c r="F1159" s="306">
        <v>625</v>
      </c>
      <c r="G1159" s="306">
        <v>613.6</v>
      </c>
      <c r="H1159" s="306" t="s">
        <v>1494</v>
      </c>
      <c r="I1159" s="308">
        <v>-9.9000000000000008E-3</v>
      </c>
    </row>
    <row r="1160" spans="2:9">
      <c r="B1160" s="307">
        <v>45764</v>
      </c>
      <c r="C1160" s="306">
        <v>14.34</v>
      </c>
      <c r="D1160" s="306">
        <v>621.54999999999995</v>
      </c>
      <c r="E1160" s="306">
        <v>616.04999999999995</v>
      </c>
      <c r="F1160" s="306">
        <v>627</v>
      </c>
      <c r="G1160" s="306">
        <v>608.25</v>
      </c>
      <c r="H1160" s="306" t="s">
        <v>909</v>
      </c>
      <c r="I1160" s="308">
        <v>8.8999999999999999E-3</v>
      </c>
    </row>
    <row r="1161" spans="2:9">
      <c r="B1161" s="307">
        <v>45768</v>
      </c>
      <c r="C1161" s="306">
        <v>12.79</v>
      </c>
      <c r="D1161" s="306">
        <v>630.04999999999995</v>
      </c>
      <c r="E1161" s="306">
        <v>624.6</v>
      </c>
      <c r="F1161" s="306">
        <v>635.75</v>
      </c>
      <c r="G1161" s="306">
        <v>620.20000000000005</v>
      </c>
      <c r="H1161" s="306" t="s">
        <v>1237</v>
      </c>
      <c r="I1161" s="308">
        <v>1.37E-2</v>
      </c>
    </row>
    <row r="1162" spans="2:9">
      <c r="B1162" s="307">
        <v>45769</v>
      </c>
      <c r="C1162" s="306">
        <v>10.29</v>
      </c>
      <c r="D1162" s="306">
        <v>630.85</v>
      </c>
      <c r="E1162" s="306">
        <v>630.25</v>
      </c>
      <c r="F1162" s="306">
        <v>633.95000000000005</v>
      </c>
      <c r="G1162" s="306">
        <v>626.20000000000005</v>
      </c>
      <c r="H1162" s="306" t="s">
        <v>1495</v>
      </c>
      <c r="I1162" s="308">
        <v>1.2999999999999999E-3</v>
      </c>
    </row>
    <row r="1163" spans="2:9">
      <c r="B1163" s="307">
        <v>45770</v>
      </c>
      <c r="C1163" s="306">
        <v>23.39</v>
      </c>
      <c r="D1163" s="306">
        <v>659.9</v>
      </c>
      <c r="E1163" s="306">
        <v>635.95000000000005</v>
      </c>
      <c r="F1163" s="306">
        <v>661.5</v>
      </c>
      <c r="G1163" s="306">
        <v>633.35</v>
      </c>
      <c r="H1163" s="306" t="s">
        <v>1309</v>
      </c>
      <c r="I1163" s="308">
        <v>4.5999999999999999E-2</v>
      </c>
    </row>
    <row r="1164" spans="2:9">
      <c r="B1164" s="307">
        <v>45771</v>
      </c>
      <c r="C1164" s="306">
        <v>15.17</v>
      </c>
      <c r="D1164" s="306">
        <v>668.35</v>
      </c>
      <c r="E1164" s="306">
        <v>660.1</v>
      </c>
      <c r="F1164" s="306">
        <v>671</v>
      </c>
      <c r="G1164" s="306">
        <v>660.1</v>
      </c>
      <c r="H1164" s="306" t="s">
        <v>752</v>
      </c>
      <c r="I1164" s="308">
        <v>1.2800000000000001E-2</v>
      </c>
    </row>
    <row r="1165" spans="2:9">
      <c r="B1165" s="307">
        <v>45772</v>
      </c>
      <c r="C1165" s="306">
        <v>13.21</v>
      </c>
      <c r="D1165" s="306">
        <v>655.25</v>
      </c>
      <c r="E1165" s="306">
        <v>668.35</v>
      </c>
      <c r="F1165" s="306">
        <v>673</v>
      </c>
      <c r="G1165" s="306">
        <v>651.5</v>
      </c>
      <c r="H1165" s="306" t="s">
        <v>1343</v>
      </c>
      <c r="I1165" s="308">
        <v>-1.9599999999999999E-2</v>
      </c>
    </row>
    <row r="1166" spans="2:9">
      <c r="B1166" s="307">
        <v>45775</v>
      </c>
      <c r="C1166" s="306">
        <v>10.24</v>
      </c>
      <c r="D1166" s="306">
        <v>668.15</v>
      </c>
      <c r="E1166" s="306">
        <v>654.29999999999995</v>
      </c>
      <c r="F1166" s="306">
        <v>669.6</v>
      </c>
      <c r="G1166" s="306">
        <v>652.54999999999995</v>
      </c>
      <c r="H1166" s="306" t="s">
        <v>1496</v>
      </c>
      <c r="I1166" s="308">
        <v>1.9699999999999999E-2</v>
      </c>
    </row>
    <row r="1167" spans="2:9">
      <c r="B1167" s="307">
        <v>45776</v>
      </c>
      <c r="C1167" s="306">
        <v>13.75</v>
      </c>
      <c r="D1167" s="306">
        <v>665.6</v>
      </c>
      <c r="E1167" s="306">
        <v>671.45</v>
      </c>
      <c r="F1167" s="306">
        <v>682.9</v>
      </c>
      <c r="G1167" s="306">
        <v>661.6</v>
      </c>
      <c r="H1167" s="306" t="s">
        <v>1353</v>
      </c>
      <c r="I1167" s="308">
        <v>-3.8E-3</v>
      </c>
    </row>
    <row r="1168" spans="2:9">
      <c r="B1168" s="307">
        <v>45777</v>
      </c>
      <c r="C1168" s="306">
        <v>19.489999999999998</v>
      </c>
      <c r="D1168" s="306">
        <v>644.25</v>
      </c>
      <c r="E1168" s="306">
        <v>667</v>
      </c>
      <c r="F1168" s="306">
        <v>667</v>
      </c>
      <c r="G1168" s="306">
        <v>641.1</v>
      </c>
      <c r="H1168" s="306" t="s">
        <v>1497</v>
      </c>
      <c r="I1168" s="308">
        <v>-3.2099999999999997E-2</v>
      </c>
    </row>
    <row r="1169" spans="2:9">
      <c r="B1169" s="307">
        <v>45779</v>
      </c>
      <c r="C1169" s="306">
        <v>13.14</v>
      </c>
      <c r="D1169" s="306">
        <v>652</v>
      </c>
      <c r="E1169" s="306">
        <v>641</v>
      </c>
      <c r="F1169" s="306">
        <v>661.35</v>
      </c>
      <c r="G1169" s="306">
        <v>635.54999999999995</v>
      </c>
      <c r="H1169" s="306" t="s">
        <v>1498</v>
      </c>
      <c r="I1169" s="308">
        <v>1.2E-2</v>
      </c>
    </row>
    <row r="1170" spans="2:9">
      <c r="B1170" s="307">
        <v>45782</v>
      </c>
      <c r="C1170" s="306">
        <v>8.8699999999999992</v>
      </c>
      <c r="D1170" s="306">
        <v>661.55</v>
      </c>
      <c r="E1170" s="306">
        <v>662.95</v>
      </c>
      <c r="F1170" s="306">
        <v>666.65</v>
      </c>
      <c r="G1170" s="306">
        <v>655.85</v>
      </c>
      <c r="H1170" s="306" t="s">
        <v>1499</v>
      </c>
      <c r="I1170" s="308">
        <v>1.46E-2</v>
      </c>
    </row>
    <row r="1171" spans="2:9">
      <c r="B1171" s="307">
        <v>45783</v>
      </c>
      <c r="C1171" s="306">
        <v>12.72</v>
      </c>
      <c r="D1171" s="306">
        <v>648.20000000000005</v>
      </c>
      <c r="E1171" s="306">
        <v>661.55</v>
      </c>
      <c r="F1171" s="306">
        <v>663.2</v>
      </c>
      <c r="G1171" s="306">
        <v>645.5</v>
      </c>
      <c r="H1171" s="306" t="s">
        <v>1500</v>
      </c>
      <c r="I1171" s="308">
        <v>-2.0199999999999999E-2</v>
      </c>
    </row>
    <row r="1172" spans="2:9">
      <c r="B1172" s="307">
        <v>45784</v>
      </c>
      <c r="C1172" s="306">
        <v>30.39</v>
      </c>
      <c r="D1172" s="306">
        <v>680.3</v>
      </c>
      <c r="E1172" s="306">
        <v>642</v>
      </c>
      <c r="F1172" s="306">
        <v>682.5</v>
      </c>
      <c r="G1172" s="306">
        <v>641.15</v>
      </c>
      <c r="H1172" s="306" t="s">
        <v>1501</v>
      </c>
      <c r="I1172" s="308">
        <v>4.9500000000000002E-2</v>
      </c>
    </row>
    <row r="1173" spans="2:9">
      <c r="B1173" s="307">
        <v>45785</v>
      </c>
      <c r="C1173" s="306">
        <v>29.32</v>
      </c>
      <c r="D1173" s="306">
        <v>682.85</v>
      </c>
      <c r="E1173" s="306">
        <v>700</v>
      </c>
      <c r="F1173" s="306">
        <v>704.5</v>
      </c>
      <c r="G1173" s="306">
        <v>677.2</v>
      </c>
      <c r="H1173" s="306" t="s">
        <v>1502</v>
      </c>
      <c r="I1173" s="308">
        <v>3.7000000000000002E-3</v>
      </c>
    </row>
    <row r="1174" spans="2:9">
      <c r="B1174" s="307">
        <v>45786</v>
      </c>
      <c r="C1174" s="306">
        <v>40.18</v>
      </c>
      <c r="D1174" s="306">
        <v>708.5</v>
      </c>
      <c r="E1174" s="306">
        <v>667.5</v>
      </c>
      <c r="F1174" s="306">
        <v>711</v>
      </c>
      <c r="G1174" s="306">
        <v>666</v>
      </c>
      <c r="H1174" s="306" t="s">
        <v>1503</v>
      </c>
      <c r="I1174" s="308">
        <v>3.7600000000000001E-2</v>
      </c>
    </row>
    <row r="1175" spans="2:9">
      <c r="B1175" s="307">
        <v>45789</v>
      </c>
      <c r="C1175" s="306">
        <v>20.13</v>
      </c>
      <c r="D1175" s="306">
        <v>720.8</v>
      </c>
      <c r="E1175" s="306">
        <v>728</v>
      </c>
      <c r="F1175" s="306">
        <v>732</v>
      </c>
      <c r="G1175" s="306">
        <v>711.2</v>
      </c>
      <c r="H1175" s="306" t="s">
        <v>1504</v>
      </c>
      <c r="I1175" s="308">
        <v>1.7399999999999999E-2</v>
      </c>
    </row>
    <row r="1176" spans="2:9">
      <c r="B1176" s="307">
        <v>45790</v>
      </c>
      <c r="C1176" s="306">
        <v>16.13</v>
      </c>
      <c r="D1176" s="306">
        <v>707.7</v>
      </c>
      <c r="E1176" s="306">
        <v>720.8</v>
      </c>
      <c r="F1176" s="306">
        <v>726</v>
      </c>
      <c r="G1176" s="306">
        <v>703.25</v>
      </c>
      <c r="H1176" s="306" t="s">
        <v>1505</v>
      </c>
      <c r="I1176" s="308">
        <v>-1.8200000000000001E-2</v>
      </c>
    </row>
    <row r="1177" spans="2:9">
      <c r="B1177" s="307">
        <v>45791</v>
      </c>
      <c r="C1177" s="306">
        <v>31.51</v>
      </c>
      <c r="D1177" s="306">
        <v>698.95</v>
      </c>
      <c r="E1177" s="306">
        <v>690</v>
      </c>
      <c r="F1177" s="306">
        <v>708</v>
      </c>
      <c r="G1177" s="306">
        <v>686</v>
      </c>
      <c r="H1177" s="306" t="s">
        <v>1506</v>
      </c>
      <c r="I1177" s="308">
        <v>-1.24E-2</v>
      </c>
    </row>
    <row r="1178" spans="2:9">
      <c r="B1178" s="307">
        <v>45792</v>
      </c>
      <c r="C1178" s="306">
        <v>28.63</v>
      </c>
      <c r="D1178" s="306">
        <v>728.1</v>
      </c>
      <c r="E1178" s="306">
        <v>698.75</v>
      </c>
      <c r="F1178" s="306">
        <v>729.8</v>
      </c>
      <c r="G1178" s="306">
        <v>696.15</v>
      </c>
      <c r="H1178" s="306" t="s">
        <v>1507</v>
      </c>
      <c r="I1178" s="308">
        <v>4.1700000000000001E-2</v>
      </c>
    </row>
    <row r="1179" spans="2:9">
      <c r="B1179" s="307">
        <v>45793</v>
      </c>
      <c r="C1179" s="306">
        <v>20.63</v>
      </c>
      <c r="D1179" s="306">
        <v>730.7</v>
      </c>
      <c r="E1179" s="306">
        <v>730</v>
      </c>
      <c r="F1179" s="306">
        <v>742</v>
      </c>
      <c r="G1179" s="306">
        <v>725.55</v>
      </c>
      <c r="H1179" s="306" t="s">
        <v>1508</v>
      </c>
      <c r="I1179" s="308">
        <v>3.5999999999999999E-3</v>
      </c>
    </row>
    <row r="1180" spans="2:9">
      <c r="B1180" s="307">
        <v>45796</v>
      </c>
      <c r="C1180" s="306">
        <v>10.46</v>
      </c>
      <c r="D1180" s="306">
        <v>729.5</v>
      </c>
      <c r="E1180" s="306">
        <v>732</v>
      </c>
      <c r="F1180" s="306">
        <v>738.1</v>
      </c>
      <c r="G1180" s="306">
        <v>728</v>
      </c>
      <c r="H1180" s="306" t="s">
        <v>1509</v>
      </c>
      <c r="I1180" s="308">
        <v>-1.6000000000000001E-3</v>
      </c>
    </row>
    <row r="1181" spans="2:9">
      <c r="B1181" s="307">
        <v>45797</v>
      </c>
      <c r="C1181" s="306">
        <v>14.47</v>
      </c>
      <c r="D1181" s="306">
        <v>718.9</v>
      </c>
      <c r="E1181" s="306">
        <v>730</v>
      </c>
      <c r="F1181" s="306">
        <v>737.75</v>
      </c>
      <c r="G1181" s="306">
        <v>717</v>
      </c>
      <c r="H1181" s="306" t="s">
        <v>1037</v>
      </c>
      <c r="I1181" s="308">
        <v>-1.4500000000000001E-2</v>
      </c>
    </row>
    <row r="1182" spans="2:9">
      <c r="B1182" s="307">
        <v>45798</v>
      </c>
      <c r="C1182" s="306">
        <v>9</v>
      </c>
      <c r="D1182" s="306">
        <v>726.8</v>
      </c>
      <c r="E1182" s="306">
        <v>719</v>
      </c>
      <c r="F1182" s="306">
        <v>729.5</v>
      </c>
      <c r="G1182" s="306">
        <v>718</v>
      </c>
      <c r="H1182" s="306" t="s">
        <v>1510</v>
      </c>
      <c r="I1182" s="308">
        <v>1.0999999999999999E-2</v>
      </c>
    </row>
    <row r="1183" spans="2:9">
      <c r="B1183" s="307">
        <v>45799</v>
      </c>
      <c r="C1183" s="306">
        <v>10.050000000000001</v>
      </c>
      <c r="D1183" s="306">
        <v>717.45</v>
      </c>
      <c r="E1183" s="306">
        <v>725</v>
      </c>
      <c r="F1183" s="306">
        <v>725</v>
      </c>
      <c r="G1183" s="306">
        <v>710.65</v>
      </c>
      <c r="H1183" s="306" t="s">
        <v>1511</v>
      </c>
      <c r="I1183" s="308">
        <v>-1.29E-2</v>
      </c>
    </row>
    <row r="1184" spans="2:9">
      <c r="B1184" s="307">
        <v>45800</v>
      </c>
      <c r="C1184" s="306">
        <v>7.92</v>
      </c>
      <c r="D1184" s="306">
        <v>718.25</v>
      </c>
      <c r="E1184" s="306">
        <v>718.75</v>
      </c>
      <c r="F1184" s="306">
        <v>721.8</v>
      </c>
      <c r="G1184" s="306">
        <v>715</v>
      </c>
      <c r="H1184" s="306" t="s">
        <v>1225</v>
      </c>
      <c r="I1184" s="308">
        <v>1.1000000000000001E-3</v>
      </c>
    </row>
    <row r="1185" spans="2:9">
      <c r="B1185" s="307">
        <v>45803</v>
      </c>
      <c r="C1185" s="306">
        <v>13.02</v>
      </c>
      <c r="D1185" s="306">
        <v>729</v>
      </c>
      <c r="E1185" s="306">
        <v>722</v>
      </c>
      <c r="F1185" s="306">
        <v>738</v>
      </c>
      <c r="G1185" s="306">
        <v>721.2</v>
      </c>
      <c r="H1185" s="306" t="s">
        <v>1512</v>
      </c>
      <c r="I1185" s="308">
        <v>1.4999999999999999E-2</v>
      </c>
    </row>
    <row r="1186" spans="2:9">
      <c r="B1186" s="307">
        <v>45804</v>
      </c>
      <c r="C1186" s="306">
        <v>12.22</v>
      </c>
      <c r="D1186" s="306">
        <v>716.45</v>
      </c>
      <c r="E1186" s="306">
        <v>729</v>
      </c>
      <c r="F1186" s="306">
        <v>729.35</v>
      </c>
      <c r="G1186" s="306">
        <v>715.2</v>
      </c>
      <c r="H1186" s="306" t="s">
        <v>1513</v>
      </c>
      <c r="I1186" s="308">
        <v>-1.72E-2</v>
      </c>
    </row>
    <row r="1187" spans="2:9">
      <c r="B1187" s="307">
        <v>45805</v>
      </c>
      <c r="C1187" s="306">
        <v>7.57</v>
      </c>
      <c r="D1187" s="306">
        <v>717.95</v>
      </c>
      <c r="E1187" s="306">
        <v>720</v>
      </c>
      <c r="F1187" s="306">
        <v>722</v>
      </c>
      <c r="G1187" s="306">
        <v>716.2</v>
      </c>
      <c r="H1187" s="306" t="s">
        <v>1514</v>
      </c>
      <c r="I1187" s="308">
        <v>2.0999999999999999E-3</v>
      </c>
    </row>
    <row r="1188" spans="2:9">
      <c r="B1188" s="307">
        <v>45806</v>
      </c>
      <c r="C1188" s="306">
        <v>8.84</v>
      </c>
      <c r="D1188" s="306">
        <v>724.45</v>
      </c>
      <c r="E1188" s="306">
        <v>724.5</v>
      </c>
      <c r="F1188" s="306">
        <v>728.7</v>
      </c>
      <c r="G1188" s="306">
        <v>720</v>
      </c>
      <c r="H1188" s="306" t="s">
        <v>1515</v>
      </c>
      <c r="I1188" s="308">
        <v>9.1000000000000004E-3</v>
      </c>
    </row>
    <row r="1189" spans="2:9">
      <c r="B1189" s="307">
        <v>45807</v>
      </c>
      <c r="C1189" s="306">
        <v>14.53</v>
      </c>
      <c r="D1189" s="306">
        <v>719.5</v>
      </c>
      <c r="E1189" s="306">
        <v>724.45</v>
      </c>
      <c r="F1189" s="306">
        <v>728.55</v>
      </c>
      <c r="G1189" s="306">
        <v>712.5</v>
      </c>
      <c r="H1189" s="306" t="s">
        <v>936</v>
      </c>
      <c r="I1189" s="308">
        <v>-6.7999999999999996E-3</v>
      </c>
    </row>
    <row r="1190" spans="2:9">
      <c r="B1190" s="307">
        <v>45810</v>
      </c>
      <c r="C1190" s="306">
        <v>9.7100000000000009</v>
      </c>
      <c r="D1190" s="306">
        <v>711.6</v>
      </c>
      <c r="E1190" s="306">
        <v>717</v>
      </c>
      <c r="F1190" s="306">
        <v>719</v>
      </c>
      <c r="G1190" s="306">
        <v>707.4</v>
      </c>
      <c r="H1190" s="306" t="s">
        <v>1486</v>
      </c>
      <c r="I1190" s="308">
        <v>-1.0999999999999999E-2</v>
      </c>
    </row>
    <row r="1191" spans="2:9">
      <c r="B1191" s="307">
        <v>45811</v>
      </c>
      <c r="C1191" s="306">
        <v>9.16</v>
      </c>
      <c r="D1191" s="306">
        <v>703.85</v>
      </c>
      <c r="E1191" s="306">
        <v>715</v>
      </c>
      <c r="F1191" s="306">
        <v>718.35</v>
      </c>
      <c r="G1191" s="306">
        <v>702.3</v>
      </c>
      <c r="H1191" s="306" t="s">
        <v>1516</v>
      </c>
      <c r="I1191" s="308">
        <v>-1.09E-2</v>
      </c>
    </row>
    <row r="1192" spans="2:9">
      <c r="B1192" s="307">
        <v>45812</v>
      </c>
      <c r="C1192" s="306">
        <v>11.29</v>
      </c>
      <c r="D1192" s="306">
        <v>709.15</v>
      </c>
      <c r="E1192" s="306">
        <v>701.8</v>
      </c>
      <c r="F1192" s="306">
        <v>715.45</v>
      </c>
      <c r="G1192" s="306">
        <v>698.4</v>
      </c>
      <c r="H1192" s="306" t="s">
        <v>1517</v>
      </c>
      <c r="I1192" s="308">
        <v>7.4999999999999997E-3</v>
      </c>
    </row>
    <row r="1193" spans="2:9">
      <c r="B1193" s="307">
        <v>45813</v>
      </c>
      <c r="C1193" s="306">
        <v>10.199999999999999</v>
      </c>
      <c r="D1193" s="306">
        <v>710.15</v>
      </c>
      <c r="E1193" s="306">
        <v>712.8</v>
      </c>
      <c r="F1193" s="306">
        <v>714.45</v>
      </c>
      <c r="G1193" s="306">
        <v>704</v>
      </c>
      <c r="H1193" s="306" t="s">
        <v>1518</v>
      </c>
      <c r="I1193" s="308">
        <v>1.4E-3</v>
      </c>
    </row>
    <row r="1194" spans="2:9">
      <c r="B1194" s="307">
        <v>45814</v>
      </c>
      <c r="C1194" s="306">
        <v>11.98</v>
      </c>
      <c r="D1194" s="306">
        <v>711</v>
      </c>
      <c r="E1194" s="306">
        <v>710</v>
      </c>
      <c r="F1194" s="306">
        <v>715.9</v>
      </c>
      <c r="G1194" s="306">
        <v>701.2</v>
      </c>
      <c r="H1194" s="306" t="s">
        <v>1369</v>
      </c>
      <c r="I1194" s="308">
        <v>1.1999999999999999E-3</v>
      </c>
    </row>
    <row r="1195" spans="2:9">
      <c r="B1195" s="307">
        <v>45817</v>
      </c>
      <c r="C1195" s="306">
        <v>9.9</v>
      </c>
      <c r="D1195" s="306">
        <v>717.8</v>
      </c>
      <c r="E1195" s="306">
        <v>715</v>
      </c>
      <c r="F1195" s="306">
        <v>726</v>
      </c>
      <c r="G1195" s="306">
        <v>713.1</v>
      </c>
      <c r="H1195" s="306" t="s">
        <v>1519</v>
      </c>
      <c r="I1195" s="308">
        <v>9.5999999999999992E-3</v>
      </c>
    </row>
    <row r="1196" spans="2:9">
      <c r="B1196" s="307">
        <v>45818</v>
      </c>
      <c r="C1196" s="306">
        <v>19.149999999999999</v>
      </c>
      <c r="D1196" s="306">
        <v>732.25</v>
      </c>
      <c r="E1196" s="306">
        <v>721</v>
      </c>
      <c r="F1196" s="306">
        <v>734.75</v>
      </c>
      <c r="G1196" s="306">
        <v>715.35</v>
      </c>
      <c r="H1196" s="306" t="s">
        <v>1520</v>
      </c>
      <c r="I1196" s="308">
        <v>2.01E-2</v>
      </c>
    </row>
    <row r="1197" spans="2:9">
      <c r="B1197" s="307">
        <v>45819</v>
      </c>
      <c r="C1197" s="306">
        <v>12.63</v>
      </c>
      <c r="D1197" s="306">
        <v>736.4</v>
      </c>
      <c r="E1197" s="306">
        <v>734.95</v>
      </c>
      <c r="F1197" s="306">
        <v>744</v>
      </c>
      <c r="G1197" s="306">
        <v>730.15</v>
      </c>
      <c r="H1197" s="306" t="s">
        <v>1323</v>
      </c>
      <c r="I1197" s="308">
        <v>5.7000000000000002E-3</v>
      </c>
    </row>
    <row r="1198" spans="2:9">
      <c r="B1198" s="307">
        <v>45820</v>
      </c>
      <c r="C1198" s="306">
        <v>12.59</v>
      </c>
      <c r="D1198" s="306">
        <v>715.35</v>
      </c>
      <c r="E1198" s="306">
        <v>737</v>
      </c>
      <c r="F1198" s="306">
        <v>737.7</v>
      </c>
      <c r="G1198" s="306">
        <v>711.25</v>
      </c>
      <c r="H1198" s="306" t="s">
        <v>1521</v>
      </c>
      <c r="I1198" s="308">
        <v>-2.86E-2</v>
      </c>
    </row>
    <row r="1199" spans="2:9">
      <c r="B1199" s="307">
        <v>45821</v>
      </c>
      <c r="C1199" s="306">
        <v>10.52</v>
      </c>
      <c r="D1199" s="306">
        <v>712.05</v>
      </c>
      <c r="E1199" s="306">
        <v>700</v>
      </c>
      <c r="F1199" s="306">
        <v>714.95</v>
      </c>
      <c r="G1199" s="306">
        <v>698.3</v>
      </c>
      <c r="H1199" s="306" t="s">
        <v>1522</v>
      </c>
      <c r="I1199" s="308">
        <v>-4.5999999999999999E-3</v>
      </c>
    </row>
    <row r="1200" spans="2:9">
      <c r="B1200" s="307">
        <v>45824</v>
      </c>
      <c r="C1200" s="306">
        <v>31.25</v>
      </c>
      <c r="D1200" s="306">
        <v>686.65</v>
      </c>
      <c r="E1200" s="306">
        <v>711</v>
      </c>
      <c r="F1200" s="306">
        <v>714</v>
      </c>
      <c r="G1200" s="306">
        <v>672.95</v>
      </c>
      <c r="H1200" s="306" t="s">
        <v>1523</v>
      </c>
      <c r="I1200" s="308">
        <v>-3.5700000000000003E-2</v>
      </c>
    </row>
    <row r="1201" spans="2:9">
      <c r="B1201" s="307">
        <v>45825</v>
      </c>
      <c r="C1201" s="306">
        <v>17.11</v>
      </c>
      <c r="D1201" s="306">
        <v>674.75</v>
      </c>
      <c r="E1201" s="306">
        <v>686.1</v>
      </c>
      <c r="F1201" s="306">
        <v>686.15</v>
      </c>
      <c r="G1201" s="306">
        <v>672</v>
      </c>
      <c r="H1201" s="306" t="s">
        <v>898</v>
      </c>
      <c r="I1201" s="308">
        <v>-1.7299999999999999E-2</v>
      </c>
    </row>
    <row r="1202" spans="2:9">
      <c r="B1202" s="307">
        <v>45826</v>
      </c>
      <c r="C1202" s="306">
        <v>12.56</v>
      </c>
      <c r="D1202" s="306">
        <v>670.25</v>
      </c>
      <c r="E1202" s="306">
        <v>671.85</v>
      </c>
      <c r="F1202" s="306">
        <v>679.35</v>
      </c>
      <c r="G1202" s="306">
        <v>668</v>
      </c>
      <c r="H1202" s="306" t="s">
        <v>843</v>
      </c>
      <c r="I1202" s="308">
        <v>-6.7000000000000002E-3</v>
      </c>
    </row>
    <row r="1203" spans="2:9">
      <c r="B1203" s="307">
        <v>45827</v>
      </c>
      <c r="C1203" s="306">
        <v>10.9</v>
      </c>
      <c r="D1203" s="306">
        <v>672.3</v>
      </c>
      <c r="E1203" s="306">
        <v>670.25</v>
      </c>
      <c r="F1203" s="306">
        <v>676.3</v>
      </c>
      <c r="G1203" s="306">
        <v>666.65</v>
      </c>
      <c r="H1203" s="306" t="s">
        <v>1524</v>
      </c>
      <c r="I1203" s="308">
        <v>3.0999999999999999E-3</v>
      </c>
    </row>
    <row r="1204" spans="2:9">
      <c r="B1204" s="307">
        <v>45828</v>
      </c>
      <c r="C1204" s="306">
        <v>11.39</v>
      </c>
      <c r="D1204" s="306">
        <v>676.2</v>
      </c>
      <c r="E1204" s="306">
        <v>673.4</v>
      </c>
      <c r="F1204" s="306">
        <v>678.8</v>
      </c>
      <c r="G1204" s="306">
        <v>670.1</v>
      </c>
      <c r="H1204" s="306" t="s">
        <v>1525</v>
      </c>
      <c r="I1204" s="308">
        <v>5.7999999999999996E-3</v>
      </c>
    </row>
    <row r="1205" spans="2:9">
      <c r="B1205" s="307">
        <v>45831</v>
      </c>
      <c r="C1205" s="306">
        <v>10.27</v>
      </c>
      <c r="D1205" s="306">
        <v>671.25</v>
      </c>
      <c r="E1205" s="306">
        <v>670</v>
      </c>
      <c r="F1205" s="306">
        <v>676</v>
      </c>
      <c r="G1205" s="306">
        <v>666.1</v>
      </c>
      <c r="H1205" s="306" t="s">
        <v>1445</v>
      </c>
      <c r="I1205" s="308">
        <v>-7.3000000000000001E-3</v>
      </c>
    </row>
    <row r="1206" spans="2:9">
      <c r="B1206" s="307">
        <v>45832</v>
      </c>
      <c r="C1206" s="306">
        <v>15.36</v>
      </c>
      <c r="D1206" s="306">
        <v>673.65</v>
      </c>
      <c r="E1206" s="306">
        <v>678</v>
      </c>
      <c r="F1206" s="306">
        <v>686.5</v>
      </c>
      <c r="G1206" s="306">
        <v>672</v>
      </c>
      <c r="H1206" s="306" t="s">
        <v>1526</v>
      </c>
      <c r="I1206" s="308">
        <v>3.5999999999999999E-3</v>
      </c>
    </row>
    <row r="1207" spans="2:9">
      <c r="B1207" s="307">
        <v>45833</v>
      </c>
      <c r="C1207" s="306">
        <v>10.46</v>
      </c>
      <c r="D1207" s="306">
        <v>674.5</v>
      </c>
      <c r="E1207" s="306">
        <v>676</v>
      </c>
      <c r="F1207" s="306">
        <v>679</v>
      </c>
      <c r="G1207" s="306">
        <v>673.45</v>
      </c>
      <c r="H1207" s="306" t="s">
        <v>1509</v>
      </c>
      <c r="I1207" s="308">
        <v>1.2999999999999999E-3</v>
      </c>
    </row>
    <row r="1208" spans="2:9">
      <c r="B1208" s="307">
        <v>45834</v>
      </c>
      <c r="C1208" s="306">
        <v>10.1</v>
      </c>
      <c r="D1208" s="306">
        <v>682.75</v>
      </c>
      <c r="E1208" s="306">
        <v>677</v>
      </c>
      <c r="F1208" s="306">
        <v>683.7</v>
      </c>
      <c r="G1208" s="306">
        <v>674.45</v>
      </c>
      <c r="H1208" s="306" t="s">
        <v>1527</v>
      </c>
      <c r="I1208" s="308">
        <v>1.2200000000000001E-2</v>
      </c>
    </row>
    <row r="1209" spans="2:9">
      <c r="B1209" s="307">
        <v>45835</v>
      </c>
      <c r="C1209" s="306">
        <v>7.2</v>
      </c>
      <c r="D1209" s="306">
        <v>686.9</v>
      </c>
      <c r="E1209" s="306">
        <v>685</v>
      </c>
      <c r="F1209" s="306">
        <v>691.45</v>
      </c>
      <c r="G1209" s="306">
        <v>683</v>
      </c>
      <c r="H1209" s="306" t="s">
        <v>1528</v>
      </c>
      <c r="I1209" s="308">
        <v>6.1000000000000004E-3</v>
      </c>
    </row>
    <row r="1210" spans="2:9">
      <c r="B1210" s="307">
        <v>45838</v>
      </c>
      <c r="C1210" s="306">
        <v>6.96</v>
      </c>
      <c r="D1210" s="306">
        <v>688</v>
      </c>
      <c r="E1210" s="306">
        <v>688.9</v>
      </c>
      <c r="F1210" s="306">
        <v>691.9</v>
      </c>
      <c r="G1210" s="306">
        <v>685</v>
      </c>
      <c r="H1210" s="306" t="s">
        <v>1099</v>
      </c>
      <c r="I1210" s="308">
        <v>1.6000000000000001E-3</v>
      </c>
    </row>
    <row r="1211" spans="2:9">
      <c r="B1211" s="307">
        <v>45839</v>
      </c>
      <c r="C1211" s="306">
        <v>6.87</v>
      </c>
      <c r="D1211" s="306">
        <v>683.8</v>
      </c>
      <c r="E1211" s="306">
        <v>691.1</v>
      </c>
      <c r="F1211" s="306">
        <v>693.85</v>
      </c>
      <c r="G1211" s="306">
        <v>680.4</v>
      </c>
      <c r="H1211" s="306" t="s">
        <v>1529</v>
      </c>
      <c r="I1211" s="308">
        <v>-6.1000000000000004E-3</v>
      </c>
    </row>
    <row r="1212" spans="2:9">
      <c r="B1212" s="307">
        <v>45840</v>
      </c>
      <c r="C1212" s="306">
        <v>8.0299999999999994</v>
      </c>
      <c r="D1212" s="306">
        <v>688.55</v>
      </c>
      <c r="E1212" s="306">
        <v>683.8</v>
      </c>
      <c r="F1212" s="306">
        <v>692.45</v>
      </c>
      <c r="G1212" s="306">
        <v>680.65</v>
      </c>
      <c r="H1212" s="306" t="s">
        <v>1106</v>
      </c>
      <c r="I1212" s="308">
        <v>6.8999999999999999E-3</v>
      </c>
    </row>
    <row r="1213" spans="2:9">
      <c r="B1213" s="307">
        <v>45841</v>
      </c>
      <c r="C1213" s="306">
        <v>9.67</v>
      </c>
      <c r="D1213" s="306">
        <v>690.4</v>
      </c>
      <c r="E1213" s="306">
        <v>693.85</v>
      </c>
      <c r="F1213" s="306">
        <v>696.95</v>
      </c>
      <c r="G1213" s="306">
        <v>688.5</v>
      </c>
      <c r="H1213" s="306" t="s">
        <v>1530</v>
      </c>
      <c r="I1213" s="308">
        <v>2.7000000000000001E-3</v>
      </c>
    </row>
    <row r="1214" spans="2:9">
      <c r="B1214" s="307">
        <v>45842</v>
      </c>
      <c r="C1214" s="306">
        <v>4.9400000000000004</v>
      </c>
      <c r="D1214" s="306">
        <v>689.05</v>
      </c>
      <c r="E1214" s="306">
        <v>691</v>
      </c>
      <c r="F1214" s="306">
        <v>692.85</v>
      </c>
      <c r="G1214" s="306">
        <v>686.35</v>
      </c>
      <c r="H1214" s="306" t="s">
        <v>1531</v>
      </c>
      <c r="I1214" s="308">
        <v>-2E-3</v>
      </c>
    </row>
    <row r="1215" spans="2:9">
      <c r="B1215" s="307">
        <v>45845</v>
      </c>
      <c r="C1215" s="306">
        <v>5.43</v>
      </c>
      <c r="D1215" s="306">
        <v>688.85</v>
      </c>
      <c r="E1215" s="306">
        <v>689.05</v>
      </c>
      <c r="F1215" s="306">
        <v>691.95</v>
      </c>
      <c r="G1215" s="306">
        <v>683.35</v>
      </c>
      <c r="H1215" s="306" t="s">
        <v>1532</v>
      </c>
      <c r="I1215" s="308">
        <v>-2.9999999999999997E-4</v>
      </c>
    </row>
    <row r="1216" spans="2:9">
      <c r="B1216" s="307">
        <v>45846</v>
      </c>
      <c r="C1216" s="306">
        <v>7.62</v>
      </c>
      <c r="D1216" s="306">
        <v>693.2</v>
      </c>
      <c r="E1216" s="306">
        <v>693</v>
      </c>
      <c r="F1216" s="306">
        <v>696.95</v>
      </c>
      <c r="G1216" s="306">
        <v>687.5</v>
      </c>
      <c r="H1216" s="306" t="s">
        <v>1533</v>
      </c>
      <c r="I1216" s="308">
        <v>6.3E-3</v>
      </c>
    </row>
    <row r="1217" spans="2:9">
      <c r="B1217" s="307">
        <v>45847</v>
      </c>
      <c r="C1217" s="306">
        <v>5.48</v>
      </c>
      <c r="D1217" s="306">
        <v>692.8</v>
      </c>
      <c r="E1217" s="306">
        <v>688.95</v>
      </c>
      <c r="F1217" s="306">
        <v>695.5</v>
      </c>
      <c r="G1217" s="306">
        <v>688.5</v>
      </c>
      <c r="H1217" s="306" t="s">
        <v>1534</v>
      </c>
      <c r="I1217" s="308">
        <v>-5.9999999999999995E-4</v>
      </c>
    </row>
    <row r="1218" spans="2:9">
      <c r="B1218" s="307">
        <v>45848</v>
      </c>
      <c r="C1218" s="306">
        <v>7.73</v>
      </c>
      <c r="D1218" s="306">
        <v>695.6</v>
      </c>
      <c r="E1218" s="306">
        <v>692</v>
      </c>
      <c r="F1218" s="306">
        <v>696.75</v>
      </c>
      <c r="G1218" s="306">
        <v>685</v>
      </c>
      <c r="H1218" s="306" t="s">
        <v>1535</v>
      </c>
      <c r="I1218" s="308">
        <v>4.0000000000000001E-3</v>
      </c>
    </row>
    <row r="1219" spans="2:9">
      <c r="B1219" s="307">
        <v>45849</v>
      </c>
      <c r="C1219" s="306">
        <v>8.2799999999999994</v>
      </c>
      <c r="D1219" s="306">
        <v>681.8</v>
      </c>
      <c r="E1219" s="306">
        <v>692.95</v>
      </c>
      <c r="F1219" s="306">
        <v>698.4</v>
      </c>
      <c r="G1219" s="306">
        <v>677.05</v>
      </c>
      <c r="H1219" s="306" t="s">
        <v>1536</v>
      </c>
      <c r="I1219" s="308">
        <v>-1.9800000000000002E-2</v>
      </c>
    </row>
    <row r="1220" spans="2:9">
      <c r="B1220" s="307">
        <v>45852</v>
      </c>
      <c r="C1220" s="306">
        <v>7.75</v>
      </c>
      <c r="D1220" s="306">
        <v>674.5</v>
      </c>
      <c r="E1220" s="306">
        <v>681</v>
      </c>
      <c r="F1220" s="306">
        <v>681</v>
      </c>
      <c r="G1220" s="306">
        <v>672</v>
      </c>
      <c r="H1220" s="306" t="s">
        <v>1537</v>
      </c>
      <c r="I1220" s="308">
        <v>-1.0699999999999999E-2</v>
      </c>
    </row>
    <row r="1221" spans="2:9">
      <c r="B1221" s="307">
        <v>45853</v>
      </c>
      <c r="C1221" s="306">
        <v>7.04</v>
      </c>
      <c r="D1221" s="306">
        <v>684.4</v>
      </c>
      <c r="E1221" s="306">
        <v>676</v>
      </c>
      <c r="F1221" s="306">
        <v>685.95</v>
      </c>
      <c r="G1221" s="306">
        <v>674.3</v>
      </c>
      <c r="H1221" s="306" t="s">
        <v>1538</v>
      </c>
      <c r="I1221" s="308">
        <v>1.47E-2</v>
      </c>
    </row>
    <row r="1222" spans="2:9">
      <c r="B1222" s="307">
        <v>45854</v>
      </c>
      <c r="C1222" s="306">
        <v>6.24</v>
      </c>
      <c r="D1222" s="306">
        <v>679</v>
      </c>
      <c r="E1222" s="306">
        <v>684.4</v>
      </c>
      <c r="F1222" s="306">
        <v>684.4</v>
      </c>
      <c r="G1222" s="306">
        <v>676.35</v>
      </c>
      <c r="H1222" s="306" t="s">
        <v>1539</v>
      </c>
      <c r="I1222" s="308">
        <v>-7.9000000000000008E-3</v>
      </c>
    </row>
    <row r="1223" spans="2:9">
      <c r="B1223" s="307">
        <v>45855</v>
      </c>
      <c r="C1223" s="306">
        <v>6.6</v>
      </c>
      <c r="D1223" s="306">
        <v>681.7</v>
      </c>
      <c r="E1223" s="306">
        <v>679</v>
      </c>
      <c r="F1223" s="306">
        <v>686.9</v>
      </c>
      <c r="G1223" s="306">
        <v>678.15</v>
      </c>
      <c r="H1223" s="306" t="s">
        <v>1156</v>
      </c>
      <c r="I1223" s="308">
        <v>4.0000000000000001E-3</v>
      </c>
    </row>
    <row r="1224" spans="2:9">
      <c r="B1224" s="307">
        <v>45856</v>
      </c>
      <c r="C1224" s="306">
        <v>5.56</v>
      </c>
      <c r="D1224" s="306">
        <v>680.25</v>
      </c>
      <c r="E1224" s="306">
        <v>683.2</v>
      </c>
      <c r="F1224" s="306">
        <v>686</v>
      </c>
      <c r="G1224" s="306">
        <v>678</v>
      </c>
      <c r="H1224" s="306" t="s">
        <v>1540</v>
      </c>
      <c r="I1224" s="308">
        <v>-2.0999999999999999E-3</v>
      </c>
    </row>
    <row r="1225" spans="2:9">
      <c r="B1225" s="307">
        <v>45859</v>
      </c>
      <c r="C1225" s="306">
        <v>6.73</v>
      </c>
      <c r="D1225" s="306">
        <v>687.45</v>
      </c>
      <c r="E1225" s="306">
        <v>680.5</v>
      </c>
      <c r="F1225" s="306">
        <v>688.5</v>
      </c>
      <c r="G1225" s="306">
        <v>671.25</v>
      </c>
      <c r="H1225" s="306" t="s">
        <v>1261</v>
      </c>
      <c r="I1225" s="308">
        <v>1.06E-2</v>
      </c>
    </row>
    <row r="1226" spans="2:9">
      <c r="B1226" s="307">
        <v>45860</v>
      </c>
      <c r="C1226" s="306">
        <v>7.75</v>
      </c>
      <c r="D1226" s="306">
        <v>673.4</v>
      </c>
      <c r="E1226" s="306">
        <v>688</v>
      </c>
      <c r="F1226" s="306">
        <v>688.85</v>
      </c>
      <c r="G1226" s="306">
        <v>672.35</v>
      </c>
      <c r="H1226" s="306" t="s">
        <v>1537</v>
      </c>
      <c r="I1226" s="308">
        <v>-2.0400000000000001E-2</v>
      </c>
    </row>
    <row r="1227" spans="2:9">
      <c r="B1227" s="307">
        <v>45861</v>
      </c>
      <c r="C1227" s="306">
        <v>14.46</v>
      </c>
      <c r="D1227" s="306">
        <v>690.1</v>
      </c>
      <c r="E1227" s="306">
        <v>676.7</v>
      </c>
      <c r="F1227" s="306">
        <v>693.1</v>
      </c>
      <c r="G1227" s="306">
        <v>676.25</v>
      </c>
      <c r="H1227" s="306" t="s">
        <v>1541</v>
      </c>
      <c r="I1227" s="308">
        <v>2.4799999999999999E-2</v>
      </c>
    </row>
    <row r="1228" spans="2:9">
      <c r="B1228" s="307">
        <v>45862</v>
      </c>
      <c r="C1228" s="306">
        <v>15.2</v>
      </c>
      <c r="D1228" s="306">
        <v>700.5</v>
      </c>
      <c r="E1228" s="306">
        <v>692.7</v>
      </c>
      <c r="F1228" s="306">
        <v>706.5</v>
      </c>
      <c r="G1228" s="306">
        <v>692.3</v>
      </c>
      <c r="H1228" s="306" t="s">
        <v>1542</v>
      </c>
      <c r="I1228" s="308">
        <v>1.5100000000000001E-2</v>
      </c>
    </row>
    <row r="1229" spans="2:9">
      <c r="B1229" s="307">
        <v>45863</v>
      </c>
      <c r="C1229" s="306">
        <v>7.27</v>
      </c>
      <c r="D1229" s="306">
        <v>687.4</v>
      </c>
      <c r="E1229" s="306">
        <v>701</v>
      </c>
      <c r="F1229" s="306">
        <v>702.45</v>
      </c>
      <c r="G1229" s="306">
        <v>684.7</v>
      </c>
      <c r="H1229" s="306" t="s">
        <v>1543</v>
      </c>
      <c r="I1229" s="308">
        <v>-1.8700000000000001E-2</v>
      </c>
    </row>
    <row r="1230" spans="2:9">
      <c r="B1230" s="307">
        <v>45866</v>
      </c>
      <c r="C1230" s="306">
        <v>7.79</v>
      </c>
      <c r="D1230" s="306">
        <v>682.9</v>
      </c>
      <c r="E1230" s="306">
        <v>690.7</v>
      </c>
      <c r="F1230" s="306">
        <v>700.5</v>
      </c>
      <c r="G1230" s="306">
        <v>681.4</v>
      </c>
      <c r="H1230" s="306" t="s">
        <v>1137</v>
      </c>
      <c r="I1230" s="308">
        <v>-6.4999999999999997E-3</v>
      </c>
    </row>
    <row r="1231" spans="2:9">
      <c r="B1231" s="307">
        <v>45867</v>
      </c>
      <c r="C1231" s="306">
        <v>6.24</v>
      </c>
      <c r="D1231" s="306">
        <v>692.35</v>
      </c>
      <c r="E1231" s="306">
        <v>681.9</v>
      </c>
      <c r="F1231" s="306">
        <v>694</v>
      </c>
      <c r="G1231" s="306">
        <v>680.6</v>
      </c>
      <c r="H1231" s="306" t="s">
        <v>1539</v>
      </c>
      <c r="I1231" s="308">
        <v>1.38E-2</v>
      </c>
    </row>
    <row r="1232" spans="2:9">
      <c r="B1232" s="307">
        <v>45868</v>
      </c>
      <c r="C1232" s="306">
        <v>18.920000000000002</v>
      </c>
      <c r="D1232" s="306">
        <v>668.45</v>
      </c>
      <c r="E1232" s="306">
        <v>690</v>
      </c>
      <c r="F1232" s="306">
        <v>690</v>
      </c>
      <c r="G1232" s="306">
        <v>665.25</v>
      </c>
      <c r="H1232" s="306" t="s">
        <v>1214</v>
      </c>
      <c r="I1232" s="308">
        <v>-3.4500000000000003E-2</v>
      </c>
    </row>
    <row r="1233" spans="2:9">
      <c r="B1233" s="307">
        <v>45869</v>
      </c>
      <c r="C1233" s="306">
        <v>18.72</v>
      </c>
      <c r="D1233" s="306">
        <v>665.95</v>
      </c>
      <c r="E1233" s="306">
        <v>659.85</v>
      </c>
      <c r="F1233" s="306">
        <v>673.4</v>
      </c>
      <c r="G1233" s="306">
        <v>652.35</v>
      </c>
      <c r="H1233" s="306" t="s">
        <v>1544</v>
      </c>
      <c r="I1233" s="308">
        <v>-3.7000000000000002E-3</v>
      </c>
    </row>
    <row r="1234" spans="2:9">
      <c r="B1234" s="307">
        <v>45870</v>
      </c>
      <c r="C1234" s="306">
        <v>12.55</v>
      </c>
      <c r="D1234" s="306">
        <v>648.85</v>
      </c>
      <c r="E1234" s="306">
        <v>667.95</v>
      </c>
      <c r="F1234" s="306">
        <v>667.95</v>
      </c>
      <c r="G1234" s="306">
        <v>647</v>
      </c>
      <c r="H1234" s="306" t="s">
        <v>1449</v>
      </c>
      <c r="I1234" s="308">
        <v>-2.5700000000000001E-2</v>
      </c>
    </row>
    <row r="1235" spans="2:9">
      <c r="B1235" s="307">
        <v>45873</v>
      </c>
      <c r="C1235" s="306">
        <v>8.0299999999999994</v>
      </c>
      <c r="D1235" s="306">
        <v>653.6</v>
      </c>
      <c r="E1235" s="306">
        <v>650.04999999999995</v>
      </c>
      <c r="F1235" s="306">
        <v>656.8</v>
      </c>
      <c r="G1235" s="306">
        <v>646</v>
      </c>
      <c r="H1235" s="306" t="s">
        <v>1106</v>
      </c>
      <c r="I1235" s="308">
        <v>7.3000000000000001E-3</v>
      </c>
    </row>
    <row r="1236" spans="2:9">
      <c r="B1236" s="307">
        <v>45874</v>
      </c>
      <c r="C1236" s="306">
        <v>6.71</v>
      </c>
      <c r="D1236" s="306">
        <v>654.6</v>
      </c>
      <c r="E1236" s="306">
        <v>655.95</v>
      </c>
      <c r="F1236" s="306">
        <v>658.9</v>
      </c>
      <c r="G1236" s="306">
        <v>650.54999999999995</v>
      </c>
      <c r="H1236" s="306" t="s">
        <v>1545</v>
      </c>
      <c r="I1236" s="308">
        <v>1.5E-3</v>
      </c>
    </row>
    <row r="1237" spans="2:9">
      <c r="B1237" s="307">
        <v>45875</v>
      </c>
      <c r="C1237" s="306">
        <v>6.41</v>
      </c>
      <c r="D1237" s="306">
        <v>652.85</v>
      </c>
      <c r="E1237" s="306">
        <v>655</v>
      </c>
      <c r="F1237" s="306">
        <v>658</v>
      </c>
      <c r="G1237" s="306">
        <v>650.4</v>
      </c>
      <c r="H1237" s="306" t="s">
        <v>1044</v>
      </c>
      <c r="I1237" s="308">
        <v>-2.7000000000000001E-3</v>
      </c>
    </row>
    <row r="1238" spans="2:9">
      <c r="B1238" s="307">
        <v>45876</v>
      </c>
      <c r="C1238" s="306">
        <v>13.61</v>
      </c>
      <c r="D1238" s="306">
        <v>646.5</v>
      </c>
      <c r="E1238" s="306">
        <v>650</v>
      </c>
      <c r="F1238" s="306">
        <v>651.70000000000005</v>
      </c>
      <c r="G1238" s="306">
        <v>635.5</v>
      </c>
      <c r="H1238" s="306" t="s">
        <v>1546</v>
      </c>
      <c r="I1238" s="308">
        <v>-9.7000000000000003E-3</v>
      </c>
    </row>
    <row r="1239" spans="2:9">
      <c r="B1239" s="307">
        <v>45877</v>
      </c>
      <c r="C1239" s="306">
        <v>10.14</v>
      </c>
      <c r="D1239" s="306">
        <v>633.70000000000005</v>
      </c>
      <c r="E1239" s="306">
        <v>647.95000000000005</v>
      </c>
      <c r="F1239" s="306">
        <v>652.95000000000005</v>
      </c>
      <c r="G1239" s="306">
        <v>630</v>
      </c>
      <c r="H1239" s="306" t="s">
        <v>1547</v>
      </c>
      <c r="I1239" s="308">
        <v>-1.9800000000000002E-2</v>
      </c>
    </row>
    <row r="1240" spans="2:9">
      <c r="B1240" s="307">
        <v>45880</v>
      </c>
      <c r="C1240" s="306">
        <v>17.28</v>
      </c>
      <c r="D1240" s="306">
        <v>653.75</v>
      </c>
      <c r="E1240" s="306">
        <v>636.20000000000005</v>
      </c>
      <c r="F1240" s="306">
        <v>655</v>
      </c>
      <c r="G1240" s="306">
        <v>627.1</v>
      </c>
      <c r="H1240" s="306" t="s">
        <v>1548</v>
      </c>
      <c r="I1240" s="308">
        <v>3.1600000000000003E-2</v>
      </c>
    </row>
    <row r="1241" spans="2:9">
      <c r="B1241" s="307">
        <v>45881</v>
      </c>
      <c r="C1241" s="306">
        <v>11.21</v>
      </c>
      <c r="D1241" s="306">
        <v>654.1</v>
      </c>
      <c r="E1241" s="306">
        <v>651.1</v>
      </c>
      <c r="F1241" s="306">
        <v>660.95</v>
      </c>
      <c r="G1241" s="306">
        <v>650.79999999999995</v>
      </c>
      <c r="H1241" s="306" t="s">
        <v>1346</v>
      </c>
      <c r="I1241" s="308">
        <v>5.0000000000000001E-4</v>
      </c>
    </row>
    <row r="1242" spans="2:9">
      <c r="B1242" s="307">
        <v>45882</v>
      </c>
      <c r="C1242" s="306">
        <v>7.56</v>
      </c>
      <c r="D1242" s="306">
        <v>663.75</v>
      </c>
      <c r="E1242" s="306">
        <v>657.2</v>
      </c>
      <c r="F1242" s="306">
        <v>667</v>
      </c>
      <c r="G1242" s="306">
        <v>656.65</v>
      </c>
      <c r="H1242" s="306" t="s">
        <v>1549</v>
      </c>
      <c r="I1242" s="308">
        <v>1.4800000000000001E-2</v>
      </c>
    </row>
    <row r="1243" spans="2:9">
      <c r="B1243" s="307">
        <v>45883</v>
      </c>
      <c r="C1243" s="306">
        <v>6.25</v>
      </c>
      <c r="D1243" s="306">
        <v>664.6</v>
      </c>
      <c r="E1243" s="306">
        <v>666</v>
      </c>
      <c r="F1243" s="306">
        <v>666.55</v>
      </c>
      <c r="G1243" s="306">
        <v>657.7</v>
      </c>
      <c r="H1243" s="306" t="s">
        <v>1550</v>
      </c>
      <c r="I1243" s="308">
        <v>1.2999999999999999E-3</v>
      </c>
    </row>
    <row r="1244" spans="2:9">
      <c r="B1244" s="307">
        <v>45887</v>
      </c>
      <c r="C1244" s="306">
        <v>14.23</v>
      </c>
      <c r="D1244" s="306">
        <v>676</v>
      </c>
      <c r="E1244" s="306">
        <v>677</v>
      </c>
      <c r="F1244" s="306">
        <v>685</v>
      </c>
      <c r="G1244" s="306">
        <v>672.9</v>
      </c>
      <c r="H1244" s="306" t="s">
        <v>1551</v>
      </c>
      <c r="I1244" s="308">
        <v>1.72E-2</v>
      </c>
    </row>
    <row r="1245" spans="2:9">
      <c r="B1245" s="307">
        <v>45888</v>
      </c>
      <c r="C1245" s="306">
        <v>19.440000000000001</v>
      </c>
      <c r="D1245" s="306">
        <v>700.25</v>
      </c>
      <c r="E1245" s="306">
        <v>676.75</v>
      </c>
      <c r="F1245" s="306">
        <v>703.35</v>
      </c>
      <c r="G1245" s="306">
        <v>673.1</v>
      </c>
      <c r="H1245" s="306" t="s">
        <v>780</v>
      </c>
      <c r="I1245" s="308">
        <v>3.5900000000000001E-2</v>
      </c>
    </row>
    <row r="1246" spans="2:9">
      <c r="B1246" s="307">
        <v>45889</v>
      </c>
      <c r="C1246" s="306">
        <v>10.050000000000001</v>
      </c>
      <c r="D1246" s="306">
        <v>689.6</v>
      </c>
      <c r="E1246" s="306">
        <v>700.25</v>
      </c>
      <c r="F1246" s="306">
        <v>700.8</v>
      </c>
      <c r="G1246" s="306">
        <v>689</v>
      </c>
      <c r="H1246" s="306" t="s">
        <v>1511</v>
      </c>
      <c r="I1246" s="308">
        <v>-1.52E-2</v>
      </c>
    </row>
    <row r="1249" spans="3:10" ht="15" thickBot="1">
      <c r="E1249" s="306">
        <f>100</f>
        <v>100</v>
      </c>
      <c r="F1249" s="310"/>
    </row>
    <row r="1250" spans="3:10" ht="15" thickBot="1">
      <c r="C1250" s="311" t="s">
        <v>1552</v>
      </c>
      <c r="D1250" s="312" t="s">
        <v>507</v>
      </c>
      <c r="E1250" s="312" t="s">
        <v>508</v>
      </c>
      <c r="F1250" s="313" t="s">
        <v>509</v>
      </c>
    </row>
    <row r="1251" spans="3:10" ht="18.5" thickBot="1">
      <c r="C1251" s="314" t="s">
        <v>1553</v>
      </c>
      <c r="D1251" s="309">
        <v>147.8263541</v>
      </c>
      <c r="E1251" s="308">
        <f>40.15/(100)</f>
        <v>0.40149999999999997</v>
      </c>
      <c r="F1251" s="315">
        <f>691.4*D1251</f>
        <v>102207.14122474</v>
      </c>
      <c r="H1251" s="316" t="s">
        <v>1564</v>
      </c>
      <c r="I1251" s="316"/>
      <c r="J1251" s="308">
        <f>42.57/(100)</f>
        <v>0.42570000000000002</v>
      </c>
    </row>
    <row r="1252" spans="3:10" ht="18.5" thickBot="1">
      <c r="C1252" s="314" t="s">
        <v>1554</v>
      </c>
      <c r="D1252" s="309">
        <v>14.3329281</v>
      </c>
      <c r="E1252" s="308">
        <f>3.89/(100)</f>
        <v>3.8900000000000004E-2</v>
      </c>
      <c r="F1252" s="315">
        <f t="shared" ref="F1252:F1260" si="0">691.4*D1252</f>
        <v>9909.7864883399998</v>
      </c>
      <c r="H1252" s="316" t="s">
        <v>1565</v>
      </c>
      <c r="I1252" s="316"/>
      <c r="J1252" s="308">
        <f>10.18/(100)</f>
        <v>0.1018</v>
      </c>
    </row>
    <row r="1253" spans="3:10" ht="15" thickBot="1">
      <c r="C1253" s="314" t="s">
        <v>1555</v>
      </c>
      <c r="D1253" s="309">
        <v>10.2534387</v>
      </c>
      <c r="E1253" s="308">
        <f>2.79/(100)</f>
        <v>2.7900000000000001E-2</v>
      </c>
      <c r="F1253" s="315">
        <f t="shared" si="0"/>
        <v>7089.2275171800002</v>
      </c>
      <c r="H1253" s="316" t="s">
        <v>1566</v>
      </c>
      <c r="J1253" s="308">
        <f>6.24/(100)</f>
        <v>6.2400000000000004E-2</v>
      </c>
    </row>
    <row r="1254" spans="3:10" ht="18.5" thickBot="1">
      <c r="C1254" s="314" t="s">
        <v>1556</v>
      </c>
      <c r="D1254" s="309">
        <v>7.2203629999999999</v>
      </c>
      <c r="E1254" s="308">
        <f>1.96/(100)</f>
        <v>1.9599999999999999E-2</v>
      </c>
      <c r="F1254" s="315">
        <f t="shared" si="0"/>
        <v>4992.1589782000001</v>
      </c>
      <c r="H1254" s="316" t="s">
        <v>1567</v>
      </c>
      <c r="J1254" s="308">
        <f>17.17/(100)</f>
        <v>0.17170000000000002</v>
      </c>
    </row>
    <row r="1255" spans="3:10" ht="29" customHeight="1" thickBot="1">
      <c r="C1255" s="314" t="s">
        <v>1557</v>
      </c>
      <c r="D1255" s="309">
        <v>6.8270492000000003</v>
      </c>
      <c r="E1255" s="308">
        <f>1.85/(100)</f>
        <v>1.8500000000000003E-2</v>
      </c>
      <c r="F1255" s="315">
        <f t="shared" si="0"/>
        <v>4720.22181688</v>
      </c>
      <c r="H1255" s="316" t="s">
        <v>1568</v>
      </c>
      <c r="J1255" s="308">
        <f>0.83/(100)</f>
        <v>8.3000000000000001E-3</v>
      </c>
    </row>
    <row r="1256" spans="3:10" ht="35.5" customHeight="1" thickBot="1">
      <c r="C1256" s="314" t="s">
        <v>1562</v>
      </c>
      <c r="D1256" s="309">
        <v>4.9420875000000004</v>
      </c>
      <c r="E1256" s="308">
        <f>1.34/(100)</f>
        <v>1.34E-2</v>
      </c>
      <c r="F1256" s="315">
        <f t="shared" si="0"/>
        <v>3416.9592975</v>
      </c>
      <c r="H1256" s="316" t="s">
        <v>1569</v>
      </c>
      <c r="J1256" s="308">
        <f>23.01/(100)</f>
        <v>0.23010000000000003</v>
      </c>
    </row>
    <row r="1257" spans="3:10" ht="15" thickBot="1">
      <c r="C1257" s="314" t="s">
        <v>1558</v>
      </c>
      <c r="D1257" s="309">
        <v>4.7770260000000002</v>
      </c>
      <c r="E1257" s="308">
        <f>1.3/(100)</f>
        <v>1.3000000000000001E-2</v>
      </c>
      <c r="F1257" s="315">
        <f t="shared" si="0"/>
        <v>3302.8357764000002</v>
      </c>
      <c r="J1257" s="308"/>
    </row>
    <row r="1258" spans="3:10" ht="26.5" customHeight="1" thickBot="1">
      <c r="C1258" s="314" t="s">
        <v>1559</v>
      </c>
      <c r="D1258" s="309">
        <v>1.1000000000000001</v>
      </c>
      <c r="E1258" s="308">
        <f>0.3/(100)</f>
        <v>3.0000000000000001E-3</v>
      </c>
      <c r="F1258" s="315">
        <f t="shared" si="0"/>
        <v>760.54000000000008</v>
      </c>
    </row>
    <row r="1259" spans="3:10" ht="33" customHeight="1" thickBot="1">
      <c r="C1259" s="314" t="s">
        <v>1560</v>
      </c>
      <c r="D1259" s="309">
        <v>0.97688240000000004</v>
      </c>
      <c r="E1259" s="308">
        <f>0.27/(100)</f>
        <v>2.7000000000000001E-3</v>
      </c>
      <c r="F1259" s="315">
        <f t="shared" si="0"/>
        <v>675.41649136000001</v>
      </c>
    </row>
    <row r="1260" spans="3:10" ht="18.5" thickBot="1">
      <c r="C1260" s="314" t="s">
        <v>1561</v>
      </c>
      <c r="D1260" s="309">
        <v>0.33837460000000003</v>
      </c>
      <c r="E1260" s="308">
        <f>0.09/(100)</f>
        <v>8.9999999999999998E-4</v>
      </c>
      <c r="F1260" s="315">
        <f t="shared" si="0"/>
        <v>233.95219844000002</v>
      </c>
    </row>
    <row r="1262" spans="3:10" ht="5.5" customHeight="1"/>
    <row r="1263" spans="3:10" ht="32.5" customHeight="1">
      <c r="C1263" s="324" t="s">
        <v>1575</v>
      </c>
      <c r="D1263" s="324" t="s">
        <v>346</v>
      </c>
      <c r="E1263" s="324" t="s">
        <v>1576</v>
      </c>
      <c r="F1263" s="325" t="s">
        <v>1577</v>
      </c>
      <c r="G1263" s="326" t="s">
        <v>1590</v>
      </c>
    </row>
    <row r="1264" spans="3:10">
      <c r="C1264" s="306">
        <v>1</v>
      </c>
      <c r="D1264" s="306" t="s">
        <v>1578</v>
      </c>
      <c r="E1264" s="324" t="s">
        <v>1589</v>
      </c>
      <c r="F1264" s="327" t="s">
        <v>112</v>
      </c>
      <c r="G1264" s="327" t="s">
        <v>112</v>
      </c>
    </row>
    <row r="1265" spans="3:7">
      <c r="C1265" s="306">
        <v>2</v>
      </c>
      <c r="D1265" s="324" t="s">
        <v>1579</v>
      </c>
      <c r="E1265" s="306" t="s">
        <v>1580</v>
      </c>
      <c r="F1265" s="306">
        <v>60.21</v>
      </c>
      <c r="G1265" s="306">
        <v>18.91</v>
      </c>
    </row>
    <row r="1266" spans="3:7">
      <c r="C1266" s="306">
        <v>3</v>
      </c>
      <c r="D1266" t="s">
        <v>1581</v>
      </c>
      <c r="E1266" t="s">
        <v>1587</v>
      </c>
      <c r="F1266" s="306">
        <v>10.8</v>
      </c>
      <c r="G1266" s="306">
        <v>12.21</v>
      </c>
    </row>
    <row r="1267" spans="3:7">
      <c r="C1267" s="306">
        <v>4</v>
      </c>
      <c r="D1267" t="s">
        <v>1582</v>
      </c>
      <c r="E1267" t="s">
        <v>1587</v>
      </c>
      <c r="F1267" s="306">
        <v>10.7</v>
      </c>
      <c r="G1267" s="306">
        <v>12.34</v>
      </c>
    </row>
    <row r="1268" spans="3:7">
      <c r="C1268" s="306">
        <v>5</v>
      </c>
      <c r="D1268" t="s">
        <v>1583</v>
      </c>
      <c r="E1268" t="s">
        <v>1587</v>
      </c>
      <c r="F1268" s="306">
        <v>10.65</v>
      </c>
      <c r="G1268" s="306">
        <v>13.44</v>
      </c>
    </row>
    <row r="1269" spans="3:7">
      <c r="C1269" s="306">
        <v>6</v>
      </c>
      <c r="D1269" t="s">
        <v>1584</v>
      </c>
      <c r="E1269" t="s">
        <v>1587</v>
      </c>
      <c r="F1269" s="306">
        <v>8.3699999999999992</v>
      </c>
      <c r="G1269" s="306">
        <v>16.07</v>
      </c>
    </row>
    <row r="1270" spans="3:7">
      <c r="C1270" s="306">
        <v>7</v>
      </c>
      <c r="D1270" t="s">
        <v>1585</v>
      </c>
      <c r="E1270" t="s">
        <v>1587</v>
      </c>
      <c r="F1270" s="306">
        <v>10.44</v>
      </c>
      <c r="G1270" s="306">
        <v>14.39</v>
      </c>
    </row>
    <row r="1271" spans="3:7">
      <c r="C1271" s="306">
        <v>8</v>
      </c>
      <c r="D1271" t="s">
        <v>1586</v>
      </c>
      <c r="E1271" t="s">
        <v>1587</v>
      </c>
      <c r="F1271" s="306">
        <v>7.29</v>
      </c>
      <c r="G1271" s="327" t="s">
        <v>112</v>
      </c>
    </row>
    <row r="1276" spans="3:7">
      <c r="E1276" s="324"/>
      <c r="F1276" s="327"/>
      <c r="G1276" s="327"/>
    </row>
    <row r="1277" spans="3:7">
      <c r="D1277" s="324"/>
    </row>
    <row r="1278" spans="3:7">
      <c r="D1278"/>
      <c r="E1278"/>
    </row>
    <row r="1279" spans="3:7">
      <c r="D1279"/>
      <c r="E1279"/>
    </row>
    <row r="1280" spans="3:7">
      <c r="D1280"/>
      <c r="E1280"/>
    </row>
    <row r="1281" spans="4:7">
      <c r="D1281"/>
      <c r="E1281"/>
    </row>
    <row r="1282" spans="4:7">
      <c r="D1282"/>
      <c r="E1282"/>
    </row>
    <row r="1283" spans="4:7">
      <c r="D1283"/>
      <c r="E1283"/>
      <c r="G1283" s="327"/>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A785-DBCA-440A-8BDD-169648D0F3EF}">
  <sheetPr>
    <tabColor theme="9" tint="0.59999389629810485"/>
  </sheetPr>
  <dimension ref="B2:F8"/>
  <sheetViews>
    <sheetView showGridLines="0" tabSelected="1" workbookViewId="0">
      <selection activeCell="I7" sqref="I7"/>
    </sheetView>
  </sheetViews>
  <sheetFormatPr defaultRowHeight="14.5"/>
  <cols>
    <col min="1" max="1" width="1.90625" customWidth="1"/>
  </cols>
  <sheetData>
    <row r="2" spans="2:6" ht="20" customHeight="1">
      <c r="B2" s="414" t="s">
        <v>1608</v>
      </c>
      <c r="C2" s="415"/>
      <c r="D2" s="415"/>
      <c r="E2" s="419" t="s">
        <v>1609</v>
      </c>
      <c r="F2" s="415"/>
    </row>
    <row r="3" spans="2:6" ht="20" customHeight="1">
      <c r="B3" s="416" t="s">
        <v>1610</v>
      </c>
      <c r="C3" s="417"/>
      <c r="D3" s="417"/>
      <c r="E3" s="420" t="s">
        <v>1614</v>
      </c>
      <c r="F3" s="417"/>
    </row>
    <row r="4" spans="2:6" ht="20" customHeight="1">
      <c r="B4" s="412"/>
      <c r="C4" s="413"/>
      <c r="D4" s="413"/>
      <c r="E4" s="421" t="s">
        <v>1613</v>
      </c>
      <c r="F4" s="413"/>
    </row>
    <row r="5" spans="2:6" ht="20" customHeight="1">
      <c r="B5" s="416" t="s">
        <v>1611</v>
      </c>
      <c r="C5" s="417"/>
      <c r="D5" s="417"/>
      <c r="E5" s="420" t="s">
        <v>1612</v>
      </c>
      <c r="F5" s="417"/>
    </row>
    <row r="6" spans="2:6" ht="20" customHeight="1">
      <c r="B6" s="412" t="s">
        <v>1615</v>
      </c>
      <c r="C6" s="413"/>
      <c r="D6" s="413"/>
      <c r="E6" s="421" t="s">
        <v>1616</v>
      </c>
      <c r="F6" s="413"/>
    </row>
    <row r="7" spans="2:6" ht="20" customHeight="1">
      <c r="B7" s="414" t="s">
        <v>1617</v>
      </c>
      <c r="C7" s="415"/>
      <c r="D7" s="415"/>
      <c r="E7" s="419" t="s">
        <v>1618</v>
      </c>
      <c r="F7" s="422"/>
    </row>
    <row r="8" spans="2:6">
      <c r="E8" s="418"/>
    </row>
  </sheetData>
  <hyperlinks>
    <hyperlink ref="E3" r:id="rId1" xr:uid="{5770CD2F-EDFE-4F19-BD16-60E668012EE5}"/>
    <hyperlink ref="E4" r:id="rId2" xr:uid="{DE9F8109-5229-4FA7-8D3E-A93C2B8EDC74}"/>
    <hyperlink ref="E5" r:id="rId3" xr:uid="{D91F3E07-40D0-46A7-BE6C-0E7A2FF37AB5}"/>
    <hyperlink ref="E6" r:id="rId4" xr:uid="{22EEC838-1FD2-4D76-9120-86C31C43D9F4}"/>
    <hyperlink ref="E2" r:id="rId5" xr:uid="{FF3AC4B8-977D-49FE-B597-CA9D741F533A}"/>
    <hyperlink ref="E7" r:id="rId6" xr:uid="{6CA31773-7491-4D9C-9D50-E77BA30CC3D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3</vt:i4>
      </vt:variant>
    </vt:vector>
  </HeadingPairs>
  <TitlesOfParts>
    <vt:vector size="45" baseType="lpstr">
      <vt:lpstr>Data&gt;</vt:lpstr>
      <vt:lpstr>Profit &amp; Loss</vt:lpstr>
      <vt:lpstr>Quarters</vt:lpstr>
      <vt:lpstr>Balance Sheet</vt:lpstr>
      <vt:lpstr>Cash Flow</vt:lpstr>
      <vt:lpstr>Cash Flow Data</vt:lpstr>
      <vt:lpstr>Data Sheet</vt:lpstr>
      <vt:lpstr>Customization</vt:lpstr>
      <vt:lpstr>Company Profile &gt;</vt:lpstr>
      <vt:lpstr>TATA MOTORS LTD</vt:lpstr>
      <vt:lpstr>Financials &gt;</vt:lpstr>
      <vt:lpstr>Historical FS</vt:lpstr>
      <vt:lpstr>Cash Flow Statement</vt:lpstr>
      <vt:lpstr>Common Size Statement</vt:lpstr>
      <vt:lpstr>Ratio Analysis</vt:lpstr>
      <vt:lpstr>Forecasting</vt:lpstr>
      <vt:lpstr>Regression Beta &gt;</vt:lpstr>
      <vt:lpstr>TaMo Beta</vt:lpstr>
      <vt:lpstr>M&amp;M Beta</vt:lpstr>
      <vt:lpstr>MARUTI Beta</vt:lpstr>
      <vt:lpstr>Market Return</vt:lpstr>
      <vt:lpstr>Sales Regression</vt:lpstr>
      <vt:lpstr>Valuation &gt;</vt:lpstr>
      <vt:lpstr>WACC</vt:lpstr>
      <vt:lpstr>Peer Comps</vt:lpstr>
      <vt:lpstr>Intrinsic Growth</vt:lpstr>
      <vt:lpstr>Raw FS</vt:lpstr>
      <vt:lpstr>DCF</vt:lpstr>
      <vt:lpstr>Company Valuation</vt:lpstr>
      <vt:lpstr>Comps Data</vt:lpstr>
      <vt:lpstr>Football Field Analysis</vt:lpstr>
      <vt:lpstr>VAR &gt;</vt:lpstr>
      <vt:lpstr>Historical Approach</vt:lpstr>
      <vt:lpstr>Monte Carlo Simulation</vt:lpstr>
      <vt:lpstr>Analysis &gt;</vt:lpstr>
      <vt:lpstr>Dupont Analysis</vt:lpstr>
      <vt:lpstr>Dupont Analysis2</vt:lpstr>
      <vt:lpstr>Altman's Z Score</vt:lpstr>
      <vt:lpstr>Altman's Z Score2</vt:lpstr>
      <vt:lpstr>Rough Sheet &gt;</vt:lpstr>
      <vt:lpstr>Historical Data</vt:lpstr>
      <vt:lpstr>Source</vt:lpstr>
      <vt:lpstr>'Altman''s Z Score'!Print_Area</vt:lpstr>
      <vt:lpstr>'Dupont Analysis'!Print_Area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Niharika Shahi</dc:creator>
  <cp:lastModifiedBy>Niharika Shahi</cp:lastModifiedBy>
  <cp:lastPrinted>2025-08-27T10:09:56Z</cp:lastPrinted>
  <dcterms:created xsi:type="dcterms:W3CDTF">2012-08-17T09:55:37Z</dcterms:created>
  <dcterms:modified xsi:type="dcterms:W3CDTF">2025-08-28T18:50:05Z</dcterms:modified>
</cp:coreProperties>
</file>